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3.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STUDENT COMPLETE\CHAPTER  1 DATA\Data\Week 1\"/>
    </mc:Choice>
  </mc:AlternateContent>
  <bookViews>
    <workbookView xWindow="1320" yWindow="0" windowWidth="13125" windowHeight="8415" firstSheet="10" activeTab="27"/>
  </bookViews>
  <sheets>
    <sheet name="TOC" sheetId="5" r:id="rId1"/>
    <sheet name="1" sheetId="1" state="hidden" r:id="rId2"/>
    <sheet name="2" sheetId="6" state="hidden" r:id="rId3"/>
    <sheet name="3" sheetId="4" state="hidden" r:id="rId4"/>
    <sheet name="4" sheetId="3" state="hidden" r:id="rId5"/>
    <sheet name="5" sheetId="7" state="hidden" r:id="rId6"/>
    <sheet name="6" sheetId="8" state="hidden" r:id="rId7"/>
    <sheet name="7" sheetId="10" state="hidden" r:id="rId8"/>
    <sheet name="8" sheetId="12" state="hidden" r:id="rId9"/>
    <sheet name="9" sheetId="11" state="hidden" r:id="rId10"/>
    <sheet name="10" sheetId="9" r:id="rId11"/>
    <sheet name="11" sheetId="15" r:id="rId12"/>
    <sheet name="11S" sheetId="17" state="hidden" r:id="rId13"/>
    <sheet name="12" sheetId="37" r:id="rId14"/>
    <sheet name="13" sheetId="21" r:id="rId15"/>
    <sheet name="14" sheetId="22" r:id="rId16"/>
    <sheet name="15" sheetId="24" r:id="rId17"/>
    <sheet name="16" sheetId="23" r:id="rId18"/>
    <sheet name="17" sheetId="25" r:id="rId19"/>
    <sheet name="18" sheetId="26" r:id="rId20"/>
    <sheet name="19" sheetId="27" r:id="rId21"/>
    <sheet name="20" sheetId="28" r:id="rId22"/>
    <sheet name="21" sheetId="29" r:id="rId23"/>
    <sheet name="22" sheetId="30" r:id="rId24"/>
    <sheet name="23" sheetId="31" r:id="rId25"/>
    <sheet name="24" sheetId="32" r:id="rId26"/>
    <sheet name="25" sheetId="33" r:id="rId27"/>
    <sheet name="26" sheetId="34" r:id="rId28"/>
    <sheet name="27" sheetId="35" state="hidden" r:id="rId29"/>
    <sheet name="28" sheetId="36" state="hidden" r:id="rId30"/>
  </sheets>
  <externalReferences>
    <externalReference r:id="rId31"/>
    <externalReference r:id="rId32"/>
  </externalReferences>
  <definedNames>
    <definedName name="_xlnm._FilterDatabase" localSheetId="11" hidden="1">'11'!$A$1:$N$744</definedName>
    <definedName name="_xlnm._FilterDatabase" localSheetId="15" hidden="1">'14'!$A$1:$L$742</definedName>
    <definedName name="_xlnm._FilterDatabase" localSheetId="19" hidden="1">'18'!#REF!</definedName>
    <definedName name="_xlnm._FilterDatabase" localSheetId="25" hidden="1">'24'!$A$1:$H$742</definedName>
    <definedName name="_xlnm._FilterDatabase" localSheetId="28" hidden="1">'27'!$Q$5:$T$703</definedName>
    <definedName name="_xlnm._FilterDatabase" localSheetId="29" hidden="1">'28'!$A$7:$H$916</definedName>
    <definedName name="_xlnm._FilterDatabase" localSheetId="5" hidden="1">'5'!$A$1:$O$742</definedName>
    <definedName name="_xlnm._FilterDatabase" localSheetId="7" hidden="1">'7'!$A$2:$O$743</definedName>
    <definedName name="Building">'13'!$J$2:$J$7</definedName>
    <definedName name="_xlnm.Criteria" localSheetId="28">'27'!$I$1:$K$3</definedName>
    <definedName name="_xlnm.Criteria" localSheetId="29">'28'!$E$1:$E$2</definedName>
    <definedName name="Dates">OFFSET([1]Dynamic!$A$2,0,0,COUNTA([1]Dynamic!$A:$A)-1,1)</definedName>
    <definedName name="ee" localSheetId="10" hidden="1">{"FirstQ",#N/A,FALSE,"Budget2000";"SecondQ",#N/A,FALSE,"Budget2000";"Summary",#N/A,FALSE,"Budget2000"}</definedName>
    <definedName name="ee" localSheetId="11" hidden="1">{"FirstQ",#N/A,FALSE,"Budget2000";"SecondQ",#N/A,FALSE,"Budget2000";"Summary",#N/A,FALSE,"Budget2000"}</definedName>
    <definedName name="ee" localSheetId="14" hidden="1">{"FirstQ",#N/A,FALSE,"Budget2000";"SecondQ",#N/A,FALSE,"Budget2000";"Summary",#N/A,FALSE,"Budget2000"}</definedName>
    <definedName name="ee" localSheetId="15" hidden="1">{"FirstQ",#N/A,FALSE,"Budget2000";"SecondQ",#N/A,FALSE,"Budget2000";"Summary",#N/A,FALSE,"Budget2000"}</definedName>
    <definedName name="ee" localSheetId="16" hidden="1">{"FirstQ",#N/A,FALSE,"Budget2000";"SecondQ",#N/A,FALSE,"Budget2000";"Summary",#N/A,FALSE,"Budget2000"}</definedName>
    <definedName name="ee" localSheetId="17" hidden="1">{"FirstQ",#N/A,FALSE,"Budget2000";"SecondQ",#N/A,FALSE,"Budget2000";"Summary",#N/A,FALSE,"Budget2000"}</definedName>
    <definedName name="ee" localSheetId="18" hidden="1">{"FirstQ",#N/A,FALSE,"Budget2000";"SecondQ",#N/A,FALSE,"Budget2000";"Summary",#N/A,FALSE,"Budget2000"}</definedName>
    <definedName name="ee" localSheetId="19" hidden="1">{"FirstQ",#N/A,FALSE,"Budget2000";"SecondQ",#N/A,FALSE,"Budget2000";"Summary",#N/A,FALSE,"Budget2000"}</definedName>
    <definedName name="ee" localSheetId="21" hidden="1">{"FirstQ",#N/A,FALSE,"Budget2000";"SecondQ",#N/A,FALSE,"Budget2000";"Summary",#N/A,FALSE,"Budget2000"}</definedName>
    <definedName name="ee" localSheetId="22" hidden="1">{"FirstQ",#N/A,FALSE,"Budget2000";"SecondQ",#N/A,FALSE,"Budget2000";"Summary",#N/A,FALSE,"Budget2000"}</definedName>
    <definedName name="ee" localSheetId="23" hidden="1">{"FirstQ",#N/A,FALSE,"Budget2000";"SecondQ",#N/A,FALSE,"Budget2000";"Summary",#N/A,FALSE,"Budget2000"}</definedName>
    <definedName name="ee" localSheetId="24" hidden="1">{"FirstQ",#N/A,FALSE,"Budget2000";"SecondQ",#N/A,FALSE,"Budget2000";"Summary",#N/A,FALSE,"Budget2000"}</definedName>
    <definedName name="ee" localSheetId="25" hidden="1">{"FirstQ",#N/A,FALSE,"Budget2000";"SecondQ",#N/A,FALSE,"Budget2000";"Summary",#N/A,FALSE,"Budget2000"}</definedName>
    <definedName name="ee" localSheetId="26" hidden="1">{"FirstQ",#N/A,FALSE,"Budget2000";"SecondQ",#N/A,FALSE,"Budget2000";"Summary",#N/A,FALSE,"Budget2000"}</definedName>
    <definedName name="ee" localSheetId="27" hidden="1">{"FirstQ",#N/A,FALSE,"Budget2000";"SecondQ",#N/A,FALSE,"Budget2000";"Summary",#N/A,FALSE,"Budget2000"}</definedName>
    <definedName name="ee" localSheetId="28" hidden="1">{"FirstQ",#N/A,FALSE,"Budget2000";"SecondQ",#N/A,FALSE,"Budget2000";"Summary",#N/A,FALSE,"Budget2000"}</definedName>
    <definedName name="ee" localSheetId="29" hidden="1">{"FirstQ",#N/A,FALSE,"Budget2000";"SecondQ",#N/A,FALSE,"Budget2000";"Summary",#N/A,FALSE,"Budget2000"}</definedName>
    <definedName name="ee" localSheetId="6" hidden="1">{"FirstQ",#N/A,FALSE,"Budget2000";"SecondQ",#N/A,FALSE,"Budget2000";"Summary",#N/A,FALSE,"Budget2000"}</definedName>
    <definedName name="ee" localSheetId="7" hidden="1">{"FirstQ",#N/A,FALSE,"Budget2000";"SecondQ",#N/A,FALSE,"Budget2000";"Summary",#N/A,FALSE,"Budget2000"}</definedName>
    <definedName name="ee" localSheetId="8" hidden="1">{"FirstQ",#N/A,FALSE,"Budget2000";"SecondQ",#N/A,FALSE,"Budget2000";"Summary",#N/A,FALSE,"Budget2000"}</definedName>
    <definedName name="ee" localSheetId="9" hidden="1">{"FirstQ",#N/A,FALSE,"Budget2000";"SecondQ",#N/A,FALSE,"Budget2000";"Summary",#N/A,FALSE,"Budget2000"}</definedName>
    <definedName name="ee" hidden="1">{"FirstQ",#N/A,FALSE,"Budget2000";"SecondQ",#N/A,FALSE,"Budget2000";"Summary",#N/A,FALSE,"Budget2000"}</definedName>
    <definedName name="ggg" localSheetId="22" hidden="1">{"FirstQ",#N/A,FALSE,"Budget2000";"SecondQ",#N/A,FALSE,"Budget2000";"Summary",#N/A,FALSE,"Budget2000"}</definedName>
    <definedName name="ggg" hidden="1">{"FirstQ",#N/A,FALSE,"Budget2000";"SecondQ",#N/A,FALSE,"Budget2000";"Summary",#N/A,FALSE,"Budget2000"}</definedName>
    <definedName name="Income" localSheetId="25">#REF!</definedName>
    <definedName name="Income" localSheetId="26">#REF!</definedName>
    <definedName name="Income">#REF!</definedName>
    <definedName name="k" localSheetId="10" hidden="1">{"FirstQ",#N/A,FALSE,"Budget2000";"SecondQ",#N/A,FALSE,"Budget2000";"Summary",#N/A,FALSE,"Budget2000"}</definedName>
    <definedName name="k" localSheetId="11" hidden="1">{"FirstQ",#N/A,FALSE,"Budget2000";"SecondQ",#N/A,FALSE,"Budget2000";"Summary",#N/A,FALSE,"Budget2000"}</definedName>
    <definedName name="k" localSheetId="14" hidden="1">{"FirstQ",#N/A,FALSE,"Budget2000";"SecondQ",#N/A,FALSE,"Budget2000";"Summary",#N/A,FALSE,"Budget2000"}</definedName>
    <definedName name="k" localSheetId="15" hidden="1">{"FirstQ",#N/A,FALSE,"Budget2000";"SecondQ",#N/A,FALSE,"Budget2000";"Summary",#N/A,FALSE,"Budget2000"}</definedName>
    <definedName name="k" localSheetId="16" hidden="1">{"FirstQ",#N/A,FALSE,"Budget2000";"SecondQ",#N/A,FALSE,"Budget2000";"Summary",#N/A,FALSE,"Budget2000"}</definedName>
    <definedName name="k" localSheetId="17" hidden="1">{"FirstQ",#N/A,FALSE,"Budget2000";"SecondQ",#N/A,FALSE,"Budget2000";"Summary",#N/A,FALSE,"Budget2000"}</definedName>
    <definedName name="k" localSheetId="18" hidden="1">{"FirstQ",#N/A,FALSE,"Budget2000";"SecondQ",#N/A,FALSE,"Budget2000";"Summary",#N/A,FALSE,"Budget2000"}</definedName>
    <definedName name="k" localSheetId="19" hidden="1">{"FirstQ",#N/A,FALSE,"Budget2000";"SecondQ",#N/A,FALSE,"Budget2000";"Summary",#N/A,FALSE,"Budget2000"}</definedName>
    <definedName name="k" localSheetId="21" hidden="1">{"FirstQ",#N/A,FALSE,"Budget2000";"SecondQ",#N/A,FALSE,"Budget2000";"Summary",#N/A,FALSE,"Budget2000"}</definedName>
    <definedName name="k" localSheetId="22" hidden="1">{"FirstQ",#N/A,FALSE,"Budget2000";"SecondQ",#N/A,FALSE,"Budget2000";"Summary",#N/A,FALSE,"Budget2000"}</definedName>
    <definedName name="k" localSheetId="23" hidden="1">{"FirstQ",#N/A,FALSE,"Budget2000";"SecondQ",#N/A,FALSE,"Budget2000";"Summary",#N/A,FALSE,"Budget2000"}</definedName>
    <definedName name="k" localSheetId="24" hidden="1">{"FirstQ",#N/A,FALSE,"Budget2000";"SecondQ",#N/A,FALSE,"Budget2000";"Summary",#N/A,FALSE,"Budget2000"}</definedName>
    <definedName name="k" localSheetId="25" hidden="1">{"FirstQ",#N/A,FALSE,"Budget2000";"SecondQ",#N/A,FALSE,"Budget2000";"Summary",#N/A,FALSE,"Budget2000"}</definedName>
    <definedName name="k" localSheetId="26" hidden="1">{"FirstQ",#N/A,FALSE,"Budget2000";"SecondQ",#N/A,FALSE,"Budget2000";"Summary",#N/A,FALSE,"Budget2000"}</definedName>
    <definedName name="k" localSheetId="27" hidden="1">{"FirstQ",#N/A,FALSE,"Budget2000";"SecondQ",#N/A,FALSE,"Budget2000";"Summary",#N/A,FALSE,"Budget2000"}</definedName>
    <definedName name="k" localSheetId="28" hidden="1">{"FirstQ",#N/A,FALSE,"Budget2000";"SecondQ",#N/A,FALSE,"Budget2000";"Summary",#N/A,FALSE,"Budget2000"}</definedName>
    <definedName name="k" localSheetId="29" hidden="1">{"FirstQ",#N/A,FALSE,"Budget2000";"SecondQ",#N/A,FALSE,"Budget2000";"Summary",#N/A,FALSE,"Budget2000"}</definedName>
    <definedName name="k" localSheetId="6" hidden="1">{"FirstQ",#N/A,FALSE,"Budget2000";"SecondQ",#N/A,FALSE,"Budget2000";"Summary",#N/A,FALSE,"Budget2000"}</definedName>
    <definedName name="k" localSheetId="7" hidden="1">{"FirstQ",#N/A,FALSE,"Budget2000";"SecondQ",#N/A,FALSE,"Budget2000";"Summary",#N/A,FALSE,"Budget2000"}</definedName>
    <definedName name="k" localSheetId="8" hidden="1">{"FirstQ",#N/A,FALSE,"Budget2000";"SecondQ",#N/A,FALSE,"Budget2000";"Summary",#N/A,FALSE,"Budget2000"}</definedName>
    <definedName name="k" localSheetId="9" hidden="1">{"FirstQ",#N/A,FALSE,"Budget2000";"SecondQ",#N/A,FALSE,"Budget2000";"Summary",#N/A,FALSE,"Budget2000"}</definedName>
    <definedName name="k" hidden="1">{"FirstQ",#N/A,FALSE,"Budget2000";"SecondQ",#N/A,FALSE,"Budget2000";"Summary",#N/A,FALSE,"Budget2000"}</definedName>
    <definedName name="q" localSheetId="10" hidden="1">{"FirstQ",#N/A,FALSE,"Budget2000";"SecondQ",#N/A,FALSE,"Budget2000";"Summary",#N/A,FALSE,"Budget2000"}</definedName>
    <definedName name="q" localSheetId="11" hidden="1">{"FirstQ",#N/A,FALSE,"Budget2000";"SecondQ",#N/A,FALSE,"Budget2000";"Summary",#N/A,FALSE,"Budget2000"}</definedName>
    <definedName name="q" localSheetId="14" hidden="1">{"FirstQ",#N/A,FALSE,"Budget2000";"SecondQ",#N/A,FALSE,"Budget2000";"Summary",#N/A,FALSE,"Budget2000"}</definedName>
    <definedName name="q" localSheetId="15" hidden="1">{"FirstQ",#N/A,FALSE,"Budget2000";"SecondQ",#N/A,FALSE,"Budget2000";"Summary",#N/A,FALSE,"Budget2000"}</definedName>
    <definedName name="q" localSheetId="16" hidden="1">{"FirstQ",#N/A,FALSE,"Budget2000";"SecondQ",#N/A,FALSE,"Budget2000";"Summary",#N/A,FALSE,"Budget2000"}</definedName>
    <definedName name="q" localSheetId="17" hidden="1">{"FirstQ",#N/A,FALSE,"Budget2000";"SecondQ",#N/A,FALSE,"Budget2000";"Summary",#N/A,FALSE,"Budget2000"}</definedName>
    <definedName name="q" localSheetId="18" hidden="1">{"FirstQ",#N/A,FALSE,"Budget2000";"SecondQ",#N/A,FALSE,"Budget2000";"Summary",#N/A,FALSE,"Budget2000"}</definedName>
    <definedName name="q" localSheetId="19" hidden="1">{"FirstQ",#N/A,FALSE,"Budget2000";"SecondQ",#N/A,FALSE,"Budget2000";"Summary",#N/A,FALSE,"Budget2000"}</definedName>
    <definedName name="q" localSheetId="21" hidden="1">{"FirstQ",#N/A,FALSE,"Budget2000";"SecondQ",#N/A,FALSE,"Budget2000";"Summary",#N/A,FALSE,"Budget2000"}</definedName>
    <definedName name="q" localSheetId="22" hidden="1">{"FirstQ",#N/A,FALSE,"Budget2000";"SecondQ",#N/A,FALSE,"Budget2000";"Summary",#N/A,FALSE,"Budget2000"}</definedName>
    <definedName name="q" localSheetId="23" hidden="1">{"FirstQ",#N/A,FALSE,"Budget2000";"SecondQ",#N/A,FALSE,"Budget2000";"Summary",#N/A,FALSE,"Budget2000"}</definedName>
    <definedName name="q" localSheetId="24" hidden="1">{"FirstQ",#N/A,FALSE,"Budget2000";"SecondQ",#N/A,FALSE,"Budget2000";"Summary",#N/A,FALSE,"Budget2000"}</definedName>
    <definedName name="q" localSheetId="25" hidden="1">{"FirstQ",#N/A,FALSE,"Budget2000";"SecondQ",#N/A,FALSE,"Budget2000";"Summary",#N/A,FALSE,"Budget2000"}</definedName>
    <definedName name="q" localSheetId="26" hidden="1">{"FirstQ",#N/A,FALSE,"Budget2000";"SecondQ",#N/A,FALSE,"Budget2000";"Summary",#N/A,FALSE,"Budget2000"}</definedName>
    <definedName name="q" localSheetId="27" hidden="1">{"FirstQ",#N/A,FALSE,"Budget2000";"SecondQ",#N/A,FALSE,"Budget2000";"Summary",#N/A,FALSE,"Budget2000"}</definedName>
    <definedName name="q" localSheetId="28" hidden="1">{"FirstQ",#N/A,FALSE,"Budget2000";"SecondQ",#N/A,FALSE,"Budget2000";"Summary",#N/A,FALSE,"Budget2000"}</definedName>
    <definedName name="q" localSheetId="29" hidden="1">{"FirstQ",#N/A,FALSE,"Budget2000";"SecondQ",#N/A,FALSE,"Budget2000";"Summary",#N/A,FALSE,"Budget2000"}</definedName>
    <definedName name="q" localSheetId="6" hidden="1">{"FirstQ",#N/A,FALSE,"Budget2000";"SecondQ",#N/A,FALSE,"Budget2000";"Summary",#N/A,FALSE,"Budget2000"}</definedName>
    <definedName name="q" localSheetId="7" hidden="1">{"FirstQ",#N/A,FALSE,"Budget2000";"SecondQ",#N/A,FALSE,"Budget2000";"Summary",#N/A,FALSE,"Budget2000"}</definedName>
    <definedName name="q" localSheetId="8" hidden="1">{"FirstQ",#N/A,FALSE,"Budget2000";"SecondQ",#N/A,FALSE,"Budget2000";"Summary",#N/A,FALSE,"Budget2000"}</definedName>
    <definedName name="q" localSheetId="9" hidden="1">{"FirstQ",#N/A,FALSE,"Budget2000";"SecondQ",#N/A,FALSE,"Budget2000";"Summary",#N/A,FALSE,"Budget2000"}</definedName>
    <definedName name="q" hidden="1">{"FirstQ",#N/A,FALSE,"Budget2000";"SecondQ",#N/A,FALSE,"Budget2000";"Summary",#N/A,FALSE,"Budget2000"}</definedName>
    <definedName name="RateTable" localSheetId="24">[2]Lookups!$A$2:$B$8</definedName>
    <definedName name="RateTable" localSheetId="25">#REF!</definedName>
    <definedName name="RateTable" localSheetId="26">#REF!</definedName>
    <definedName name="RateTable">#REF!</definedName>
    <definedName name="rr" localSheetId="10" hidden="1">{"FirstQ",#N/A,FALSE,"Budget2000";"SecondQ",#N/A,FALSE,"Budget2000"}</definedName>
    <definedName name="rr" localSheetId="11" hidden="1">{"FirstQ",#N/A,FALSE,"Budget2000";"SecondQ",#N/A,FALSE,"Budget2000"}</definedName>
    <definedName name="rr" localSheetId="14" hidden="1">{"FirstQ",#N/A,FALSE,"Budget2000";"SecondQ",#N/A,FALSE,"Budget2000"}</definedName>
    <definedName name="rr" localSheetId="15" hidden="1">{"FirstQ",#N/A,FALSE,"Budget2000";"SecondQ",#N/A,FALSE,"Budget2000"}</definedName>
    <definedName name="rr" localSheetId="16" hidden="1">{"FirstQ",#N/A,FALSE,"Budget2000";"SecondQ",#N/A,FALSE,"Budget2000"}</definedName>
    <definedName name="rr" localSheetId="17" hidden="1">{"FirstQ",#N/A,FALSE,"Budget2000";"SecondQ",#N/A,FALSE,"Budget2000"}</definedName>
    <definedName name="rr" localSheetId="18" hidden="1">{"FirstQ",#N/A,FALSE,"Budget2000";"SecondQ",#N/A,FALSE,"Budget2000"}</definedName>
    <definedName name="rr" localSheetId="19" hidden="1">{"FirstQ",#N/A,FALSE,"Budget2000";"SecondQ",#N/A,FALSE,"Budget2000"}</definedName>
    <definedName name="rr" localSheetId="21" hidden="1">{"FirstQ",#N/A,FALSE,"Budget2000";"SecondQ",#N/A,FALSE,"Budget2000"}</definedName>
    <definedName name="rr" localSheetId="22" hidden="1">{"FirstQ",#N/A,FALSE,"Budget2000";"SecondQ",#N/A,FALSE,"Budget2000"}</definedName>
    <definedName name="rr" localSheetId="23" hidden="1">{"FirstQ",#N/A,FALSE,"Budget2000";"SecondQ",#N/A,FALSE,"Budget2000"}</definedName>
    <definedName name="rr" localSheetId="24" hidden="1">{"FirstQ",#N/A,FALSE,"Budget2000";"SecondQ",#N/A,FALSE,"Budget2000"}</definedName>
    <definedName name="rr" localSheetId="25" hidden="1">{"FirstQ",#N/A,FALSE,"Budget2000";"SecondQ",#N/A,FALSE,"Budget2000"}</definedName>
    <definedName name="rr" localSheetId="26" hidden="1">{"FirstQ",#N/A,FALSE,"Budget2000";"SecondQ",#N/A,FALSE,"Budget2000"}</definedName>
    <definedName name="rr" localSheetId="27" hidden="1">{"FirstQ",#N/A,FALSE,"Budget2000";"SecondQ",#N/A,FALSE,"Budget2000"}</definedName>
    <definedName name="rr" localSheetId="28" hidden="1">{"FirstQ",#N/A,FALSE,"Budget2000";"SecondQ",#N/A,FALSE,"Budget2000"}</definedName>
    <definedName name="rr" localSheetId="29" hidden="1">{"FirstQ",#N/A,FALSE,"Budget2000";"SecondQ",#N/A,FALSE,"Budget2000"}</definedName>
    <definedName name="rr" localSheetId="6" hidden="1">{"FirstQ",#N/A,FALSE,"Budget2000";"SecondQ",#N/A,FALSE,"Budget2000"}</definedName>
    <definedName name="rr" localSheetId="7" hidden="1">{"FirstQ",#N/A,FALSE,"Budget2000";"SecondQ",#N/A,FALSE,"Budget2000"}</definedName>
    <definedName name="rr" localSheetId="8" hidden="1">{"FirstQ",#N/A,FALSE,"Budget2000";"SecondQ",#N/A,FALSE,"Budget2000"}</definedName>
    <definedName name="rr" localSheetId="9" hidden="1">{"FirstQ",#N/A,FALSE,"Budget2000";"SecondQ",#N/A,FALSE,"Budget2000"}</definedName>
    <definedName name="rr" hidden="1">{"FirstQ",#N/A,FALSE,"Budget2000";"SecondQ",#N/A,FALSE,"Budget2000"}</definedName>
    <definedName name="rrr" localSheetId="10"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localSheetId="14" hidden="1">{"AllDetail",#N/A,FALSE,"Research Budget";"1stQuarter",#N/A,FALSE,"Research Budget";"2nd Quarter",#N/A,FALSE,"Research Budget";"Summary",#N/A,FALSE,"Research Budget"}</definedName>
    <definedName name="rrr" localSheetId="15" hidden="1">{"AllDetail",#N/A,FALSE,"Research Budget";"1stQuarter",#N/A,FALSE,"Research Budget";"2nd Quarter",#N/A,FALSE,"Research Budget";"Summary",#N/A,FALSE,"Research Budget"}</definedName>
    <definedName name="rrr" localSheetId="16" hidden="1">{"AllDetail",#N/A,FALSE,"Research Budget";"1stQuarter",#N/A,FALSE,"Research Budget";"2nd Quarter",#N/A,FALSE,"Research Budget";"Summary",#N/A,FALSE,"Research Budget"}</definedName>
    <definedName name="rrr" localSheetId="17" hidden="1">{"AllDetail",#N/A,FALSE,"Research Budget";"1stQuarter",#N/A,FALSE,"Research Budget";"2nd Quarter",#N/A,FALSE,"Research Budget";"Summary",#N/A,FALSE,"Research Budget"}</definedName>
    <definedName name="rrr" localSheetId="18" hidden="1">{"AllDetail",#N/A,FALSE,"Research Budget";"1stQuarter",#N/A,FALSE,"Research Budget";"2nd Quarter",#N/A,FALSE,"Research Budget";"Summary",#N/A,FALSE,"Research Budget"}</definedName>
    <definedName name="rrr" localSheetId="19" hidden="1">{"AllDetail",#N/A,FALSE,"Research Budget";"1stQuarter",#N/A,FALSE,"Research Budget";"2nd Quarter",#N/A,FALSE,"Research Budget";"Summary",#N/A,FALSE,"Research Budget"}</definedName>
    <definedName name="rrr" localSheetId="21" hidden="1">{"AllDetail",#N/A,FALSE,"Research Budget";"1stQuarter",#N/A,FALSE,"Research Budget";"2nd Quarter",#N/A,FALSE,"Research Budget";"Summary",#N/A,FALSE,"Research Budget"}</definedName>
    <definedName name="rrr" localSheetId="22" hidden="1">{"AllDetail",#N/A,FALSE,"Research Budget";"1stQuarter",#N/A,FALSE,"Research Budget";"2nd Quarter",#N/A,FALSE,"Research Budget";"Summary",#N/A,FALSE,"Research Budget"}</definedName>
    <definedName name="rrr" localSheetId="23" hidden="1">{"AllDetail",#N/A,FALSE,"Research Budget";"1stQuarter",#N/A,FALSE,"Research Budget";"2nd Quarter",#N/A,FALSE,"Research Budget";"Summary",#N/A,FALSE,"Research Budget"}</definedName>
    <definedName name="rrr" localSheetId="24" hidden="1">{"AllDetail",#N/A,FALSE,"Research Budget";"1stQuarter",#N/A,FALSE,"Research Budget";"2nd Quarter",#N/A,FALSE,"Research Budget";"Summary",#N/A,FALSE,"Research Budget"}</definedName>
    <definedName name="rrr" localSheetId="25" hidden="1">{"AllDetail",#N/A,FALSE,"Research Budget";"1stQuarter",#N/A,FALSE,"Research Budget";"2nd Quarter",#N/A,FALSE,"Research Budget";"Summary",#N/A,FALSE,"Research Budget"}</definedName>
    <definedName name="rrr" localSheetId="26" hidden="1">{"AllDetail",#N/A,FALSE,"Research Budget";"1stQuarter",#N/A,FALSE,"Research Budget";"2nd Quarter",#N/A,FALSE,"Research Budget";"Summary",#N/A,FALSE,"Research Budget"}</definedName>
    <definedName name="rrr" localSheetId="27" hidden="1">{"AllDetail",#N/A,FALSE,"Research Budget";"1stQuarter",#N/A,FALSE,"Research Budget";"2nd Quarter",#N/A,FALSE,"Research Budget";"Summary",#N/A,FALSE,"Research Budget"}</definedName>
    <definedName name="rrr" localSheetId="28" hidden="1">{"AllDetail",#N/A,FALSE,"Research Budget";"1stQuarter",#N/A,FALSE,"Research Budget";"2nd Quarter",#N/A,FALSE,"Research Budget";"Summary",#N/A,FALSE,"Research Budget"}</definedName>
    <definedName name="rrr" localSheetId="29" hidden="1">{"AllDetail",#N/A,FALSE,"Research Budget";"1stQuarter",#N/A,FALSE,"Research Budget";"2nd Quarter",#N/A,FALSE,"Research Budget";"Summary",#N/A,FALSE,"Research Budget"}</definedName>
    <definedName name="rrr" localSheetId="6"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localSheetId="8"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licer_Customer">#N/A</definedName>
    <definedName name="Slicer_Product">#N/A</definedName>
    <definedName name="Slicer_Region">#N/A</definedName>
    <definedName name="Slicer_Salesperson">#N/A</definedName>
    <definedName name="solver_adj" localSheetId="16" hidden="1">'15'!$B$3:$G$3,'15'!$B$4:$G$4</definedName>
    <definedName name="solver_cvg" localSheetId="16" hidden="1">0.0001</definedName>
    <definedName name="solver_drv" localSheetId="16" hidden="1">1</definedName>
    <definedName name="solver_est" localSheetId="16" hidden="1">1</definedName>
    <definedName name="solver_itr" localSheetId="16" hidden="1">100</definedName>
    <definedName name="solver_lhs1" localSheetId="16" hidden="1">'15'!$B$3:$G$3</definedName>
    <definedName name="solver_lhs2" localSheetId="16" hidden="1">'15'!$B$4:$G$4</definedName>
    <definedName name="solver_lin" localSheetId="16" hidden="1">2</definedName>
    <definedName name="solver_neg" localSheetId="16" hidden="1">2</definedName>
    <definedName name="solver_num" localSheetId="16" hidden="1">2</definedName>
    <definedName name="solver_nwt" localSheetId="16" hidden="1">1</definedName>
    <definedName name="solver_opt" localSheetId="16" hidden="1">'15'!$H$5</definedName>
    <definedName name="solver_pre" localSheetId="16" hidden="1">0.000001</definedName>
    <definedName name="solver_rel1" localSheetId="16" hidden="1">1</definedName>
    <definedName name="solver_rel2" localSheetId="16" hidden="1">1</definedName>
    <definedName name="solver_rhs1" localSheetId="16" hidden="1">500</definedName>
    <definedName name="solver_rhs2" localSheetId="16" hidden="1">350</definedName>
    <definedName name="solver_scl" localSheetId="16" hidden="1">2</definedName>
    <definedName name="solver_sho" localSheetId="16" hidden="1">1</definedName>
    <definedName name="solver_tim" localSheetId="16" hidden="1">100</definedName>
    <definedName name="solver_tol" localSheetId="16" hidden="1">0.05</definedName>
    <definedName name="solver_typ" localSheetId="16" hidden="1">3</definedName>
    <definedName name="solver_val" localSheetId="16" hidden="1">500</definedName>
    <definedName name="Status">'13'!$L$2:$L$5</definedName>
    <definedName name="StatusList" localSheetId="24">#REF!</definedName>
    <definedName name="StatusList" localSheetId="25">#REF!</definedName>
    <definedName name="StatusList" localSheetId="26">#REF!</definedName>
    <definedName name="StatusList">#REF!</definedName>
    <definedName name="TaxDepTable" localSheetId="28">#REF!</definedName>
    <definedName name="TaxDepTable" localSheetId="29">#REF!</definedName>
    <definedName name="TaxDepTable">#REF!</definedName>
    <definedName name="wrn.AllData." localSheetId="10" hidden="1">{"FirstQ",#N/A,FALSE,"Budget2000";"SecondQ",#N/A,FALSE,"Budget2000";"Summary",#N/A,FALSE,"Budget2000"}</definedName>
    <definedName name="wrn.AllData." localSheetId="11" hidden="1">{"FirstQ",#N/A,FALSE,"Budget2000";"SecondQ",#N/A,FALSE,"Budget2000";"Summary",#N/A,FALSE,"Budget2000"}</definedName>
    <definedName name="wrn.AllData." localSheetId="14" hidden="1">{"FirstQ",#N/A,FALSE,"Budget2000";"SecondQ",#N/A,FALSE,"Budget2000";"Summary",#N/A,FALSE,"Budget2000"}</definedName>
    <definedName name="wrn.AllData." localSheetId="15" hidden="1">{"FirstQ",#N/A,FALSE,"Budget2000";"SecondQ",#N/A,FALSE,"Budget2000";"Summary",#N/A,FALSE,"Budget2000"}</definedName>
    <definedName name="wrn.AllData." localSheetId="16" hidden="1">{"FirstQ",#N/A,FALSE,"Budget2000";"SecondQ",#N/A,FALSE,"Budget2000";"Summary",#N/A,FALSE,"Budget2000"}</definedName>
    <definedName name="wrn.AllData." localSheetId="17" hidden="1">{"FirstQ",#N/A,FALSE,"Budget2000";"SecondQ",#N/A,FALSE,"Budget2000";"Summary",#N/A,FALSE,"Budget2000"}</definedName>
    <definedName name="wrn.AllData." localSheetId="18" hidden="1">{"FirstQ",#N/A,FALSE,"Budget2000";"SecondQ",#N/A,FALSE,"Budget2000";"Summary",#N/A,FALSE,"Budget2000"}</definedName>
    <definedName name="wrn.AllData." localSheetId="19" hidden="1">{"FirstQ",#N/A,FALSE,"Budget2000";"SecondQ",#N/A,FALSE,"Budget2000";"Summary",#N/A,FALSE,"Budget2000"}</definedName>
    <definedName name="wrn.AllData." localSheetId="21" hidden="1">{"FirstQ",#N/A,FALSE,"Budget2000";"SecondQ",#N/A,FALSE,"Budget2000";"Summary",#N/A,FALSE,"Budget2000"}</definedName>
    <definedName name="wrn.AllData." localSheetId="22" hidden="1">{"FirstQ",#N/A,FALSE,"Budget2000";"SecondQ",#N/A,FALSE,"Budget2000";"Summary",#N/A,FALSE,"Budget2000"}</definedName>
    <definedName name="wrn.AllData." localSheetId="23" hidden="1">{"FirstQ",#N/A,FALSE,"Budget2000";"SecondQ",#N/A,FALSE,"Budget2000";"Summary",#N/A,FALSE,"Budget2000"}</definedName>
    <definedName name="wrn.AllData." localSheetId="24" hidden="1">{"FirstQ",#N/A,FALSE,"Budget2000";"SecondQ",#N/A,FALSE,"Budget2000";"Summary",#N/A,FALSE,"Budget2000"}</definedName>
    <definedName name="wrn.AllData." localSheetId="25" hidden="1">{"FirstQ",#N/A,FALSE,"Budget2000";"SecondQ",#N/A,FALSE,"Budget2000";"Summary",#N/A,FALSE,"Budget2000"}</definedName>
    <definedName name="wrn.AllData." localSheetId="26" hidden="1">{"FirstQ",#N/A,FALSE,"Budget2000";"SecondQ",#N/A,FALSE,"Budget2000";"Summary",#N/A,FALSE,"Budget2000"}</definedName>
    <definedName name="wrn.AllData." localSheetId="27" hidden="1">{"FirstQ",#N/A,FALSE,"Budget2000";"SecondQ",#N/A,FALSE,"Budget2000";"Summary",#N/A,FALSE,"Budget2000"}</definedName>
    <definedName name="wrn.AllData." localSheetId="28" hidden="1">{"FirstQ",#N/A,FALSE,"Budget2000";"SecondQ",#N/A,FALSE,"Budget2000";"Summary",#N/A,FALSE,"Budget2000"}</definedName>
    <definedName name="wrn.AllData." localSheetId="29" hidden="1">{"FirstQ",#N/A,FALSE,"Budget2000";"SecondQ",#N/A,FALSE,"Budget2000";"Summary",#N/A,FALSE,"Budget2000"}</definedName>
    <definedName name="wrn.AllData." localSheetId="6" hidden="1">{"FirstQ",#N/A,FALSE,"Budget2000";"SecondQ",#N/A,FALSE,"Budget2000";"Summary",#N/A,FALSE,"Budget2000"}</definedName>
    <definedName name="wrn.AllData." localSheetId="7" hidden="1">{"FirstQ",#N/A,FALSE,"Budget2000";"SecondQ",#N/A,FALSE,"Budget2000";"Summary",#N/A,FALSE,"Budget2000"}</definedName>
    <definedName name="wrn.AllData." localSheetId="8" hidden="1">{"FirstQ",#N/A,FALSE,"Budget2000";"SecondQ",#N/A,FALSE,"Budget2000";"Summary",#N/A,FALSE,"Budget2000"}</definedName>
    <definedName name="wrn.AllData." localSheetId="9" hidden="1">{"FirstQ",#N/A,FALSE,"Budget2000";"SecondQ",#N/A,FALSE,"Budget2000";"Summary",#N/A,FALSE,"Budget2000"}</definedName>
    <definedName name="wrn.AllData." hidden="1">{"FirstQ",#N/A,FALSE,"Budget2000";"SecondQ",#N/A,FALSE,"Budget2000";"Summary",#N/A,FALSE,"Budget2000"}</definedName>
    <definedName name="wrn.FirstHalf." localSheetId="10" hidden="1">{"FirstQ",#N/A,FALSE,"Budget2000";"SecondQ",#N/A,FALSE,"Budget2000"}</definedName>
    <definedName name="wrn.FirstHalf." localSheetId="11" hidden="1">{"FirstQ",#N/A,FALSE,"Budget2000";"SecondQ",#N/A,FALSE,"Budget2000"}</definedName>
    <definedName name="wrn.FirstHalf." localSheetId="14" hidden="1">{"FirstQ",#N/A,FALSE,"Budget2000";"SecondQ",#N/A,FALSE,"Budget2000"}</definedName>
    <definedName name="wrn.FirstHalf." localSheetId="15" hidden="1">{"FirstQ",#N/A,FALSE,"Budget2000";"SecondQ",#N/A,FALSE,"Budget2000"}</definedName>
    <definedName name="wrn.FirstHalf." localSheetId="16" hidden="1">{"FirstQ",#N/A,FALSE,"Budget2000";"SecondQ",#N/A,FALSE,"Budget2000"}</definedName>
    <definedName name="wrn.FirstHalf." localSheetId="17" hidden="1">{"FirstQ",#N/A,FALSE,"Budget2000";"SecondQ",#N/A,FALSE,"Budget2000"}</definedName>
    <definedName name="wrn.FirstHalf." localSheetId="18" hidden="1">{"FirstQ",#N/A,FALSE,"Budget2000";"SecondQ",#N/A,FALSE,"Budget2000"}</definedName>
    <definedName name="wrn.FirstHalf." localSheetId="19" hidden="1">{"FirstQ",#N/A,FALSE,"Budget2000";"SecondQ",#N/A,FALSE,"Budget2000"}</definedName>
    <definedName name="wrn.FirstHalf." localSheetId="21" hidden="1">{"FirstQ",#N/A,FALSE,"Budget2000";"SecondQ",#N/A,FALSE,"Budget2000"}</definedName>
    <definedName name="wrn.FirstHalf." localSheetId="22" hidden="1">{"FirstQ",#N/A,FALSE,"Budget2000";"SecondQ",#N/A,FALSE,"Budget2000"}</definedName>
    <definedName name="wrn.FirstHalf." localSheetId="23" hidden="1">{"FirstQ",#N/A,FALSE,"Budget2000";"SecondQ",#N/A,FALSE,"Budget2000"}</definedName>
    <definedName name="wrn.FirstHalf." localSheetId="24" hidden="1">{"FirstQ",#N/A,FALSE,"Budget2000";"SecondQ",#N/A,FALSE,"Budget2000"}</definedName>
    <definedName name="wrn.FirstHalf." localSheetId="25" hidden="1">{"FirstQ",#N/A,FALSE,"Budget2000";"SecondQ",#N/A,FALSE,"Budget2000"}</definedName>
    <definedName name="wrn.FirstHalf." localSheetId="26" hidden="1">{"FirstQ",#N/A,FALSE,"Budget2000";"SecondQ",#N/A,FALSE,"Budget2000"}</definedName>
    <definedName name="wrn.FirstHalf." localSheetId="27" hidden="1">{"FirstQ",#N/A,FALSE,"Budget2000";"SecondQ",#N/A,FALSE,"Budget2000"}</definedName>
    <definedName name="wrn.FirstHalf." localSheetId="28" hidden="1">{"FirstQ",#N/A,FALSE,"Budget2000";"SecondQ",#N/A,FALSE,"Budget2000"}</definedName>
    <definedName name="wrn.FirstHalf." localSheetId="29" hidden="1">{"FirstQ",#N/A,FALSE,"Budget2000";"SecondQ",#N/A,FALSE,"Budget2000"}</definedName>
    <definedName name="wrn.FirstHalf." localSheetId="6" hidden="1">{"FirstQ",#N/A,FALSE,"Budget2000";"SecondQ",#N/A,FALSE,"Budget2000"}</definedName>
    <definedName name="wrn.FirstHalf." localSheetId="7" hidden="1">{"FirstQ",#N/A,FALSE,"Budget2000";"SecondQ",#N/A,FALSE,"Budget2000"}</definedName>
    <definedName name="wrn.FirstHalf." localSheetId="8" hidden="1">{"FirstQ",#N/A,FALSE,"Budget2000";"SecondQ",#N/A,FALSE,"Budget2000"}</definedName>
    <definedName name="wrn.FirstHalf." localSheetId="9" hidden="1">{"FirstQ",#N/A,FALSE,"Budget2000";"SecondQ",#N/A,FALSE,"Budget2000"}</definedName>
    <definedName name="wrn.FirstHalf." hidden="1">{"FirstQ",#N/A,FALSE,"Budget2000";"SecondQ",#N/A,FALSE,"Budget2000"}</definedName>
    <definedName name="wwww" localSheetId="22" hidden="1">{"FirstQ",#N/A,FALSE,"Budget2000";"SecondQ",#N/A,FALSE,"Budget2000"}</definedName>
    <definedName name="wwww" hidden="1">{"FirstQ",#N/A,FALSE,"Budget2000";"SecondQ",#N/A,FALSE,"Budget2000"}</definedName>
    <definedName name="wwwwwer" localSheetId="22" hidden="1">{"FirstQ",#N/A,FALSE,"Budget2000";"SecondQ",#N/A,FALSE,"Budget2000";"Summary",#N/A,FALSE,"Budget2000"}</definedName>
    <definedName name="wwwwwer" hidden="1">{"FirstQ",#N/A,FALSE,"Budget2000";"SecondQ",#N/A,FALSE,"Budget2000";"Summary",#N/A,FALSE,"Budget2000"}</definedName>
    <definedName name="x" localSheetId="10" hidden="1">{"FirstQ",#N/A,FALSE,"Budget2000";"SecondQ",#N/A,FALSE,"Budget2000";"Summary",#N/A,FALSE,"Budget2000"}</definedName>
    <definedName name="x" localSheetId="11" hidden="1">{"FirstQ",#N/A,FALSE,"Budget2000";"SecondQ",#N/A,FALSE,"Budget2000";"Summary",#N/A,FALSE,"Budget2000"}</definedName>
    <definedName name="x" localSheetId="14" hidden="1">{"FirstQ",#N/A,FALSE,"Budget2000";"SecondQ",#N/A,FALSE,"Budget2000";"Summary",#N/A,FALSE,"Budget2000"}</definedName>
    <definedName name="x" localSheetId="15" hidden="1">{"FirstQ",#N/A,FALSE,"Budget2000";"SecondQ",#N/A,FALSE,"Budget2000";"Summary",#N/A,FALSE,"Budget2000"}</definedName>
    <definedName name="x" localSheetId="16" hidden="1">{"FirstQ",#N/A,FALSE,"Budget2000";"SecondQ",#N/A,FALSE,"Budget2000";"Summary",#N/A,FALSE,"Budget2000"}</definedName>
    <definedName name="x" localSheetId="17" hidden="1">{"FirstQ",#N/A,FALSE,"Budget2000";"SecondQ",#N/A,FALSE,"Budget2000";"Summary",#N/A,FALSE,"Budget2000"}</definedName>
    <definedName name="x" localSheetId="18" hidden="1">{"FirstQ",#N/A,FALSE,"Budget2000";"SecondQ",#N/A,FALSE,"Budget2000";"Summary",#N/A,FALSE,"Budget2000"}</definedName>
    <definedName name="x" localSheetId="19" hidden="1">{"FirstQ",#N/A,FALSE,"Budget2000";"SecondQ",#N/A,FALSE,"Budget2000";"Summary",#N/A,FALSE,"Budget2000"}</definedName>
    <definedName name="x" localSheetId="21" hidden="1">{"FirstQ",#N/A,FALSE,"Budget2000";"SecondQ",#N/A,FALSE,"Budget2000";"Summary",#N/A,FALSE,"Budget2000"}</definedName>
    <definedName name="x" localSheetId="22" hidden="1">{"FirstQ",#N/A,FALSE,"Budget2000";"SecondQ",#N/A,FALSE,"Budget2000";"Summary",#N/A,FALSE,"Budget2000"}</definedName>
    <definedName name="x" localSheetId="23" hidden="1">{"FirstQ",#N/A,FALSE,"Budget2000";"SecondQ",#N/A,FALSE,"Budget2000";"Summary",#N/A,FALSE,"Budget2000"}</definedName>
    <definedName name="x" localSheetId="24" hidden="1">{"FirstQ",#N/A,FALSE,"Budget2000";"SecondQ",#N/A,FALSE,"Budget2000";"Summary",#N/A,FALSE,"Budget2000"}</definedName>
    <definedName name="x" localSheetId="25" hidden="1">{"FirstQ",#N/A,FALSE,"Budget2000";"SecondQ",#N/A,FALSE,"Budget2000";"Summary",#N/A,FALSE,"Budget2000"}</definedName>
    <definedName name="x" localSheetId="26" hidden="1">{"FirstQ",#N/A,FALSE,"Budget2000";"SecondQ",#N/A,FALSE,"Budget2000";"Summary",#N/A,FALSE,"Budget2000"}</definedName>
    <definedName name="x" localSheetId="27" hidden="1">{"FirstQ",#N/A,FALSE,"Budget2000";"SecondQ",#N/A,FALSE,"Budget2000";"Summary",#N/A,FALSE,"Budget2000"}</definedName>
    <definedName name="x" localSheetId="28" hidden="1">{"FirstQ",#N/A,FALSE,"Budget2000";"SecondQ",#N/A,FALSE,"Budget2000";"Summary",#N/A,FALSE,"Budget2000"}</definedName>
    <definedName name="x" localSheetId="29" hidden="1">{"FirstQ",#N/A,FALSE,"Budget2000";"SecondQ",#N/A,FALSE,"Budget2000";"Summary",#N/A,FALSE,"Budget2000"}</definedName>
    <definedName name="x" localSheetId="6" hidden="1">{"FirstQ",#N/A,FALSE,"Budget2000";"SecondQ",#N/A,FALSE,"Budget2000";"Summary",#N/A,FALSE,"Budget2000"}</definedName>
    <definedName name="x" localSheetId="7" hidden="1">{"FirstQ",#N/A,FALSE,"Budget2000";"SecondQ",#N/A,FALSE,"Budget2000";"Summary",#N/A,FALSE,"Budget2000"}</definedName>
    <definedName name="x" localSheetId="8" hidden="1">{"FirstQ",#N/A,FALSE,"Budget2000";"SecondQ",#N/A,FALSE,"Budget2000";"Summary",#N/A,FALSE,"Budget2000"}</definedName>
    <definedName name="x" localSheetId="9" hidden="1">{"FirstQ",#N/A,FALSE,"Budget2000";"SecondQ",#N/A,FALSE,"Budget2000";"Summary",#N/A,FALSE,"Budget2000"}</definedName>
    <definedName name="x" hidden="1">{"FirstQ",#N/A,FALSE,"Budget2000";"SecondQ",#N/A,FALSE,"Budget2000";"Summary",#N/A,FALSE,"Budget2000"}</definedName>
    <definedName name="xxxxxxxxxxxxxxxxxxx" localSheetId="10"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localSheetId="14" hidden="1">{"AllDetail",#N/A,FALSE,"Research Budget";"1stQuarter",#N/A,FALSE,"Research Budget";"2nd Quarter",#N/A,FALSE,"Research Budget";"Summary",#N/A,FALSE,"Research Budget"}</definedName>
    <definedName name="xxxxxxxxxxxxxxxxxxx" localSheetId="15" hidden="1">{"AllDetail",#N/A,FALSE,"Research Budget";"1stQuarter",#N/A,FALSE,"Research Budget";"2nd Quarter",#N/A,FALSE,"Research Budget";"Summary",#N/A,FALSE,"Research Budget"}</definedName>
    <definedName name="xxxxxxxxxxxxxxxxxxx" localSheetId="16" hidden="1">{"AllDetail",#N/A,FALSE,"Research Budget";"1stQuarter",#N/A,FALSE,"Research Budget";"2nd Quarter",#N/A,FALSE,"Research Budget";"Summary",#N/A,FALSE,"Research Budget"}</definedName>
    <definedName name="xxxxxxxxxxxxxxxxxxx" localSheetId="17" hidden="1">{"AllDetail",#N/A,FALSE,"Research Budget";"1stQuarter",#N/A,FALSE,"Research Budget";"2nd Quarter",#N/A,FALSE,"Research Budget";"Summary",#N/A,FALSE,"Research Budget"}</definedName>
    <definedName name="xxxxxxxxxxxxxxxxxxx" localSheetId="18" hidden="1">{"AllDetail",#N/A,FALSE,"Research Budget";"1stQuarter",#N/A,FALSE,"Research Budget";"2nd Quarter",#N/A,FALSE,"Research Budget";"Summary",#N/A,FALSE,"Research Budget"}</definedName>
    <definedName name="xxxxxxxxxxxxxxxxxxx" localSheetId="19" hidden="1">{"AllDetail",#N/A,FALSE,"Research Budget";"1stQuarter",#N/A,FALSE,"Research Budget";"2nd Quarter",#N/A,FALSE,"Research Budget";"Summary",#N/A,FALSE,"Research Budget"}</definedName>
    <definedName name="xxxxxxxxxxxxxxxxxxx" localSheetId="21" hidden="1">{"AllDetail",#N/A,FALSE,"Research Budget";"1stQuarter",#N/A,FALSE,"Research Budget";"2nd Quarter",#N/A,FALSE,"Research Budget";"Summary",#N/A,FALSE,"Research Budget"}</definedName>
    <definedName name="xxxxxxxxxxxxxxxxxxx" localSheetId="22" hidden="1">{"AllDetail",#N/A,FALSE,"Research Budget";"1stQuarter",#N/A,FALSE,"Research Budget";"2nd Quarter",#N/A,FALSE,"Research Budget";"Summary",#N/A,FALSE,"Research Budget"}</definedName>
    <definedName name="xxxxxxxxxxxxxxxxxxx" localSheetId="23" hidden="1">{"AllDetail",#N/A,FALSE,"Research Budget";"1stQuarter",#N/A,FALSE,"Research Budget";"2nd Quarter",#N/A,FALSE,"Research Budget";"Summary",#N/A,FALSE,"Research Budget"}</definedName>
    <definedName name="xxxxxxxxxxxxxxxxxxx" localSheetId="24" hidden="1">{"AllDetail",#N/A,FALSE,"Research Budget";"1stQuarter",#N/A,FALSE,"Research Budget";"2nd Quarter",#N/A,FALSE,"Research Budget";"Summary",#N/A,FALSE,"Research Budget"}</definedName>
    <definedName name="xxxxxxxxxxxxxxxxxxx" localSheetId="25" hidden="1">{"AllDetail",#N/A,FALSE,"Research Budget";"1stQuarter",#N/A,FALSE,"Research Budget";"2nd Quarter",#N/A,FALSE,"Research Budget";"Summary",#N/A,FALSE,"Research Budget"}</definedName>
    <definedName name="xxxxxxxxxxxxxxxxxxx" localSheetId="26" hidden="1">{"AllDetail",#N/A,FALSE,"Research Budget";"1stQuarter",#N/A,FALSE,"Research Budget";"2nd Quarter",#N/A,FALSE,"Research Budget";"Summary",#N/A,FALSE,"Research Budget"}</definedName>
    <definedName name="xxxxxxxxxxxxxxxxxxx" localSheetId="27" hidden="1">{"AllDetail",#N/A,FALSE,"Research Budget";"1stQuarter",#N/A,FALSE,"Research Budget";"2nd Quarter",#N/A,FALSE,"Research Budget";"Summary",#N/A,FALSE,"Research Budget"}</definedName>
    <definedName name="xxxxxxxxxxxxxxxxxxx" localSheetId="28" hidden="1">{"AllDetail",#N/A,FALSE,"Research Budget";"1stQuarter",#N/A,FALSE,"Research Budget";"2nd Quarter",#N/A,FALSE,"Research Budget";"Summary",#N/A,FALSE,"Research Budget"}</definedName>
    <definedName name="xxxxxxxxxxxxxxxxxxx" localSheetId="29" hidden="1">{"AllDetail",#N/A,FALSE,"Research Budget";"1stQuarter",#N/A,FALSE,"Research Budget";"2nd Quarter",#N/A,FALSE,"Research Budget";"Summary",#N/A,FALSE,"Research Budget"}</definedName>
    <definedName name="xxxxxxxxxxxxxxxxxxx" localSheetId="6"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localSheetId="8"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11" hidden="1">'11'!$A$1:$N$744</definedName>
    <definedName name="Z_32E1B1E0_F29A_4FB3_9E7F_F78F245BC75E_.wvu.FilterData" localSheetId="15" hidden="1">'14'!$A$1:$L$742</definedName>
    <definedName name="Z_32E1B1E0_F29A_4FB3_9E7F_F78F245BC75E_.wvu.FilterData" localSheetId="19" hidden="1">'18'!#REF!</definedName>
    <definedName name="Z_32E1B1E0_F29A_4FB3_9E7F_F78F245BC75E_.wvu.FilterData" localSheetId="28" hidden="1">'27'!$A$5:$L$746</definedName>
    <definedName name="Z_32E1B1E0_F29A_4FB3_9E7F_F78F245BC75E_.wvu.FilterData" localSheetId="5" hidden="1">'5'!$A$1:$O$742</definedName>
    <definedName name="Z_32E1B1E0_F29A_4FB3_9E7F_F78F245BC75E_.wvu.FilterData" localSheetId="7" hidden="1">'7'!$A$2:$O$743</definedName>
    <definedName name="Z_32E1B1E0_F29A_4FB3_9E7F_F78F245BC75E_.wvu.PrintArea" localSheetId="19" hidden="1">'18'!#REF!</definedName>
    <definedName name="Z_32E1B1E0_F29A_4FB3_9E7F_F78F245BC75E_.wvu.PrintTitles" localSheetId="19" hidden="1">'18'!$1:$1</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3"/>
        <x14:slicerCache r:id="rId34"/>
        <x14:slicerCache r:id="rId35"/>
        <x14:slicerCache r:id="rId3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 i="32" l="1"/>
  <c r="M4" i="32"/>
  <c r="L8" i="32"/>
  <c r="N10" i="32"/>
  <c r="A3" i="32"/>
  <c r="A4" i="32" s="1"/>
  <c r="A5" i="32" s="1"/>
  <c r="A6" i="32"/>
  <c r="A8" i="32"/>
  <c r="A9" i="32" s="1"/>
  <c r="A10" i="32" s="1"/>
  <c r="A11" i="32"/>
  <c r="A12" i="32" s="1"/>
  <c r="A13" i="32" s="1"/>
  <c r="A14" i="32" s="1"/>
  <c r="A15" i="32" s="1"/>
  <c r="A16" i="32" s="1"/>
  <c r="A17" i="32" s="1"/>
  <c r="A18" i="32" s="1"/>
  <c r="A19" i="32" s="1"/>
  <c r="A20" i="32" s="1"/>
  <c r="A21" i="32" s="1"/>
  <c r="A22" i="32" s="1"/>
  <c r="A23" i="32" s="1"/>
  <c r="A25" i="32"/>
  <c r="A26" i="32" s="1"/>
  <c r="A27" i="32" s="1"/>
  <c r="A28" i="32" s="1"/>
  <c r="A29" i="32" s="1"/>
  <c r="A30" i="32" s="1"/>
  <c r="A31" i="32" s="1"/>
  <c r="A32" i="32" s="1"/>
  <c r="A33" i="32" s="1"/>
  <c r="A35" i="32"/>
  <c r="A36" i="32" s="1"/>
  <c r="A37" i="32"/>
  <c r="A39" i="32"/>
  <c r="A40" i="32" s="1"/>
  <c r="A41" i="32" s="1"/>
  <c r="A42" i="32"/>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8" i="32"/>
  <c r="A99" i="32"/>
  <c r="A100" i="32" s="1"/>
  <c r="A101" i="32" s="1"/>
  <c r="A102" i="32" s="1"/>
  <c r="A103" i="32"/>
  <c r="A104" i="32" s="1"/>
  <c r="A106" i="32"/>
  <c r="A107" i="32"/>
  <c r="A108" i="32"/>
  <c r="A109" i="32" s="1"/>
  <c r="A110" i="32" s="1"/>
  <c r="A111" i="32" s="1"/>
  <c r="A112" i="32"/>
  <c r="A113" i="32" s="1"/>
  <c r="A115" i="32"/>
  <c r="A116" i="32"/>
  <c r="A117" i="32"/>
  <c r="A118" i="32" s="1"/>
  <c r="A119" i="32" s="1"/>
  <c r="A120" i="32" s="1"/>
  <c r="A121" i="32" s="1"/>
  <c r="A122" i="32" s="1"/>
  <c r="A123" i="32" s="1"/>
  <c r="A124" i="32" s="1"/>
  <c r="A125" i="32" s="1"/>
  <c r="A126" i="32" s="1"/>
  <c r="A127" i="32" s="1"/>
  <c r="A128" i="32" s="1"/>
  <c r="A129" i="32" s="1"/>
  <c r="A130" i="32" s="1"/>
  <c r="A131" i="32" s="1"/>
  <c r="A132" i="32" s="1"/>
  <c r="A134" i="32"/>
  <c r="A135" i="32" s="1"/>
  <c r="A136" i="32" s="1"/>
  <c r="A137" i="32" s="1"/>
  <c r="A139" i="32"/>
  <c r="A140" i="32" s="1"/>
  <c r="A141" i="32" s="1"/>
  <c r="A142" i="32" s="1"/>
  <c r="A143" i="32" s="1"/>
  <c r="A144" i="32" s="1"/>
  <c r="A145" i="32" s="1"/>
  <c r="A146" i="32" s="1"/>
  <c r="A147" i="32"/>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7" i="32"/>
  <c r="A178" i="32" s="1"/>
  <c r="A179" i="32" s="1"/>
  <c r="A180" i="32" s="1"/>
  <c r="A181" i="32" s="1"/>
  <c r="A182" i="32" s="1"/>
  <c r="A183" i="32" s="1"/>
  <c r="A185" i="32"/>
  <c r="A186" i="32" s="1"/>
  <c r="A187" i="32" s="1"/>
  <c r="A188" i="32" s="1"/>
  <c r="A189" i="32" s="1"/>
  <c r="A190" i="32" s="1"/>
  <c r="A191" i="32" s="1"/>
  <c r="A192" i="32" s="1"/>
  <c r="A193" i="32"/>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6" i="32"/>
  <c r="A337" i="32" s="1"/>
  <c r="A338" i="32" s="1"/>
  <c r="A339" i="32" s="1"/>
  <c r="A340" i="32" s="1"/>
  <c r="A341" i="32" s="1"/>
  <c r="A343" i="32"/>
  <c r="A344" i="32" s="1"/>
  <c r="A345" i="32"/>
  <c r="A346" i="32" s="1"/>
  <c r="A347" i="32" s="1"/>
  <c r="A348" i="32" s="1"/>
  <c r="A349" i="32"/>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4" i="32"/>
  <c r="A395" i="32"/>
  <c r="A396" i="32" s="1"/>
  <c r="A397" i="32"/>
  <c r="A398" i="32" s="1"/>
  <c r="A399" i="32" s="1"/>
  <c r="A400" i="32" s="1"/>
  <c r="A401" i="32" s="1"/>
  <c r="A402" i="32" s="1"/>
  <c r="A403" i="32" s="1"/>
  <c r="A404" i="32" s="1"/>
  <c r="A405" i="32" s="1"/>
  <c r="A406" i="32" s="1"/>
  <c r="A407" i="32" s="1"/>
  <c r="A408" i="32" s="1"/>
  <c r="A409" i="32" s="1"/>
  <c r="A410" i="32" s="1"/>
  <c r="A411" i="32" s="1"/>
  <c r="A412" i="32" s="1"/>
  <c r="A413" i="32" s="1"/>
  <c r="A415" i="32"/>
  <c r="A416" i="32"/>
  <c r="A417" i="32" s="1"/>
  <c r="A419" i="32"/>
  <c r="A420" i="32" s="1"/>
  <c r="A421" i="32" s="1"/>
  <c r="A422" i="32" s="1"/>
  <c r="A423" i="32"/>
  <c r="A424" i="32" s="1"/>
  <c r="A425" i="32" s="1"/>
  <c r="A426" i="32" s="1"/>
  <c r="A427" i="32" s="1"/>
  <c r="A428" i="32" s="1"/>
  <c r="A429" i="32" s="1"/>
  <c r="A430" i="32" s="1"/>
  <c r="A431" i="32" s="1"/>
  <c r="A432" i="32" s="1"/>
  <c r="A433" i="32" s="1"/>
  <c r="A434" i="32" s="1"/>
  <c r="A435" i="32" s="1"/>
  <c r="A436" i="32" s="1"/>
  <c r="A437" i="32" s="1"/>
  <c r="A438" i="32" s="1"/>
  <c r="A439" i="32" s="1"/>
  <c r="A440" i="32" s="1"/>
  <c r="A441" i="32" s="1"/>
  <c r="A442" i="32" s="1"/>
  <c r="A443" i="32" s="1"/>
  <c r="A444" i="32" s="1"/>
  <c r="A445" i="32" s="1"/>
  <c r="A446" i="32" s="1"/>
  <c r="A447" i="32" s="1"/>
  <c r="A448" i="32" s="1"/>
  <c r="A449" i="32" s="1"/>
  <c r="A450" i="32" s="1"/>
  <c r="A451" i="32" s="1"/>
  <c r="A452" i="32" s="1"/>
  <c r="A453" i="32" s="1"/>
  <c r="A454" i="32" s="1"/>
  <c r="A455" i="32" s="1"/>
  <c r="A456" i="32" s="1"/>
  <c r="A457" i="32" s="1"/>
  <c r="A458" i="32" s="1"/>
  <c r="A459" i="32" s="1"/>
  <c r="A460" i="32" s="1"/>
  <c r="A461" i="32" s="1"/>
  <c r="A463" i="32"/>
  <c r="A464" i="32"/>
  <c r="A465" i="32" s="1"/>
  <c r="A466" i="32" s="1"/>
  <c r="A467" i="32" s="1"/>
  <c r="A468" i="32"/>
  <c r="A469" i="32" s="1"/>
  <c r="A470" i="32" s="1"/>
  <c r="A471" i="32" s="1"/>
  <c r="A472" i="32" s="1"/>
  <c r="A473" i="32" s="1"/>
  <c r="A474" i="32" s="1"/>
  <c r="A475" i="32" s="1"/>
  <c r="A476" i="32" s="1"/>
  <c r="A477" i="32" s="1"/>
  <c r="A479" i="32"/>
  <c r="A480" i="32" s="1"/>
  <c r="A481" i="32"/>
  <c r="A482" i="32" s="1"/>
  <c r="A483" i="32" s="1"/>
  <c r="A484" i="32" s="1"/>
  <c r="A485" i="32" s="1"/>
  <c r="A486" i="32" s="1"/>
  <c r="A487" i="32" s="1"/>
  <c r="A488" i="32" s="1"/>
  <c r="A489" i="32" s="1"/>
  <c r="A490" i="32" s="1"/>
  <c r="A491" i="32" s="1"/>
  <c r="A492" i="32" s="1"/>
  <c r="A493" i="32" s="1"/>
  <c r="A494" i="32" s="1"/>
  <c r="A495" i="32" s="1"/>
  <c r="A496" i="32" s="1"/>
  <c r="A497" i="32" s="1"/>
  <c r="A498" i="32" s="1"/>
  <c r="A499" i="32" s="1"/>
  <c r="A500" i="32" s="1"/>
  <c r="A501" i="32" s="1"/>
  <c r="A502" i="32" s="1"/>
  <c r="A503" i="32" s="1"/>
  <c r="A504" i="32" s="1"/>
  <c r="A505" i="32" s="1"/>
  <c r="A506" i="32" s="1"/>
  <c r="A507" i="32" s="1"/>
  <c r="A508" i="32" s="1"/>
  <c r="A509" i="32" s="1"/>
  <c r="A510" i="32" s="1"/>
  <c r="A511" i="32" s="1"/>
  <c r="A512" i="32" s="1"/>
  <c r="A513" i="32" s="1"/>
  <c r="A514" i="32" s="1"/>
  <c r="A515" i="32" s="1"/>
  <c r="A516" i="32" s="1"/>
  <c r="A517" i="32" s="1"/>
  <c r="A518" i="32" s="1"/>
  <c r="A519" i="32" s="1"/>
  <c r="A520" i="32" s="1"/>
  <c r="A521" i="32" s="1"/>
  <c r="A522" i="32" s="1"/>
  <c r="A523" i="32" s="1"/>
  <c r="A524" i="32" s="1"/>
  <c r="A525" i="32" s="1"/>
  <c r="A526" i="32" s="1"/>
  <c r="A527" i="32" s="1"/>
  <c r="A528" i="32" s="1"/>
  <c r="A529" i="32" s="1"/>
  <c r="A530" i="32" s="1"/>
  <c r="A531" i="32" s="1"/>
  <c r="A532" i="32" s="1"/>
  <c r="A533" i="32" s="1"/>
  <c r="A534" i="32" s="1"/>
  <c r="A535" i="32" s="1"/>
  <c r="A536" i="32" s="1"/>
  <c r="A537" i="32" s="1"/>
  <c r="A538" i="32" s="1"/>
  <c r="A539" i="32" s="1"/>
  <c r="A540" i="32" s="1"/>
  <c r="A541" i="32" s="1"/>
  <c r="A542" i="32" s="1"/>
  <c r="A543" i="32" s="1"/>
  <c r="A544" i="32" s="1"/>
  <c r="A545" i="32" s="1"/>
  <c r="A546" i="32" s="1"/>
  <c r="A547" i="32" s="1"/>
  <c r="A548" i="32" s="1"/>
  <c r="A549" i="32" s="1"/>
  <c r="A550" i="32" s="1"/>
  <c r="A551" i="32" s="1"/>
  <c r="A552" i="32" s="1"/>
  <c r="A553" i="32" s="1"/>
  <c r="A554" i="32" s="1"/>
  <c r="A555" i="32" s="1"/>
  <c r="A556" i="32" s="1"/>
  <c r="A557" i="32" s="1"/>
  <c r="A558" i="32" s="1"/>
  <c r="A559" i="32" s="1"/>
  <c r="A560" i="32" s="1"/>
  <c r="A561" i="32" s="1"/>
  <c r="A562" i="32" s="1"/>
  <c r="A563" i="32" s="1"/>
  <c r="A564" i="32" s="1"/>
  <c r="A565" i="32" s="1"/>
  <c r="A567" i="32"/>
  <c r="A568" i="32"/>
  <c r="A569" i="32" s="1"/>
  <c r="A570" i="32"/>
  <c r="A571" i="32" s="1"/>
  <c r="A572" i="32" s="1"/>
  <c r="A573" i="32" s="1"/>
  <c r="A574" i="32" s="1"/>
  <c r="A575" i="32" s="1"/>
  <c r="A576" i="32" s="1"/>
  <c r="A577" i="32" s="1"/>
  <c r="A578" i="32" s="1"/>
  <c r="A579" i="32" s="1"/>
  <c r="A580" i="32" s="1"/>
  <c r="A581" i="32" s="1"/>
  <c r="A582" i="32" s="1"/>
  <c r="A583" i="32" s="1"/>
  <c r="A584" i="32" s="1"/>
  <c r="A585" i="32" s="1"/>
  <c r="A586" i="32" s="1"/>
  <c r="A587" i="32" s="1"/>
  <c r="A588" i="32" s="1"/>
  <c r="A589" i="32" s="1"/>
  <c r="A590" i="32" s="1"/>
  <c r="A591" i="32" s="1"/>
  <c r="A592" i="32" s="1"/>
  <c r="A593" i="32" s="1"/>
  <c r="A594" i="32" s="1"/>
  <c r="A595" i="32" s="1"/>
  <c r="A596" i="32" s="1"/>
  <c r="A597" i="32" s="1"/>
  <c r="A598" i="32" s="1"/>
  <c r="A599" i="32" s="1"/>
  <c r="A600" i="32" s="1"/>
  <c r="A601" i="32" s="1"/>
  <c r="A602" i="32" s="1"/>
  <c r="A603" i="32" s="1"/>
  <c r="A604" i="32" s="1"/>
  <c r="A605" i="32" s="1"/>
  <c r="A606" i="32" s="1"/>
  <c r="A607" i="32" s="1"/>
  <c r="A608" i="32" s="1"/>
  <c r="A609" i="32" s="1"/>
  <c r="A610" i="32" s="1"/>
  <c r="A611" i="32" s="1"/>
  <c r="A612" i="32" s="1"/>
  <c r="A613" i="32" s="1"/>
  <c r="A614" i="32" s="1"/>
  <c r="A615" i="32" s="1"/>
  <c r="A616" i="32" s="1"/>
  <c r="A617" i="32" s="1"/>
  <c r="A618" i="32" s="1"/>
  <c r="A619" i="32" s="1"/>
  <c r="A620" i="32" s="1"/>
  <c r="A621" i="32" s="1"/>
  <c r="A622" i="32" s="1"/>
  <c r="A623" i="32" s="1"/>
  <c r="A624" i="32" s="1"/>
  <c r="A625" i="32" s="1"/>
  <c r="A626" i="32" s="1"/>
  <c r="A627" i="32" s="1"/>
  <c r="A628" i="32" s="1"/>
  <c r="A629" i="32" s="1"/>
  <c r="A630" i="32" s="1"/>
  <c r="A631" i="32" s="1"/>
  <c r="A632" i="32" s="1"/>
  <c r="A633" i="32" s="1"/>
  <c r="A634" i="32" s="1"/>
  <c r="A635" i="32" s="1"/>
  <c r="A636" i="32" s="1"/>
  <c r="A637" i="32" s="1"/>
  <c r="A638" i="32" s="1"/>
  <c r="A640" i="32"/>
  <c r="A641" i="32"/>
  <c r="A642" i="32" s="1"/>
  <c r="A643" i="32" s="1"/>
  <c r="A644" i="32" s="1"/>
  <c r="A645" i="32" s="1"/>
  <c r="A646" i="32" s="1"/>
  <c r="A647" i="32" s="1"/>
  <c r="A648" i="32" s="1"/>
  <c r="A649" i="32" s="1"/>
  <c r="A650" i="32" s="1"/>
  <c r="A651" i="32" s="1"/>
  <c r="A652" i="32" s="1"/>
  <c r="A653" i="32" s="1"/>
  <c r="A654" i="32" s="1"/>
  <c r="A655" i="32" s="1"/>
  <c r="A656" i="32" s="1"/>
  <c r="A657" i="32" s="1"/>
  <c r="A658" i="32" s="1"/>
  <c r="A659" i="32" s="1"/>
  <c r="A660" i="32" s="1"/>
  <c r="A661" i="32" s="1"/>
  <c r="A662" i="32" s="1"/>
  <c r="A663" i="32" s="1"/>
  <c r="A664" i="32" s="1"/>
  <c r="A665" i="32" s="1"/>
  <c r="A666" i="32" s="1"/>
  <c r="A667" i="32" s="1"/>
  <c r="A668" i="32" s="1"/>
  <c r="A669" i="32" s="1"/>
  <c r="A670" i="32" s="1"/>
  <c r="A671" i="32" s="1"/>
  <c r="A672" i="32" s="1"/>
  <c r="A673" i="32" s="1"/>
  <c r="A674" i="32" s="1"/>
  <c r="A675" i="32" s="1"/>
  <c r="A676" i="32" s="1"/>
  <c r="A677" i="32" s="1"/>
  <c r="A678" i="32" s="1"/>
  <c r="A679" i="32" s="1"/>
  <c r="A680" i="32" s="1"/>
  <c r="A681" i="32" s="1"/>
  <c r="A682" i="32" s="1"/>
  <c r="A683" i="32" s="1"/>
  <c r="A684" i="32" s="1"/>
  <c r="A685" i="32" s="1"/>
  <c r="A686" i="32" s="1"/>
  <c r="A687" i="32" s="1"/>
  <c r="A688" i="32" s="1"/>
  <c r="A689" i="32" s="1"/>
  <c r="A690" i="32" s="1"/>
  <c r="A691" i="32" s="1"/>
  <c r="A692" i="32" s="1"/>
  <c r="A693" i="32" s="1"/>
  <c r="A694" i="32" s="1"/>
  <c r="A695" i="32" s="1"/>
  <c r="A696" i="32" s="1"/>
  <c r="A697" i="32" s="1"/>
  <c r="A698" i="32" s="1"/>
  <c r="A699" i="32" s="1"/>
  <c r="A700" i="32" s="1"/>
  <c r="A701" i="32" s="1"/>
  <c r="A702" i="32" s="1"/>
  <c r="A703" i="32" s="1"/>
  <c r="A704" i="32" s="1"/>
  <c r="A705" i="32" s="1"/>
  <c r="A706" i="32" s="1"/>
  <c r="A707" i="32" s="1"/>
  <c r="A708" i="32" s="1"/>
  <c r="A709" i="32" s="1"/>
  <c r="A710" i="32" s="1"/>
  <c r="A711" i="32" s="1"/>
  <c r="A712" i="32" s="1"/>
  <c r="A713" i="32" s="1"/>
  <c r="A714" i="32" s="1"/>
  <c r="A715" i="32" s="1"/>
  <c r="A716" i="32" s="1"/>
  <c r="A717" i="32" s="1"/>
  <c r="A718" i="32" s="1"/>
  <c r="A719" i="32" s="1"/>
  <c r="A720" i="32" s="1"/>
  <c r="A721" i="32" s="1"/>
  <c r="A722" i="32" s="1"/>
  <c r="A723" i="32" s="1"/>
  <c r="A724" i="32" s="1"/>
  <c r="A725" i="32" s="1"/>
  <c r="A726" i="32" s="1"/>
  <c r="A727" i="32" s="1"/>
  <c r="A728" i="32" s="1"/>
  <c r="A729" i="32" s="1"/>
  <c r="A730" i="32" s="1"/>
  <c r="A731" i="32" s="1"/>
  <c r="A732" i="32" s="1"/>
  <c r="A734" i="32"/>
  <c r="A735" i="32" s="1"/>
  <c r="A736" i="32"/>
  <c r="A737" i="32" s="1"/>
  <c r="A739" i="32"/>
  <c r="A740" i="32" s="1"/>
  <c r="A741" i="32" s="1"/>
  <c r="A742" i="32" s="1"/>
  <c r="E3" i="31"/>
  <c r="E4" i="31"/>
  <c r="E5" i="31"/>
  <c r="E6" i="31"/>
  <c r="E7" i="31"/>
  <c r="E8" i="31"/>
  <c r="E9" i="31"/>
  <c r="E10" i="31"/>
  <c r="E11" i="31"/>
  <c r="E12" i="31"/>
  <c r="E13" i="31"/>
  <c r="E14" i="31"/>
  <c r="E15" i="31"/>
  <c r="E16" i="31"/>
  <c r="E17" i="31"/>
  <c r="E18" i="31"/>
  <c r="E19" i="31"/>
  <c r="E20" i="31"/>
  <c r="E21" i="31"/>
  <c r="E2" i="31"/>
  <c r="B3" i="31"/>
  <c r="B4" i="31"/>
  <c r="B5" i="31"/>
  <c r="B6" i="31"/>
  <c r="B7" i="31"/>
  <c r="B8" i="31"/>
  <c r="B9" i="31"/>
  <c r="B10" i="31"/>
  <c r="B11" i="31"/>
  <c r="B12" i="31"/>
  <c r="B13" i="31"/>
  <c r="B14" i="31"/>
  <c r="B15" i="31"/>
  <c r="B16" i="31"/>
  <c r="B17" i="31"/>
  <c r="B18" i="31"/>
  <c r="B19" i="31"/>
  <c r="B20" i="31"/>
  <c r="B2" i="31"/>
  <c r="D3" i="30"/>
  <c r="D4" i="30"/>
  <c r="D5" i="30"/>
  <c r="D6" i="30"/>
  <c r="D7" i="30"/>
  <c r="D8" i="30"/>
  <c r="D9" i="30"/>
  <c r="D10" i="30"/>
  <c r="D11" i="30"/>
  <c r="D12" i="30"/>
  <c r="D13" i="30"/>
  <c r="D14" i="30"/>
  <c r="D15" i="30"/>
  <c r="D16" i="30"/>
  <c r="D17" i="30"/>
  <c r="D18" i="30"/>
  <c r="D19" i="30"/>
  <c r="D20" i="30"/>
  <c r="D21" i="30"/>
  <c r="D22" i="30"/>
  <c r="D23" i="30"/>
  <c r="D24" i="30"/>
  <c r="D25" i="30"/>
  <c r="D26" i="30"/>
  <c r="D27" i="30"/>
  <c r="D28" i="30"/>
  <c r="D29" i="30"/>
  <c r="D30" i="30"/>
  <c r="D31" i="30"/>
  <c r="D32" i="30"/>
  <c r="D33" i="30"/>
  <c r="D34" i="30"/>
  <c r="D35" i="30"/>
  <c r="D36" i="30"/>
  <c r="D37" i="30"/>
  <c r="D38" i="30"/>
  <c r="D39" i="30"/>
  <c r="D40" i="30"/>
  <c r="D41" i="30"/>
  <c r="D42" i="30"/>
  <c r="D43" i="30"/>
  <c r="D44" i="30"/>
  <c r="D45" i="30"/>
  <c r="D46" i="30"/>
  <c r="D47" i="30"/>
  <c r="D48" i="30"/>
  <c r="D49" i="30"/>
  <c r="D50" i="30"/>
  <c r="D51" i="30"/>
  <c r="D52" i="30"/>
  <c r="D53" i="30"/>
  <c r="D54" i="30"/>
  <c r="D55" i="30"/>
  <c r="D56" i="30"/>
  <c r="D57" i="30"/>
  <c r="D58" i="30"/>
  <c r="D59" i="30"/>
  <c r="D60" i="30"/>
  <c r="D61" i="30"/>
  <c r="D62" i="30"/>
  <c r="D63" i="30"/>
  <c r="D64" i="30"/>
  <c r="D65" i="30"/>
  <c r="D66" i="30"/>
  <c r="D67" i="30"/>
  <c r="D68" i="30"/>
  <c r="D69" i="30"/>
  <c r="D70" i="30"/>
  <c r="D71" i="30"/>
  <c r="D72" i="30"/>
  <c r="D73" i="30"/>
  <c r="D74" i="30"/>
  <c r="D75" i="30"/>
  <c r="D76" i="30"/>
  <c r="D77" i="30"/>
  <c r="D78" i="30"/>
  <c r="D79" i="30"/>
  <c r="D80" i="30"/>
  <c r="D81" i="30"/>
  <c r="D82" i="30"/>
  <c r="D83" i="30"/>
  <c r="D84" i="30"/>
  <c r="D85" i="30"/>
  <c r="D86" i="30"/>
  <c r="D87" i="30"/>
  <c r="D88" i="30"/>
  <c r="D89" i="30"/>
  <c r="D90" i="30"/>
  <c r="D91" i="30"/>
  <c r="D92" i="30"/>
  <c r="D93" i="30"/>
  <c r="D94" i="30"/>
  <c r="D95" i="30"/>
  <c r="D96" i="30"/>
  <c r="D97" i="30"/>
  <c r="D98" i="30"/>
  <c r="D99" i="30"/>
  <c r="D100" i="30"/>
  <c r="D101" i="30"/>
  <c r="D102" i="30"/>
  <c r="D103" i="30"/>
  <c r="D104" i="30"/>
  <c r="D105" i="30"/>
  <c r="D106" i="30"/>
  <c r="D107" i="30"/>
  <c r="D108" i="30"/>
  <c r="D109" i="30"/>
  <c r="D110" i="30"/>
  <c r="D111" i="30"/>
  <c r="D112" i="30"/>
  <c r="D113" i="30"/>
  <c r="D114" i="30"/>
  <c r="D115" i="30"/>
  <c r="D116" i="30"/>
  <c r="D117" i="30"/>
  <c r="D118" i="30"/>
  <c r="D119" i="30"/>
  <c r="D120" i="30"/>
  <c r="D121" i="30"/>
  <c r="D122" i="30"/>
  <c r="D123" i="30"/>
  <c r="D124" i="30"/>
  <c r="D125" i="30"/>
  <c r="D126" i="30"/>
  <c r="D127" i="30"/>
  <c r="D128" i="30"/>
  <c r="D129" i="30"/>
  <c r="D130" i="30"/>
  <c r="D131" i="30"/>
  <c r="D132" i="30"/>
  <c r="D133" i="30"/>
  <c r="D134" i="30"/>
  <c r="D135" i="30"/>
  <c r="D136" i="30"/>
  <c r="D137" i="30"/>
  <c r="D138" i="30"/>
  <c r="D139" i="30"/>
  <c r="D140" i="30"/>
  <c r="D141" i="30"/>
  <c r="D142" i="30"/>
  <c r="D143" i="30"/>
  <c r="D144" i="30"/>
  <c r="D145" i="30"/>
  <c r="D146" i="30"/>
  <c r="D147" i="30"/>
  <c r="D148" i="30"/>
  <c r="D149" i="30"/>
  <c r="D150" i="30"/>
  <c r="D151" i="30"/>
  <c r="D152" i="30"/>
  <c r="D153" i="30"/>
  <c r="D154" i="30"/>
  <c r="D155" i="30"/>
  <c r="D156" i="30"/>
  <c r="D157" i="30"/>
  <c r="D158" i="30"/>
  <c r="D159" i="30"/>
  <c r="D160" i="30"/>
  <c r="D161" i="30"/>
  <c r="D162" i="30"/>
  <c r="D163" i="30"/>
  <c r="D164" i="30"/>
  <c r="D165" i="30"/>
  <c r="D166" i="30"/>
  <c r="D167" i="30"/>
  <c r="D168" i="30"/>
  <c r="D169" i="30"/>
  <c r="D170" i="30"/>
  <c r="D171" i="30"/>
  <c r="D172" i="30"/>
  <c r="D173" i="30"/>
  <c r="D174" i="30"/>
  <c r="D175" i="30"/>
  <c r="D176" i="30"/>
  <c r="D177" i="30"/>
  <c r="D178" i="30"/>
  <c r="D179" i="30"/>
  <c r="D180" i="30"/>
  <c r="D181" i="30"/>
  <c r="D182" i="30"/>
  <c r="D183" i="30"/>
  <c r="D184" i="30"/>
  <c r="D185" i="30"/>
  <c r="D186" i="30"/>
  <c r="D187" i="30"/>
  <c r="D188" i="30"/>
  <c r="D189" i="30"/>
  <c r="D190" i="30"/>
  <c r="D191" i="30"/>
  <c r="D192" i="30"/>
  <c r="D193" i="30"/>
  <c r="D194" i="30"/>
  <c r="D195" i="30"/>
  <c r="D196" i="30"/>
  <c r="D197" i="30"/>
  <c r="D198" i="30"/>
  <c r="D199" i="30"/>
  <c r="D200" i="30"/>
  <c r="D201" i="30"/>
  <c r="D202" i="30"/>
  <c r="D203" i="30"/>
  <c r="D204" i="30"/>
  <c r="D205" i="30"/>
  <c r="D206" i="30"/>
  <c r="D207" i="30"/>
  <c r="D208" i="30"/>
  <c r="D209" i="30"/>
  <c r="D210" i="30"/>
  <c r="D211" i="30"/>
  <c r="D212" i="30"/>
  <c r="D213" i="30"/>
  <c r="D214" i="30"/>
  <c r="D215" i="30"/>
  <c r="D216" i="30"/>
  <c r="D217" i="30"/>
  <c r="D218" i="30"/>
  <c r="D219" i="30"/>
  <c r="D220" i="30"/>
  <c r="D221" i="30"/>
  <c r="D222" i="30"/>
  <c r="D223" i="30"/>
  <c r="D224" i="30"/>
  <c r="D225" i="30"/>
  <c r="D226" i="30"/>
  <c r="D227" i="30"/>
  <c r="D228" i="30"/>
  <c r="D229" i="30"/>
  <c r="D230" i="30"/>
  <c r="D231" i="30"/>
  <c r="D232" i="30"/>
  <c r="D233" i="30"/>
  <c r="D234" i="30"/>
  <c r="D235" i="30"/>
  <c r="D236" i="30"/>
  <c r="D237" i="30"/>
  <c r="D238" i="30"/>
  <c r="D239" i="30"/>
  <c r="D240" i="30"/>
  <c r="D241" i="30"/>
  <c r="D242" i="30"/>
  <c r="D243" i="30"/>
  <c r="D244" i="30"/>
  <c r="D245" i="30"/>
  <c r="D246" i="30"/>
  <c r="D247" i="30"/>
  <c r="D248" i="30"/>
  <c r="D249" i="30"/>
  <c r="D250" i="30"/>
  <c r="D251" i="30"/>
  <c r="D252" i="30"/>
  <c r="D253" i="30"/>
  <c r="D254" i="30"/>
  <c r="D255" i="30"/>
  <c r="D256" i="30"/>
  <c r="D257" i="30"/>
  <c r="D258" i="30"/>
  <c r="D259" i="30"/>
  <c r="D260" i="30"/>
  <c r="D261" i="30"/>
  <c r="D262" i="30"/>
  <c r="D263" i="30"/>
  <c r="D264" i="30"/>
  <c r="D265" i="30"/>
  <c r="D266" i="30"/>
  <c r="D267" i="30"/>
  <c r="D268" i="30"/>
  <c r="D269" i="30"/>
  <c r="D270" i="30"/>
  <c r="D271" i="30"/>
  <c r="D272" i="30"/>
  <c r="D273" i="30"/>
  <c r="D274" i="30"/>
  <c r="D275" i="30"/>
  <c r="D276" i="30"/>
  <c r="D277" i="30"/>
  <c r="D2" i="30"/>
  <c r="F3" i="29"/>
  <c r="F4" i="29"/>
  <c r="F5" i="29"/>
  <c r="F6" i="29"/>
  <c r="F7" i="29"/>
  <c r="F8" i="29"/>
  <c r="F9" i="29"/>
  <c r="F10" i="29"/>
  <c r="F11" i="29"/>
  <c r="F12" i="29"/>
  <c r="F13" i="29"/>
  <c r="F14" i="29"/>
  <c r="F15" i="29"/>
  <c r="F16" i="29"/>
  <c r="F17" i="29"/>
  <c r="F18" i="29"/>
  <c r="F19" i="29"/>
  <c r="F20" i="29"/>
  <c r="F21" i="29"/>
  <c r="F22" i="29"/>
  <c r="F23" i="29"/>
  <c r="F24" i="29"/>
  <c r="F25" i="29"/>
  <c r="F26" i="29"/>
  <c r="F27" i="29"/>
  <c r="F28" i="29"/>
  <c r="F29" i="29"/>
  <c r="F30" i="29"/>
  <c r="F2" i="29"/>
  <c r="B7" i="29"/>
  <c r="B2" i="29"/>
  <c r="F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B166" i="27"/>
  <c r="B167" i="27"/>
  <c r="B168" i="27"/>
  <c r="B169" i="27"/>
  <c r="B170" i="27"/>
  <c r="B171" i="27"/>
  <c r="B172" i="27"/>
  <c r="B173" i="27"/>
  <c r="B174" i="27"/>
  <c r="B175" i="27"/>
  <c r="B176" i="27"/>
  <c r="B177" i="27"/>
  <c r="B178" i="27"/>
  <c r="B179" i="27"/>
  <c r="B180" i="27"/>
  <c r="B181" i="27"/>
  <c r="B182" i="27"/>
  <c r="B183" i="27"/>
  <c r="B184" i="27"/>
  <c r="B185" i="27"/>
  <c r="B186" i="27"/>
  <c r="B187" i="27"/>
  <c r="B188" i="27"/>
  <c r="B189" i="27"/>
  <c r="B190" i="27"/>
  <c r="B191" i="27"/>
  <c r="B192" i="27"/>
  <c r="B193" i="27"/>
  <c r="B194" i="27"/>
  <c r="B195" i="27"/>
  <c r="B196" i="27"/>
  <c r="B197" i="27"/>
  <c r="B198" i="27"/>
  <c r="B199" i="27"/>
  <c r="B200" i="27"/>
  <c r="B201" i="27"/>
  <c r="B202" i="27"/>
  <c r="B203" i="27"/>
  <c r="B204" i="27"/>
  <c r="B205" i="27"/>
  <c r="B206" i="27"/>
  <c r="B207" i="27"/>
  <c r="B208" i="27"/>
  <c r="B209" i="27"/>
  <c r="B210" i="27"/>
  <c r="B211" i="27"/>
  <c r="B212" i="27"/>
  <c r="B213" i="27"/>
  <c r="B214" i="27"/>
  <c r="B215" i="27"/>
  <c r="B216" i="27"/>
  <c r="B217" i="27"/>
  <c r="B218" i="27"/>
  <c r="B219" i="27"/>
  <c r="B220" i="27"/>
  <c r="B221" i="27"/>
  <c r="B222" i="27"/>
  <c r="B223" i="27"/>
  <c r="B224" i="27"/>
  <c r="B225" i="27"/>
  <c r="B226" i="27"/>
  <c r="B227" i="27"/>
  <c r="B228" i="27"/>
  <c r="B229" i="27"/>
  <c r="B230" i="27"/>
  <c r="B231" i="27"/>
  <c r="B232" i="27"/>
  <c r="B233" i="27"/>
  <c r="B234" i="27"/>
  <c r="B235" i="27"/>
  <c r="B236" i="27"/>
  <c r="B237" i="27"/>
  <c r="B238" i="27"/>
  <c r="B239" i="27"/>
  <c r="B240" i="27"/>
  <c r="B241" i="27"/>
  <c r="B242" i="27"/>
  <c r="B243" i="27"/>
  <c r="B244" i="27"/>
  <c r="B245" i="27"/>
  <c r="B246" i="27"/>
  <c r="B247" i="27"/>
  <c r="B248" i="27"/>
  <c r="B249" i="27"/>
  <c r="B250" i="27"/>
  <c r="B251" i="27"/>
  <c r="B252" i="27"/>
  <c r="B253" i="27"/>
  <c r="B254" i="27"/>
  <c r="B255" i="27"/>
  <c r="B256" i="27"/>
  <c r="B257" i="27"/>
  <c r="B258" i="27"/>
  <c r="B259" i="27"/>
  <c r="B260" i="27"/>
  <c r="B261" i="27"/>
  <c r="B262" i="27"/>
  <c r="B263" i="27"/>
  <c r="B264" i="27"/>
  <c r="B265" i="27"/>
  <c r="B266" i="27"/>
  <c r="B267" i="27"/>
  <c r="B268" i="27"/>
  <c r="B269" i="27"/>
  <c r="B270" i="27"/>
  <c r="B271" i="27"/>
  <c r="B272" i="27"/>
  <c r="B273" i="27"/>
  <c r="B274" i="27"/>
  <c r="B275" i="27"/>
  <c r="B276" i="27"/>
  <c r="B277" i="27"/>
  <c r="B278" i="27"/>
  <c r="B279" i="27"/>
  <c r="B280" i="27"/>
  <c r="B281" i="27"/>
  <c r="B282" i="27"/>
  <c r="B283" i="27"/>
  <c r="B284" i="27"/>
  <c r="B285" i="27"/>
  <c r="B286" i="27"/>
  <c r="B287" i="27"/>
  <c r="B288" i="27"/>
  <c r="B289" i="27"/>
  <c r="B290" i="27"/>
  <c r="B291" i="27"/>
  <c r="B292" i="27"/>
  <c r="B293" i="27"/>
  <c r="B294" i="27"/>
  <c r="B295" i="27"/>
  <c r="B296" i="27"/>
  <c r="B297" i="27"/>
  <c r="B298" i="27"/>
  <c r="B299" i="27"/>
  <c r="B300" i="27"/>
  <c r="B301" i="27"/>
  <c r="B302" i="27"/>
  <c r="B303" i="27"/>
  <c r="B304" i="27"/>
  <c r="B305" i="27"/>
  <c r="B306" i="27"/>
  <c r="B307" i="27"/>
  <c r="B308" i="27"/>
  <c r="B309" i="27"/>
  <c r="B310" i="27"/>
  <c r="B311" i="27"/>
  <c r="B312" i="27"/>
  <c r="B313" i="27"/>
  <c r="B314" i="27"/>
  <c r="B315" i="27"/>
  <c r="B316" i="27"/>
  <c r="B317" i="27"/>
  <c r="B318" i="27"/>
  <c r="B319" i="27"/>
  <c r="B320" i="27"/>
  <c r="B321" i="27"/>
  <c r="B322" i="27"/>
  <c r="B323" i="27"/>
  <c r="B324" i="27"/>
  <c r="B325" i="27"/>
  <c r="B326" i="27"/>
  <c r="B327" i="27"/>
  <c r="B328" i="27"/>
  <c r="B329" i="27"/>
  <c r="B330" i="27"/>
  <c r="B331" i="27"/>
  <c r="B332" i="27"/>
  <c r="B333" i="27"/>
  <c r="B334" i="27"/>
  <c r="B335" i="27"/>
  <c r="B336" i="27"/>
  <c r="B337" i="27"/>
  <c r="B338" i="27"/>
  <c r="B339" i="27"/>
  <c r="B340" i="27"/>
  <c r="B341" i="27"/>
  <c r="B342" i="27"/>
  <c r="B343" i="27"/>
  <c r="B344" i="27"/>
  <c r="B345" i="27"/>
  <c r="B346" i="27"/>
  <c r="B347" i="27"/>
  <c r="B348" i="27"/>
  <c r="B349" i="27"/>
  <c r="B350" i="27"/>
  <c r="B351" i="27"/>
  <c r="B352" i="27"/>
  <c r="B353" i="27"/>
  <c r="B354" i="27"/>
  <c r="B355" i="27"/>
  <c r="B356" i="27"/>
  <c r="B357" i="27"/>
  <c r="B358" i="27"/>
  <c r="B359" i="27"/>
  <c r="B360" i="27"/>
  <c r="B361" i="27"/>
  <c r="B362" i="27"/>
  <c r="B363" i="27"/>
  <c r="B364" i="27"/>
  <c r="B365" i="27"/>
  <c r="B366" i="27"/>
  <c r="B367" i="27"/>
  <c r="B368" i="27"/>
  <c r="B369" i="27"/>
  <c r="B370" i="27"/>
  <c r="B371" i="27"/>
  <c r="B372" i="27"/>
  <c r="B373" i="27"/>
  <c r="B374" i="27"/>
  <c r="B375" i="27"/>
  <c r="B376" i="27"/>
  <c r="B377" i="27"/>
  <c r="B378" i="27"/>
  <c r="B379" i="27"/>
  <c r="B380" i="27"/>
  <c r="B381" i="27"/>
  <c r="B382" i="27"/>
  <c r="B383" i="27"/>
  <c r="B384" i="27"/>
  <c r="B385" i="27"/>
  <c r="B386" i="27"/>
  <c r="B387" i="27"/>
  <c r="B388" i="27"/>
  <c r="B389" i="27"/>
  <c r="B390" i="27"/>
  <c r="B391" i="27"/>
  <c r="B392" i="27"/>
  <c r="B393" i="27"/>
  <c r="B394" i="27"/>
  <c r="B395" i="27"/>
  <c r="B396" i="27"/>
  <c r="B397" i="27"/>
  <c r="B398" i="27"/>
  <c r="B399" i="27"/>
  <c r="B400" i="27"/>
  <c r="B401" i="27"/>
  <c r="B402" i="27"/>
  <c r="B403" i="27"/>
  <c r="B404" i="27"/>
  <c r="B405" i="27"/>
  <c r="B406" i="27"/>
  <c r="B407" i="27"/>
  <c r="B408" i="27"/>
  <c r="B409" i="27"/>
  <c r="B410" i="27"/>
  <c r="B411" i="27"/>
  <c r="B412" i="27"/>
  <c r="B413" i="27"/>
  <c r="B414" i="27"/>
  <c r="B415" i="27"/>
  <c r="B416" i="27"/>
  <c r="B417" i="27"/>
  <c r="B418" i="27"/>
  <c r="B419" i="27"/>
  <c r="B420" i="27"/>
  <c r="B421" i="27"/>
  <c r="B422" i="27"/>
  <c r="B423" i="27"/>
  <c r="B424" i="27"/>
  <c r="B425" i="27"/>
  <c r="B426" i="27"/>
  <c r="B427" i="27"/>
  <c r="B428" i="27"/>
  <c r="B429" i="27"/>
  <c r="B430" i="27"/>
  <c r="B431" i="27"/>
  <c r="B432" i="27"/>
  <c r="B433" i="27"/>
  <c r="B434" i="27"/>
  <c r="B435" i="27"/>
  <c r="B436" i="27"/>
  <c r="B437" i="27"/>
  <c r="B438" i="27"/>
  <c r="B439" i="27"/>
  <c r="B440" i="27"/>
  <c r="B441" i="27"/>
  <c r="B442" i="27"/>
  <c r="B443" i="27"/>
  <c r="B444" i="27"/>
  <c r="B445" i="27"/>
  <c r="B446" i="27"/>
  <c r="B447" i="27"/>
  <c r="B448" i="27"/>
  <c r="B449" i="27"/>
  <c r="B450" i="27"/>
  <c r="B451" i="27"/>
  <c r="B452" i="27"/>
  <c r="B453" i="27"/>
  <c r="B454" i="27"/>
  <c r="B455" i="27"/>
  <c r="B456" i="27"/>
  <c r="B457" i="27"/>
  <c r="B458" i="27"/>
  <c r="B459" i="27"/>
  <c r="B460" i="27"/>
  <c r="B461" i="27"/>
  <c r="B462" i="27"/>
  <c r="B463" i="27"/>
  <c r="B464" i="27"/>
  <c r="B465" i="27"/>
  <c r="B466" i="27"/>
  <c r="B467" i="27"/>
  <c r="B468" i="27"/>
  <c r="B469" i="27"/>
  <c r="B470" i="27"/>
  <c r="B471" i="27"/>
  <c r="B472" i="27"/>
  <c r="B473" i="27"/>
  <c r="B474" i="27"/>
  <c r="B475" i="27"/>
  <c r="B476" i="27"/>
  <c r="B477" i="27"/>
  <c r="B478" i="27"/>
  <c r="B479" i="27"/>
  <c r="B480" i="27"/>
  <c r="B481" i="27"/>
  <c r="B482" i="27"/>
  <c r="B483" i="27"/>
  <c r="B484" i="27"/>
  <c r="B485" i="27"/>
  <c r="B486" i="27"/>
  <c r="B487" i="27"/>
  <c r="B488" i="27"/>
  <c r="B489" i="27"/>
  <c r="B490" i="27"/>
  <c r="B491" i="27"/>
  <c r="B492" i="27"/>
  <c r="B493" i="27"/>
  <c r="B494" i="27"/>
  <c r="B495" i="27"/>
  <c r="B496" i="27"/>
  <c r="B497" i="27"/>
  <c r="B498" i="27"/>
  <c r="B499" i="27"/>
  <c r="B500" i="27"/>
  <c r="B501" i="27"/>
  <c r="B502" i="27"/>
  <c r="B503" i="27"/>
  <c r="B504" i="27"/>
  <c r="B505" i="27"/>
  <c r="B506" i="27"/>
  <c r="B507" i="27"/>
  <c r="B508" i="27"/>
  <c r="B509" i="27"/>
  <c r="B510" i="27"/>
  <c r="B511" i="27"/>
  <c r="B512" i="27"/>
  <c r="B513" i="27"/>
  <c r="B514" i="27"/>
  <c r="B515" i="27"/>
  <c r="B516" i="27"/>
  <c r="B517" i="27"/>
  <c r="B518" i="27"/>
  <c r="B519" i="27"/>
  <c r="B520" i="27"/>
  <c r="B521" i="27"/>
  <c r="B522" i="27"/>
  <c r="B523" i="27"/>
  <c r="B524" i="27"/>
  <c r="B525" i="27"/>
  <c r="B526" i="27"/>
  <c r="B527" i="27"/>
  <c r="B528" i="27"/>
  <c r="B529" i="27"/>
  <c r="B530" i="27"/>
  <c r="B531" i="27"/>
  <c r="B532" i="27"/>
  <c r="B533" i="27"/>
  <c r="B534" i="27"/>
  <c r="B535" i="27"/>
  <c r="B536" i="27"/>
  <c r="B537" i="27"/>
  <c r="B538" i="27"/>
  <c r="B539" i="27"/>
  <c r="B540" i="27"/>
  <c r="B541" i="27"/>
  <c r="B542" i="27"/>
  <c r="B543" i="27"/>
  <c r="B544" i="27"/>
  <c r="B545" i="27"/>
  <c r="B546" i="27"/>
  <c r="B547" i="27"/>
  <c r="B548" i="27"/>
  <c r="B549" i="27"/>
  <c r="B550" i="27"/>
  <c r="B551" i="27"/>
  <c r="B552" i="27"/>
  <c r="B553" i="27"/>
  <c r="B554" i="27"/>
  <c r="B555" i="27"/>
  <c r="B556" i="27"/>
  <c r="B557" i="27"/>
  <c r="B558" i="27"/>
  <c r="B559" i="27"/>
  <c r="B560" i="27"/>
  <c r="B561" i="27"/>
  <c r="B562" i="27"/>
  <c r="B563" i="27"/>
  <c r="B564" i="27"/>
  <c r="B565" i="27"/>
  <c r="B566" i="27"/>
  <c r="B567" i="27"/>
  <c r="B568" i="27"/>
  <c r="B569" i="27"/>
  <c r="B570" i="27"/>
  <c r="B571" i="27"/>
  <c r="B572" i="27"/>
  <c r="B573" i="27"/>
  <c r="B574" i="27"/>
  <c r="B575" i="27"/>
  <c r="B576" i="27"/>
  <c r="B577" i="27"/>
  <c r="B578" i="27"/>
  <c r="B579" i="27"/>
  <c r="B580" i="27"/>
  <c r="B581" i="27"/>
  <c r="B582" i="27"/>
  <c r="B583" i="27"/>
  <c r="B584" i="27"/>
  <c r="B585" i="27"/>
  <c r="B586" i="27"/>
  <c r="B587" i="27"/>
  <c r="B588" i="27"/>
  <c r="B589" i="27"/>
  <c r="B590" i="27"/>
  <c r="B591" i="27"/>
  <c r="B592" i="27"/>
  <c r="B593" i="27"/>
  <c r="B594" i="27"/>
  <c r="B595" i="27"/>
  <c r="B596" i="27"/>
  <c r="B597" i="27"/>
  <c r="B598" i="27"/>
  <c r="B599" i="27"/>
  <c r="B600" i="27"/>
  <c r="B601" i="27"/>
  <c r="B602" i="27"/>
  <c r="B603" i="27"/>
  <c r="B604" i="27"/>
  <c r="B605" i="27"/>
  <c r="B606" i="27"/>
  <c r="B607" i="27"/>
  <c r="B608" i="27"/>
  <c r="B609" i="27"/>
  <c r="B610" i="27"/>
  <c r="B611" i="27"/>
  <c r="B612" i="27"/>
  <c r="B613" i="27"/>
  <c r="B614" i="27"/>
  <c r="B615" i="27"/>
  <c r="B616" i="27"/>
  <c r="B617" i="27"/>
  <c r="B618" i="27"/>
  <c r="B619" i="27"/>
  <c r="B620" i="27"/>
  <c r="B621" i="27"/>
  <c r="B622" i="27"/>
  <c r="B623" i="27"/>
  <c r="B624" i="27"/>
  <c r="B625" i="27"/>
  <c r="B626" i="27"/>
  <c r="B627" i="27"/>
  <c r="B628" i="27"/>
  <c r="B629" i="27"/>
  <c r="B630" i="27"/>
  <c r="B631" i="27"/>
  <c r="B632" i="27"/>
  <c r="B633" i="27"/>
  <c r="B634" i="27"/>
  <c r="B635" i="27"/>
  <c r="B636" i="27"/>
  <c r="B637" i="27"/>
  <c r="B638" i="27"/>
  <c r="B639" i="27"/>
  <c r="B640" i="27"/>
  <c r="B641" i="27"/>
  <c r="B642" i="27"/>
  <c r="B643" i="27"/>
  <c r="B644" i="27"/>
  <c r="B645" i="27"/>
  <c r="B646" i="27"/>
  <c r="B647" i="27"/>
  <c r="B648" i="27"/>
  <c r="B649" i="27"/>
  <c r="B650" i="27"/>
  <c r="B651" i="27"/>
  <c r="B652" i="27"/>
  <c r="B653" i="27"/>
  <c r="B654" i="27"/>
  <c r="B655" i="27"/>
  <c r="B656" i="27"/>
  <c r="B657" i="27"/>
  <c r="B658" i="27"/>
  <c r="B659" i="27"/>
  <c r="B660" i="27"/>
  <c r="B661" i="27"/>
  <c r="B662" i="27"/>
  <c r="B663" i="27"/>
  <c r="B664" i="27"/>
  <c r="B665" i="27"/>
  <c r="B666" i="27"/>
  <c r="B667" i="27"/>
  <c r="B668" i="27"/>
  <c r="B669" i="27"/>
  <c r="B670" i="27"/>
  <c r="B671" i="27"/>
  <c r="B672" i="27"/>
  <c r="B673" i="27"/>
  <c r="B674" i="27"/>
  <c r="B675" i="27"/>
  <c r="B676" i="27"/>
  <c r="B677" i="27"/>
  <c r="B678" i="27"/>
  <c r="B679" i="27"/>
  <c r="B680" i="27"/>
  <c r="B681" i="27"/>
  <c r="B682" i="27"/>
  <c r="B683" i="27"/>
  <c r="B684" i="27"/>
  <c r="B685" i="27"/>
  <c r="B686" i="27"/>
  <c r="B687" i="27"/>
  <c r="B688" i="27"/>
  <c r="B689" i="27"/>
  <c r="B690" i="27"/>
  <c r="B691" i="27"/>
  <c r="B692" i="27"/>
  <c r="B693" i="27"/>
  <c r="B694" i="27"/>
  <c r="B695" i="27"/>
  <c r="B696" i="27"/>
  <c r="B697" i="27"/>
  <c r="B698" i="27"/>
  <c r="B699" i="27"/>
  <c r="B700" i="27"/>
  <c r="B701" i="27"/>
  <c r="B702" i="27"/>
  <c r="B703" i="27"/>
  <c r="B704" i="27"/>
  <c r="B705" i="27"/>
  <c r="B706" i="27"/>
  <c r="B707" i="27"/>
  <c r="B708" i="27"/>
  <c r="B709" i="27"/>
  <c r="B710" i="27"/>
  <c r="B711" i="27"/>
  <c r="B712" i="27"/>
  <c r="B713" i="27"/>
  <c r="B714" i="27"/>
  <c r="B715" i="27"/>
  <c r="B716" i="27"/>
  <c r="B717" i="27"/>
  <c r="B718" i="27"/>
  <c r="B719" i="27"/>
  <c r="B720" i="27"/>
  <c r="B721" i="27"/>
  <c r="B722" i="27"/>
  <c r="B723" i="27"/>
  <c r="B724" i="27"/>
  <c r="B725" i="27"/>
  <c r="B726" i="27"/>
  <c r="B727" i="27"/>
  <c r="B728" i="27"/>
  <c r="B729" i="27"/>
  <c r="B730" i="27"/>
  <c r="B731" i="27"/>
  <c r="B732" i="27"/>
  <c r="B733" i="27"/>
  <c r="B734" i="27"/>
  <c r="B735" i="27"/>
  <c r="B736" i="27"/>
  <c r="B737" i="27"/>
  <c r="B738" i="27"/>
  <c r="B739" i="27"/>
  <c r="B740" i="27"/>
  <c r="B741" i="27"/>
  <c r="B742" i="27"/>
  <c r="B743" i="27"/>
  <c r="B744" i="27"/>
  <c r="B745" i="27"/>
  <c r="B746" i="27"/>
  <c r="B747" i="27"/>
  <c r="B748" i="27"/>
  <c r="B749" i="27"/>
  <c r="B750" i="27"/>
  <c r="B751" i="27"/>
  <c r="B752" i="27"/>
  <c r="B753" i="27"/>
  <c r="B754" i="27"/>
  <c r="B755" i="27"/>
  <c r="B756" i="27"/>
  <c r="B757" i="27"/>
  <c r="B758" i="27"/>
  <c r="B759" i="27"/>
  <c r="B760" i="27"/>
  <c r="B761" i="27"/>
  <c r="B762" i="27"/>
  <c r="B763" i="27"/>
  <c r="B764" i="27"/>
  <c r="B765" i="27"/>
  <c r="B766" i="27"/>
  <c r="B767" i="27"/>
  <c r="B768" i="27"/>
  <c r="B769" i="27"/>
  <c r="B770" i="27"/>
  <c r="B771" i="27"/>
  <c r="B772" i="27"/>
  <c r="B773" i="27"/>
  <c r="B774" i="27"/>
  <c r="B775" i="27"/>
  <c r="B776" i="27"/>
  <c r="B777" i="27"/>
  <c r="B778" i="27"/>
  <c r="B779" i="27"/>
  <c r="B780" i="27"/>
  <c r="B781" i="27"/>
  <c r="B782" i="27"/>
  <c r="B783" i="27"/>
  <c r="B784" i="27"/>
  <c r="B785" i="27"/>
  <c r="B786" i="27"/>
  <c r="B787" i="27"/>
  <c r="B788" i="27"/>
  <c r="B789" i="27"/>
  <c r="B790" i="27"/>
  <c r="B791" i="27"/>
  <c r="B792" i="27"/>
  <c r="B793" i="27"/>
  <c r="B794" i="27"/>
  <c r="B795" i="27"/>
  <c r="B796" i="27"/>
  <c r="B797" i="27"/>
  <c r="B798" i="27"/>
  <c r="B799" i="27"/>
  <c r="B800" i="27"/>
  <c r="B801" i="27"/>
  <c r="B802" i="27"/>
  <c r="B803" i="27"/>
  <c r="B804" i="27"/>
  <c r="B805" i="27"/>
  <c r="B806" i="27"/>
  <c r="B807" i="27"/>
  <c r="B808" i="27"/>
  <c r="B809" i="27"/>
  <c r="B810" i="27"/>
  <c r="B811" i="27"/>
  <c r="B812" i="27"/>
  <c r="B813" i="27"/>
  <c r="B814" i="27"/>
  <c r="B815" i="27"/>
  <c r="B816" i="27"/>
  <c r="B817" i="27"/>
  <c r="B818" i="27"/>
  <c r="B819" i="27"/>
  <c r="B820" i="27"/>
  <c r="B821" i="27"/>
  <c r="B822" i="27"/>
  <c r="B823" i="27"/>
  <c r="B824" i="27"/>
  <c r="B825" i="27"/>
  <c r="B826" i="27"/>
  <c r="B827" i="27"/>
  <c r="B828" i="27"/>
  <c r="B829" i="27"/>
  <c r="B830" i="27"/>
  <c r="B831" i="27"/>
  <c r="B832" i="27"/>
  <c r="B833" i="27"/>
  <c r="B834" i="27"/>
  <c r="B835" i="27"/>
  <c r="B836" i="27"/>
  <c r="B837" i="27"/>
  <c r="B838" i="27"/>
  <c r="B839" i="27"/>
  <c r="B840" i="27"/>
  <c r="B841" i="27"/>
  <c r="B842" i="27"/>
  <c r="B843" i="27"/>
  <c r="B844" i="27"/>
  <c r="B845" i="27"/>
  <c r="B846" i="27"/>
  <c r="B847" i="27"/>
  <c r="B848" i="27"/>
  <c r="B849" i="27"/>
  <c r="B850" i="27"/>
  <c r="B851" i="27"/>
  <c r="B852" i="27"/>
  <c r="B853" i="27"/>
  <c r="B854" i="27"/>
  <c r="B855" i="27"/>
  <c r="B856" i="27"/>
  <c r="B857" i="27"/>
  <c r="B858" i="27"/>
  <c r="B859" i="27"/>
  <c r="B860" i="27"/>
  <c r="B861" i="27"/>
  <c r="B862" i="27"/>
  <c r="B863" i="27"/>
  <c r="B864" i="27"/>
  <c r="B865" i="27"/>
  <c r="B866" i="27"/>
  <c r="B867" i="27"/>
  <c r="B868" i="27"/>
  <c r="B869" i="27"/>
  <c r="B870" i="27"/>
  <c r="B871" i="27"/>
  <c r="B872" i="27"/>
  <c r="B873" i="27"/>
  <c r="B874" i="27"/>
  <c r="B875" i="27"/>
  <c r="B876" i="27"/>
  <c r="B877" i="27"/>
  <c r="B878" i="27"/>
  <c r="B879" i="27"/>
  <c r="B880" i="27"/>
  <c r="B881" i="27"/>
  <c r="B882" i="27"/>
  <c r="B883" i="27"/>
  <c r="B884" i="27"/>
  <c r="B885" i="27"/>
  <c r="B886" i="27"/>
  <c r="B887" i="27"/>
  <c r="B888" i="27"/>
  <c r="B889" i="27"/>
  <c r="B890" i="27"/>
  <c r="B891" i="27"/>
  <c r="B892" i="27"/>
  <c r="B893" i="27"/>
  <c r="B894" i="27"/>
  <c r="B895" i="27"/>
  <c r="B896" i="27"/>
  <c r="B897" i="27"/>
  <c r="B898" i="27"/>
  <c r="B899" i="27"/>
  <c r="B900" i="27"/>
  <c r="B901" i="27"/>
  <c r="B902" i="27"/>
  <c r="B903" i="27"/>
  <c r="B904" i="27"/>
  <c r="B905" i="27"/>
  <c r="B906" i="27"/>
  <c r="B907" i="27"/>
  <c r="B908" i="27"/>
  <c r="B909" i="27"/>
  <c r="B910" i="27"/>
  <c r="B2" i="27"/>
  <c r="N745" i="15"/>
  <c r="H6" i="35" l="1"/>
  <c r="I6" i="35"/>
  <c r="T6" i="35"/>
  <c r="H7" i="35"/>
  <c r="I7" i="35"/>
  <c r="T7" i="35"/>
  <c r="H8" i="35"/>
  <c r="I8" i="35"/>
  <c r="T8" i="35"/>
  <c r="H9" i="35"/>
  <c r="I9" i="35"/>
  <c r="T9" i="35"/>
  <c r="H10" i="35"/>
  <c r="I10" i="35"/>
  <c r="T10" i="35"/>
  <c r="H11" i="35"/>
  <c r="I11" i="35"/>
  <c r="T11" i="35"/>
  <c r="H12" i="35"/>
  <c r="I12" i="35"/>
  <c r="T12" i="35"/>
  <c r="H13" i="35"/>
  <c r="I13" i="35"/>
  <c r="T13" i="35"/>
  <c r="H14" i="35"/>
  <c r="I14" i="35"/>
  <c r="T14" i="35"/>
  <c r="H15" i="35"/>
  <c r="I15" i="35"/>
  <c r="T15" i="35"/>
  <c r="H16" i="35"/>
  <c r="I16" i="35"/>
  <c r="T16" i="35"/>
  <c r="H17" i="35"/>
  <c r="I17" i="35"/>
  <c r="T17" i="35"/>
  <c r="H18" i="35"/>
  <c r="I18" i="35"/>
  <c r="T18" i="35"/>
  <c r="H19" i="35"/>
  <c r="I19" i="35"/>
  <c r="T19" i="35"/>
  <c r="H20" i="35"/>
  <c r="I20" i="35"/>
  <c r="T20" i="35"/>
  <c r="H21" i="35"/>
  <c r="I21" i="35"/>
  <c r="T21" i="35"/>
  <c r="H22" i="35"/>
  <c r="I22" i="35"/>
  <c r="T22" i="35"/>
  <c r="H23" i="35"/>
  <c r="I23" i="35"/>
  <c r="T23" i="35"/>
  <c r="H24" i="35"/>
  <c r="I24" i="35"/>
  <c r="T24" i="35"/>
  <c r="H25" i="35"/>
  <c r="I25" i="35"/>
  <c r="T25" i="35"/>
  <c r="H26" i="35"/>
  <c r="I26" i="35"/>
  <c r="T26" i="35"/>
  <c r="H27" i="35"/>
  <c r="I27" i="35"/>
  <c r="T27" i="35"/>
  <c r="H28" i="35"/>
  <c r="I28" i="35"/>
  <c r="T28" i="35"/>
  <c r="H29" i="35"/>
  <c r="I29" i="35"/>
  <c r="T29" i="35"/>
  <c r="H30" i="35"/>
  <c r="I30" i="35"/>
  <c r="T30" i="35"/>
  <c r="H31" i="35"/>
  <c r="I31" i="35"/>
  <c r="T31" i="35"/>
  <c r="H32" i="35"/>
  <c r="I32" i="35"/>
  <c r="T32" i="35"/>
  <c r="H33" i="35"/>
  <c r="I33" i="35"/>
  <c r="T33" i="35"/>
  <c r="H34" i="35"/>
  <c r="I34" i="35"/>
  <c r="T34" i="35"/>
  <c r="H35" i="35"/>
  <c r="I35" i="35"/>
  <c r="T35" i="35"/>
  <c r="H36" i="35"/>
  <c r="I36" i="35"/>
  <c r="T36" i="35"/>
  <c r="H37" i="35"/>
  <c r="I37" i="35"/>
  <c r="T37" i="35"/>
  <c r="H38" i="35"/>
  <c r="I38" i="35"/>
  <c r="T38" i="35"/>
  <c r="H39" i="35"/>
  <c r="I39" i="35"/>
  <c r="T39" i="35"/>
  <c r="H40" i="35"/>
  <c r="I40" i="35"/>
  <c r="T40" i="35"/>
  <c r="H41" i="35"/>
  <c r="I41" i="35"/>
  <c r="T41" i="35"/>
  <c r="H42" i="35"/>
  <c r="I42" i="35"/>
  <c r="T42" i="35"/>
  <c r="H43" i="35"/>
  <c r="I43" i="35"/>
  <c r="T43" i="35"/>
  <c r="H44" i="35"/>
  <c r="I44" i="35"/>
  <c r="T44" i="35"/>
  <c r="H45" i="35"/>
  <c r="I45" i="35"/>
  <c r="T45" i="35"/>
  <c r="H46" i="35"/>
  <c r="I46" i="35"/>
  <c r="T46" i="35"/>
  <c r="H47" i="35"/>
  <c r="I47" i="35"/>
  <c r="T47" i="35"/>
  <c r="H48" i="35"/>
  <c r="I48" i="35"/>
  <c r="T48" i="35"/>
  <c r="H49" i="35"/>
  <c r="I49" i="35"/>
  <c r="T49" i="35"/>
  <c r="H50" i="35"/>
  <c r="I50" i="35"/>
  <c r="T50" i="35"/>
  <c r="H51" i="35"/>
  <c r="I51" i="35"/>
  <c r="T51" i="35"/>
  <c r="H52" i="35"/>
  <c r="I52" i="35"/>
  <c r="T52" i="35"/>
  <c r="H53" i="35"/>
  <c r="I53" i="35"/>
  <c r="T53" i="35"/>
  <c r="H54" i="35"/>
  <c r="I54" i="35"/>
  <c r="T54" i="35"/>
  <c r="H55" i="35"/>
  <c r="I55" i="35"/>
  <c r="T55" i="35"/>
  <c r="H56" i="35"/>
  <c r="I56" i="35"/>
  <c r="T56" i="35"/>
  <c r="H57" i="35"/>
  <c r="I57" i="35"/>
  <c r="T57" i="35"/>
  <c r="H58" i="35"/>
  <c r="I58" i="35"/>
  <c r="T58" i="35"/>
  <c r="H59" i="35"/>
  <c r="I59" i="35"/>
  <c r="T59" i="35"/>
  <c r="H60" i="35"/>
  <c r="I60" i="35"/>
  <c r="T60" i="35"/>
  <c r="H61" i="35"/>
  <c r="I61" i="35"/>
  <c r="T61" i="35"/>
  <c r="H62" i="35"/>
  <c r="I62" i="35"/>
  <c r="T62" i="35"/>
  <c r="H63" i="35"/>
  <c r="I63" i="35"/>
  <c r="T63" i="35"/>
  <c r="H64" i="35"/>
  <c r="I64" i="35"/>
  <c r="T64" i="35"/>
  <c r="H65" i="35"/>
  <c r="I65" i="35"/>
  <c r="T65" i="35"/>
  <c r="H66" i="35"/>
  <c r="I66" i="35"/>
  <c r="T66" i="35"/>
  <c r="H67" i="35"/>
  <c r="I67" i="35"/>
  <c r="T67" i="35"/>
  <c r="H68" i="35"/>
  <c r="I68" i="35"/>
  <c r="T68" i="35"/>
  <c r="H69" i="35"/>
  <c r="I69" i="35"/>
  <c r="T69" i="35"/>
  <c r="H70" i="35"/>
  <c r="I70" i="35"/>
  <c r="T70" i="35"/>
  <c r="H71" i="35"/>
  <c r="I71" i="35"/>
  <c r="T71" i="35"/>
  <c r="H72" i="35"/>
  <c r="I72" i="35"/>
  <c r="T72" i="35"/>
  <c r="H73" i="35"/>
  <c r="I73" i="35"/>
  <c r="T73" i="35"/>
  <c r="H74" i="35"/>
  <c r="I74" i="35"/>
  <c r="T74" i="35"/>
  <c r="H75" i="35"/>
  <c r="I75" i="35"/>
  <c r="T75" i="35"/>
  <c r="H76" i="35"/>
  <c r="I76" i="35"/>
  <c r="T76" i="35"/>
  <c r="H77" i="35"/>
  <c r="I77" i="35"/>
  <c r="T77" i="35"/>
  <c r="H78" i="35"/>
  <c r="I78" i="35"/>
  <c r="T78" i="35"/>
  <c r="H79" i="35"/>
  <c r="I79" i="35"/>
  <c r="T79" i="35"/>
  <c r="H80" i="35"/>
  <c r="I80" i="35"/>
  <c r="T80" i="35"/>
  <c r="H81" i="35"/>
  <c r="I81" i="35"/>
  <c r="T81" i="35"/>
  <c r="H82" i="35"/>
  <c r="I82" i="35"/>
  <c r="T82" i="35"/>
  <c r="H83" i="35"/>
  <c r="I83" i="35"/>
  <c r="T83" i="35"/>
  <c r="H84" i="35"/>
  <c r="I84" i="35"/>
  <c r="T84" i="35"/>
  <c r="H85" i="35"/>
  <c r="I85" i="35"/>
  <c r="T85" i="35"/>
  <c r="H86" i="35"/>
  <c r="I86" i="35"/>
  <c r="T86" i="35"/>
  <c r="H87" i="35"/>
  <c r="I87" i="35"/>
  <c r="T87" i="35"/>
  <c r="H88" i="35"/>
  <c r="I88" i="35"/>
  <c r="T88" i="35"/>
  <c r="H89" i="35"/>
  <c r="I89" i="35"/>
  <c r="T89" i="35"/>
  <c r="H90" i="35"/>
  <c r="I90" i="35"/>
  <c r="T90" i="35"/>
  <c r="H91" i="35"/>
  <c r="I91" i="35"/>
  <c r="T91" i="35"/>
  <c r="H92" i="35"/>
  <c r="I92" i="35"/>
  <c r="T92" i="35"/>
  <c r="H93" i="35"/>
  <c r="I93" i="35"/>
  <c r="T93" i="35"/>
  <c r="H94" i="35"/>
  <c r="I94" i="35"/>
  <c r="T94" i="35"/>
  <c r="H95" i="35"/>
  <c r="I95" i="35"/>
  <c r="T95" i="35"/>
  <c r="H96" i="35"/>
  <c r="I96" i="35"/>
  <c r="T96" i="35"/>
  <c r="H97" i="35"/>
  <c r="I97" i="35"/>
  <c r="T97" i="35"/>
  <c r="H98" i="35"/>
  <c r="I98" i="35"/>
  <c r="T98" i="35"/>
  <c r="H99" i="35"/>
  <c r="I99" i="35"/>
  <c r="T99" i="35"/>
  <c r="H100" i="35"/>
  <c r="I100" i="35"/>
  <c r="T100" i="35"/>
  <c r="H101" i="35"/>
  <c r="I101" i="35"/>
  <c r="T101" i="35"/>
  <c r="H102" i="35"/>
  <c r="I102" i="35"/>
  <c r="T102" i="35"/>
  <c r="H103" i="35"/>
  <c r="I103" i="35"/>
  <c r="T103" i="35"/>
  <c r="H104" i="35"/>
  <c r="I104" i="35"/>
  <c r="T104" i="35"/>
  <c r="H105" i="35"/>
  <c r="I105" i="35"/>
  <c r="T105" i="35"/>
  <c r="H106" i="35"/>
  <c r="I106" i="35"/>
  <c r="T106" i="35"/>
  <c r="H107" i="35"/>
  <c r="I107" i="35"/>
  <c r="T107" i="35"/>
  <c r="H108" i="35"/>
  <c r="I108" i="35"/>
  <c r="T108" i="35"/>
  <c r="H109" i="35"/>
  <c r="I109" i="35"/>
  <c r="T109" i="35"/>
  <c r="H110" i="35"/>
  <c r="I110" i="35"/>
  <c r="T110" i="35"/>
  <c r="H111" i="35"/>
  <c r="I111" i="35"/>
  <c r="T111" i="35"/>
  <c r="H112" i="35"/>
  <c r="I112" i="35"/>
  <c r="T112" i="35"/>
  <c r="H113" i="35"/>
  <c r="I113" i="35"/>
  <c r="T113" i="35"/>
  <c r="H114" i="35"/>
  <c r="I114" i="35"/>
  <c r="T114" i="35"/>
  <c r="H115" i="35"/>
  <c r="I115" i="35"/>
  <c r="T115" i="35"/>
  <c r="H116" i="35"/>
  <c r="I116" i="35"/>
  <c r="T116" i="35"/>
  <c r="H117" i="35"/>
  <c r="I117" i="35"/>
  <c r="T117" i="35"/>
  <c r="H118" i="35"/>
  <c r="I118" i="35"/>
  <c r="T118" i="35"/>
  <c r="H119" i="35"/>
  <c r="I119" i="35"/>
  <c r="T119" i="35"/>
  <c r="H120" i="35"/>
  <c r="I120" i="35"/>
  <c r="T120" i="35"/>
  <c r="H121" i="35"/>
  <c r="I121" i="35"/>
  <c r="T121" i="35"/>
  <c r="H122" i="35"/>
  <c r="I122" i="35"/>
  <c r="T122" i="35"/>
  <c r="H123" i="35"/>
  <c r="I123" i="35"/>
  <c r="T123" i="35"/>
  <c r="H124" i="35"/>
  <c r="I124" i="35"/>
  <c r="T124" i="35"/>
  <c r="H125" i="35"/>
  <c r="I125" i="35"/>
  <c r="T125" i="35"/>
  <c r="H126" i="35"/>
  <c r="I126" i="35"/>
  <c r="T126" i="35"/>
  <c r="H127" i="35"/>
  <c r="I127" i="35"/>
  <c r="T127" i="35"/>
  <c r="H128" i="35"/>
  <c r="I128" i="35"/>
  <c r="T128" i="35"/>
  <c r="H129" i="35"/>
  <c r="I129" i="35"/>
  <c r="T129" i="35"/>
  <c r="H130" i="35"/>
  <c r="I130" i="35"/>
  <c r="T130" i="35"/>
  <c r="H131" i="35"/>
  <c r="I131" i="35"/>
  <c r="T131" i="35"/>
  <c r="H132" i="35"/>
  <c r="I132" i="35"/>
  <c r="T132" i="35"/>
  <c r="H133" i="35"/>
  <c r="I133" i="35"/>
  <c r="T133" i="35"/>
  <c r="H134" i="35"/>
  <c r="I134" i="35"/>
  <c r="T134" i="35"/>
  <c r="H135" i="35"/>
  <c r="I135" i="35"/>
  <c r="T135" i="35"/>
  <c r="H136" i="35"/>
  <c r="I136" i="35"/>
  <c r="T136" i="35"/>
  <c r="H137" i="35"/>
  <c r="I137" i="35"/>
  <c r="T137" i="35"/>
  <c r="H138" i="35"/>
  <c r="I138" i="35"/>
  <c r="T138" i="35"/>
  <c r="H139" i="35"/>
  <c r="I139" i="35"/>
  <c r="T139" i="35"/>
  <c r="H140" i="35"/>
  <c r="I140" i="35"/>
  <c r="T140" i="35"/>
  <c r="H141" i="35"/>
  <c r="I141" i="35"/>
  <c r="T141" i="35"/>
  <c r="H142" i="35"/>
  <c r="I142" i="35"/>
  <c r="T142" i="35"/>
  <c r="H143" i="35"/>
  <c r="I143" i="35"/>
  <c r="T143" i="35"/>
  <c r="H144" i="35"/>
  <c r="I144" i="35"/>
  <c r="T144" i="35"/>
  <c r="H145" i="35"/>
  <c r="I145" i="35"/>
  <c r="T145" i="35"/>
  <c r="H146" i="35"/>
  <c r="I146" i="35"/>
  <c r="T146" i="35"/>
  <c r="H147" i="35"/>
  <c r="I147" i="35"/>
  <c r="T147" i="35"/>
  <c r="H148" i="35"/>
  <c r="I148" i="35"/>
  <c r="T148" i="35"/>
  <c r="H149" i="35"/>
  <c r="I149" i="35"/>
  <c r="T149" i="35"/>
  <c r="H150" i="35"/>
  <c r="I150" i="35"/>
  <c r="T150" i="35"/>
  <c r="H151" i="35"/>
  <c r="I151" i="35"/>
  <c r="T151" i="35"/>
  <c r="H152" i="35"/>
  <c r="I152" i="35"/>
  <c r="T152" i="35"/>
  <c r="H153" i="35"/>
  <c r="I153" i="35"/>
  <c r="T153" i="35"/>
  <c r="H154" i="35"/>
  <c r="I154" i="35"/>
  <c r="T154" i="35"/>
  <c r="H155" i="35"/>
  <c r="I155" i="35"/>
  <c r="T155" i="35"/>
  <c r="H156" i="35"/>
  <c r="I156" i="35"/>
  <c r="T156" i="35"/>
  <c r="H157" i="35"/>
  <c r="I157" i="35"/>
  <c r="T157" i="35"/>
  <c r="H158" i="35"/>
  <c r="I158" i="35"/>
  <c r="T158" i="35"/>
  <c r="H159" i="35"/>
  <c r="I159" i="35"/>
  <c r="T159" i="35"/>
  <c r="H160" i="35"/>
  <c r="I160" i="35"/>
  <c r="T160" i="35"/>
  <c r="H161" i="35"/>
  <c r="I161" i="35"/>
  <c r="T161" i="35"/>
  <c r="H162" i="35"/>
  <c r="I162" i="35"/>
  <c r="T162" i="35"/>
  <c r="H163" i="35"/>
  <c r="I163" i="35"/>
  <c r="T163" i="35"/>
  <c r="H164" i="35"/>
  <c r="I164" i="35"/>
  <c r="T164" i="35"/>
  <c r="H165" i="35"/>
  <c r="I165" i="35"/>
  <c r="T165" i="35"/>
  <c r="H166" i="35"/>
  <c r="I166" i="35"/>
  <c r="T166" i="35"/>
  <c r="H167" i="35"/>
  <c r="I167" i="35"/>
  <c r="T167" i="35"/>
  <c r="H168" i="35"/>
  <c r="I168" i="35"/>
  <c r="T168" i="35"/>
  <c r="H169" i="35"/>
  <c r="I169" i="35"/>
  <c r="T169" i="35"/>
  <c r="H170" i="35"/>
  <c r="I170" i="35"/>
  <c r="T170" i="35"/>
  <c r="H171" i="35"/>
  <c r="I171" i="35"/>
  <c r="T171" i="35"/>
  <c r="H172" i="35"/>
  <c r="I172" i="35"/>
  <c r="T172" i="35"/>
  <c r="H173" i="35"/>
  <c r="I173" i="35"/>
  <c r="T173" i="35"/>
  <c r="H174" i="35"/>
  <c r="I174" i="35"/>
  <c r="T174" i="35"/>
  <c r="H175" i="35"/>
  <c r="I175" i="35"/>
  <c r="T175" i="35"/>
  <c r="H176" i="35"/>
  <c r="I176" i="35"/>
  <c r="T176" i="35"/>
  <c r="H177" i="35"/>
  <c r="I177" i="35"/>
  <c r="T177" i="35"/>
  <c r="H178" i="35"/>
  <c r="I178" i="35"/>
  <c r="T178" i="35"/>
  <c r="H179" i="35"/>
  <c r="I179" i="35"/>
  <c r="T179" i="35"/>
  <c r="H180" i="35"/>
  <c r="I180" i="35"/>
  <c r="T180" i="35"/>
  <c r="H181" i="35"/>
  <c r="I181" i="35"/>
  <c r="T181" i="35"/>
  <c r="H182" i="35"/>
  <c r="I182" i="35"/>
  <c r="T182" i="35"/>
  <c r="H183" i="35"/>
  <c r="I183" i="35"/>
  <c r="T183" i="35"/>
  <c r="H184" i="35"/>
  <c r="I184" i="35"/>
  <c r="T184" i="35"/>
  <c r="H185" i="35"/>
  <c r="I185" i="35"/>
  <c r="T185" i="35"/>
  <c r="H186" i="35"/>
  <c r="I186" i="35"/>
  <c r="T186" i="35"/>
  <c r="H187" i="35"/>
  <c r="I187" i="35"/>
  <c r="T187" i="35"/>
  <c r="H188" i="35"/>
  <c r="I188" i="35"/>
  <c r="T188" i="35"/>
  <c r="H189" i="35"/>
  <c r="I189" i="35"/>
  <c r="T189" i="35"/>
  <c r="H190" i="35"/>
  <c r="I190" i="35"/>
  <c r="T190" i="35"/>
  <c r="H191" i="35"/>
  <c r="I191" i="35"/>
  <c r="T191" i="35"/>
  <c r="H192" i="35"/>
  <c r="I192" i="35"/>
  <c r="T192" i="35"/>
  <c r="H193" i="35"/>
  <c r="I193" i="35"/>
  <c r="T193" i="35"/>
  <c r="H194" i="35"/>
  <c r="I194" i="35"/>
  <c r="T194" i="35"/>
  <c r="H195" i="35"/>
  <c r="I195" i="35"/>
  <c r="T195" i="35"/>
  <c r="H196" i="35"/>
  <c r="I196" i="35"/>
  <c r="T196" i="35"/>
  <c r="H197" i="35"/>
  <c r="I197" i="35"/>
  <c r="T197" i="35"/>
  <c r="H198" i="35"/>
  <c r="I198" i="35"/>
  <c r="T198" i="35"/>
  <c r="H199" i="35"/>
  <c r="I199" i="35"/>
  <c r="T199" i="35"/>
  <c r="H200" i="35"/>
  <c r="I200" i="35"/>
  <c r="T200" i="35"/>
  <c r="H201" i="35"/>
  <c r="I201" i="35"/>
  <c r="T201" i="35"/>
  <c r="H202" i="35"/>
  <c r="I202" i="35"/>
  <c r="T202" i="35"/>
  <c r="H203" i="35"/>
  <c r="I203" i="35"/>
  <c r="T203" i="35"/>
  <c r="H204" i="35"/>
  <c r="I204" i="35"/>
  <c r="T204" i="35"/>
  <c r="H205" i="35"/>
  <c r="I205" i="35"/>
  <c r="T205" i="35"/>
  <c r="H206" i="35"/>
  <c r="I206" i="35"/>
  <c r="T206" i="35"/>
  <c r="H207" i="35"/>
  <c r="I207" i="35"/>
  <c r="T207" i="35"/>
  <c r="H208" i="35"/>
  <c r="I208" i="35"/>
  <c r="T208" i="35"/>
  <c r="H209" i="35"/>
  <c r="I209" i="35"/>
  <c r="T209" i="35"/>
  <c r="H210" i="35"/>
  <c r="I210" i="35"/>
  <c r="T210" i="35"/>
  <c r="H211" i="35"/>
  <c r="I211" i="35"/>
  <c r="T211" i="35"/>
  <c r="H212" i="35"/>
  <c r="I212" i="35"/>
  <c r="T212" i="35"/>
  <c r="H213" i="35"/>
  <c r="I213" i="35"/>
  <c r="T213" i="35"/>
  <c r="H214" i="35"/>
  <c r="I214" i="35"/>
  <c r="T214" i="35"/>
  <c r="H215" i="35"/>
  <c r="I215" i="35"/>
  <c r="T215" i="35"/>
  <c r="H216" i="35"/>
  <c r="I216" i="35"/>
  <c r="T216" i="35"/>
  <c r="H217" i="35"/>
  <c r="I217" i="35"/>
  <c r="T217" i="35"/>
  <c r="H218" i="35"/>
  <c r="I218" i="35"/>
  <c r="T218" i="35"/>
  <c r="H219" i="35"/>
  <c r="I219" i="35"/>
  <c r="T219" i="35"/>
  <c r="H220" i="35"/>
  <c r="I220" i="35"/>
  <c r="T220" i="35"/>
  <c r="H221" i="35"/>
  <c r="I221" i="35"/>
  <c r="T221" i="35"/>
  <c r="H222" i="35"/>
  <c r="I222" i="35"/>
  <c r="T222" i="35"/>
  <c r="H223" i="35"/>
  <c r="I223" i="35"/>
  <c r="T223" i="35"/>
  <c r="H224" i="35"/>
  <c r="I224" i="35"/>
  <c r="T224" i="35"/>
  <c r="H225" i="35"/>
  <c r="I225" i="35"/>
  <c r="T225" i="35"/>
  <c r="H226" i="35"/>
  <c r="I226" i="35"/>
  <c r="T226" i="35"/>
  <c r="H227" i="35"/>
  <c r="I227" i="35"/>
  <c r="T227" i="35"/>
  <c r="H228" i="35"/>
  <c r="I228" i="35"/>
  <c r="T228" i="35"/>
  <c r="H229" i="35"/>
  <c r="I229" i="35"/>
  <c r="T229" i="35"/>
  <c r="H230" i="35"/>
  <c r="I230" i="35"/>
  <c r="T230" i="35"/>
  <c r="H231" i="35"/>
  <c r="I231" i="35"/>
  <c r="T231" i="35"/>
  <c r="H232" i="35"/>
  <c r="I232" i="35"/>
  <c r="T232" i="35"/>
  <c r="H233" i="35"/>
  <c r="I233" i="35"/>
  <c r="T233" i="35"/>
  <c r="H234" i="35"/>
  <c r="I234" i="35"/>
  <c r="T234" i="35"/>
  <c r="H235" i="35"/>
  <c r="I235" i="35"/>
  <c r="T235" i="35"/>
  <c r="H236" i="35"/>
  <c r="I236" i="35"/>
  <c r="T236" i="35"/>
  <c r="H237" i="35"/>
  <c r="I237" i="35"/>
  <c r="T237" i="35"/>
  <c r="H238" i="35"/>
  <c r="I238" i="35"/>
  <c r="T238" i="35"/>
  <c r="H239" i="35"/>
  <c r="I239" i="35"/>
  <c r="T239" i="35"/>
  <c r="H240" i="35"/>
  <c r="I240" i="35"/>
  <c r="T240" i="35"/>
  <c r="H241" i="35"/>
  <c r="I241" i="35"/>
  <c r="T241" i="35"/>
  <c r="H242" i="35"/>
  <c r="I242" i="35"/>
  <c r="T242" i="35"/>
  <c r="H243" i="35"/>
  <c r="I243" i="35"/>
  <c r="T243" i="35"/>
  <c r="H244" i="35"/>
  <c r="I244" i="35"/>
  <c r="T244" i="35"/>
  <c r="H245" i="35"/>
  <c r="I245" i="35"/>
  <c r="T245" i="35"/>
  <c r="H246" i="35"/>
  <c r="I246" i="35"/>
  <c r="T246" i="35"/>
  <c r="H247" i="35"/>
  <c r="I247" i="35"/>
  <c r="T247" i="35"/>
  <c r="H248" i="35"/>
  <c r="I248" i="35"/>
  <c r="T248" i="35"/>
  <c r="H249" i="35"/>
  <c r="I249" i="35"/>
  <c r="T249" i="35"/>
  <c r="H250" i="35"/>
  <c r="I250" i="35"/>
  <c r="T250" i="35"/>
  <c r="H251" i="35"/>
  <c r="I251" i="35"/>
  <c r="T251" i="35"/>
  <c r="H252" i="35"/>
  <c r="I252" i="35"/>
  <c r="T252" i="35"/>
  <c r="H253" i="35"/>
  <c r="I253" i="35"/>
  <c r="T253" i="35"/>
  <c r="H254" i="35"/>
  <c r="I254" i="35"/>
  <c r="T254" i="35"/>
  <c r="H255" i="35"/>
  <c r="I255" i="35"/>
  <c r="T255" i="35"/>
  <c r="H256" i="35"/>
  <c r="I256" i="35"/>
  <c r="T256" i="35"/>
  <c r="H257" i="35"/>
  <c r="I257" i="35"/>
  <c r="T257" i="35"/>
  <c r="H258" i="35"/>
  <c r="I258" i="35"/>
  <c r="T258" i="35"/>
  <c r="H259" i="35"/>
  <c r="I259" i="35"/>
  <c r="T259" i="35"/>
  <c r="H260" i="35"/>
  <c r="I260" i="35"/>
  <c r="T260" i="35"/>
  <c r="H261" i="35"/>
  <c r="I261" i="35"/>
  <c r="T261" i="35"/>
  <c r="H262" i="35"/>
  <c r="I262" i="35"/>
  <c r="T262" i="35"/>
  <c r="H263" i="35"/>
  <c r="I263" i="35"/>
  <c r="T263" i="35"/>
  <c r="H264" i="35"/>
  <c r="I264" i="35"/>
  <c r="T264" i="35"/>
  <c r="H265" i="35"/>
  <c r="I265" i="35"/>
  <c r="T265" i="35"/>
  <c r="H266" i="35"/>
  <c r="I266" i="35"/>
  <c r="T266" i="35"/>
  <c r="H267" i="35"/>
  <c r="I267" i="35"/>
  <c r="T267" i="35"/>
  <c r="H268" i="35"/>
  <c r="I268" i="35"/>
  <c r="T268" i="35"/>
  <c r="H269" i="35"/>
  <c r="I269" i="35"/>
  <c r="T269" i="35"/>
  <c r="H270" i="35"/>
  <c r="I270" i="35"/>
  <c r="T270" i="35"/>
  <c r="H271" i="35"/>
  <c r="I271" i="35"/>
  <c r="T271" i="35"/>
  <c r="H272" i="35"/>
  <c r="I272" i="35"/>
  <c r="T272" i="35"/>
  <c r="H273" i="35"/>
  <c r="I273" i="35"/>
  <c r="T273" i="35"/>
  <c r="H274" i="35"/>
  <c r="I274" i="35"/>
  <c r="T274" i="35"/>
  <c r="H275" i="35"/>
  <c r="I275" i="35"/>
  <c r="T275" i="35"/>
  <c r="H276" i="35"/>
  <c r="I276" i="35"/>
  <c r="T276" i="35"/>
  <c r="H277" i="35"/>
  <c r="I277" i="35"/>
  <c r="T277" i="35"/>
  <c r="H278" i="35"/>
  <c r="I278" i="35"/>
  <c r="T278" i="35"/>
  <c r="H279" i="35"/>
  <c r="I279" i="35"/>
  <c r="T279" i="35"/>
  <c r="H280" i="35"/>
  <c r="I280" i="35"/>
  <c r="T280" i="35"/>
  <c r="H281" i="35"/>
  <c r="I281" i="35"/>
  <c r="T281" i="35"/>
  <c r="H282" i="35"/>
  <c r="I282" i="35"/>
  <c r="T282" i="35"/>
  <c r="H283" i="35"/>
  <c r="I283" i="35"/>
  <c r="T283" i="35"/>
  <c r="H284" i="35"/>
  <c r="I284" i="35"/>
  <c r="T284" i="35"/>
  <c r="H285" i="35"/>
  <c r="I285" i="35"/>
  <c r="T285" i="35"/>
  <c r="H286" i="35"/>
  <c r="I286" i="35"/>
  <c r="T286" i="35"/>
  <c r="H287" i="35"/>
  <c r="I287" i="35"/>
  <c r="T287" i="35"/>
  <c r="H288" i="35"/>
  <c r="I288" i="35"/>
  <c r="T288" i="35"/>
  <c r="H289" i="35"/>
  <c r="I289" i="35"/>
  <c r="T289" i="35"/>
  <c r="H290" i="35"/>
  <c r="I290" i="35"/>
  <c r="T290" i="35"/>
  <c r="H291" i="35"/>
  <c r="I291" i="35"/>
  <c r="T291" i="35"/>
  <c r="H292" i="35"/>
  <c r="I292" i="35"/>
  <c r="T292" i="35"/>
  <c r="H293" i="35"/>
  <c r="I293" i="35"/>
  <c r="T293" i="35"/>
  <c r="H294" i="35"/>
  <c r="I294" i="35"/>
  <c r="T294" i="35"/>
  <c r="H295" i="35"/>
  <c r="I295" i="35"/>
  <c r="T295" i="35"/>
  <c r="H296" i="35"/>
  <c r="I296" i="35"/>
  <c r="T296" i="35"/>
  <c r="H297" i="35"/>
  <c r="I297" i="35"/>
  <c r="T297" i="35"/>
  <c r="H298" i="35"/>
  <c r="I298" i="35"/>
  <c r="T298" i="35"/>
  <c r="H299" i="35"/>
  <c r="I299" i="35"/>
  <c r="T299" i="35"/>
  <c r="H300" i="35"/>
  <c r="I300" i="35"/>
  <c r="T300" i="35"/>
  <c r="H301" i="35"/>
  <c r="I301" i="35"/>
  <c r="T301" i="35"/>
  <c r="H302" i="35"/>
  <c r="I302" i="35"/>
  <c r="T302" i="35"/>
  <c r="H303" i="35"/>
  <c r="I303" i="35"/>
  <c r="T303" i="35"/>
  <c r="H304" i="35"/>
  <c r="I304" i="35"/>
  <c r="T304" i="35"/>
  <c r="H305" i="35"/>
  <c r="I305" i="35"/>
  <c r="T305" i="35"/>
  <c r="H306" i="35"/>
  <c r="I306" i="35"/>
  <c r="T306" i="35"/>
  <c r="H307" i="35"/>
  <c r="I307" i="35"/>
  <c r="T307" i="35"/>
  <c r="H308" i="35"/>
  <c r="I308" i="35"/>
  <c r="T308" i="35"/>
  <c r="H309" i="35"/>
  <c r="I309" i="35"/>
  <c r="T309" i="35"/>
  <c r="H310" i="35"/>
  <c r="I310" i="35"/>
  <c r="T310" i="35"/>
  <c r="H311" i="35"/>
  <c r="I311" i="35"/>
  <c r="T311" i="35"/>
  <c r="H312" i="35"/>
  <c r="I312" i="35"/>
  <c r="T312" i="35"/>
  <c r="H313" i="35"/>
  <c r="I313" i="35"/>
  <c r="T313" i="35"/>
  <c r="H314" i="35"/>
  <c r="I314" i="35"/>
  <c r="T314" i="35"/>
  <c r="H315" i="35"/>
  <c r="I315" i="35"/>
  <c r="T315" i="35"/>
  <c r="H316" i="35"/>
  <c r="I316" i="35"/>
  <c r="T316" i="35"/>
  <c r="H317" i="35"/>
  <c r="I317" i="35"/>
  <c r="T317" i="35"/>
  <c r="H318" i="35"/>
  <c r="I318" i="35"/>
  <c r="T318" i="35"/>
  <c r="H319" i="35"/>
  <c r="I319" i="35"/>
  <c r="T319" i="35"/>
  <c r="H320" i="35"/>
  <c r="I320" i="35"/>
  <c r="T320" i="35"/>
  <c r="H321" i="35"/>
  <c r="I321" i="35"/>
  <c r="T321" i="35"/>
  <c r="H322" i="35"/>
  <c r="I322" i="35"/>
  <c r="T322" i="35"/>
  <c r="H323" i="35"/>
  <c r="I323" i="35"/>
  <c r="T323" i="35"/>
  <c r="H324" i="35"/>
  <c r="I324" i="35"/>
  <c r="T324" i="35"/>
  <c r="H325" i="35"/>
  <c r="I325" i="35"/>
  <c r="T325" i="35"/>
  <c r="H326" i="35"/>
  <c r="I326" i="35"/>
  <c r="T326" i="35"/>
  <c r="H327" i="35"/>
  <c r="I327" i="35"/>
  <c r="T327" i="35"/>
  <c r="H328" i="35"/>
  <c r="I328" i="35"/>
  <c r="T328" i="35"/>
  <c r="H329" i="35"/>
  <c r="I329" i="35"/>
  <c r="T329" i="35"/>
  <c r="H330" i="35"/>
  <c r="I330" i="35"/>
  <c r="T330" i="35"/>
  <c r="H331" i="35"/>
  <c r="I331" i="35"/>
  <c r="T331" i="35"/>
  <c r="H332" i="35"/>
  <c r="I332" i="35"/>
  <c r="T332" i="35"/>
  <c r="H333" i="35"/>
  <c r="I333" i="35"/>
  <c r="T333" i="35"/>
  <c r="H334" i="35"/>
  <c r="I334" i="35"/>
  <c r="T334" i="35"/>
  <c r="H335" i="35"/>
  <c r="I335" i="35"/>
  <c r="T335" i="35"/>
  <c r="H336" i="35"/>
  <c r="I336" i="35"/>
  <c r="T336" i="35"/>
  <c r="H337" i="35"/>
  <c r="I337" i="35"/>
  <c r="T337" i="35"/>
  <c r="H338" i="35"/>
  <c r="I338" i="35"/>
  <c r="T338" i="35"/>
  <c r="H339" i="35"/>
  <c r="I339" i="35"/>
  <c r="T339" i="35"/>
  <c r="H340" i="35"/>
  <c r="I340" i="35"/>
  <c r="T340" i="35"/>
  <c r="H341" i="35"/>
  <c r="I341" i="35"/>
  <c r="T341" i="35"/>
  <c r="H342" i="35"/>
  <c r="I342" i="35"/>
  <c r="T342" i="35"/>
  <c r="H343" i="35"/>
  <c r="I343" i="35"/>
  <c r="T343" i="35"/>
  <c r="H344" i="35"/>
  <c r="I344" i="35"/>
  <c r="T344" i="35"/>
  <c r="H345" i="35"/>
  <c r="I345" i="35"/>
  <c r="T345" i="35"/>
  <c r="H346" i="35"/>
  <c r="I346" i="35"/>
  <c r="T346" i="35"/>
  <c r="H347" i="35"/>
  <c r="I347" i="35"/>
  <c r="T347" i="35"/>
  <c r="H348" i="35"/>
  <c r="I348" i="35"/>
  <c r="T348" i="35"/>
  <c r="H349" i="35"/>
  <c r="I349" i="35"/>
  <c r="T349" i="35"/>
  <c r="H350" i="35"/>
  <c r="I350" i="35"/>
  <c r="T350" i="35"/>
  <c r="H351" i="35"/>
  <c r="I351" i="35"/>
  <c r="T351" i="35"/>
  <c r="H352" i="35"/>
  <c r="I352" i="35"/>
  <c r="T352" i="35"/>
  <c r="H353" i="35"/>
  <c r="I353" i="35"/>
  <c r="T353" i="35"/>
  <c r="H354" i="35"/>
  <c r="I354" i="35"/>
  <c r="T354" i="35"/>
  <c r="H355" i="35"/>
  <c r="I355" i="35"/>
  <c r="T355" i="35"/>
  <c r="H356" i="35"/>
  <c r="I356" i="35"/>
  <c r="T356" i="35"/>
  <c r="H357" i="35"/>
  <c r="I357" i="35"/>
  <c r="T357" i="35"/>
  <c r="H358" i="35"/>
  <c r="I358" i="35"/>
  <c r="T358" i="35"/>
  <c r="H359" i="35"/>
  <c r="I359" i="35"/>
  <c r="T359" i="35"/>
  <c r="H360" i="35"/>
  <c r="I360" i="35"/>
  <c r="T360" i="35"/>
  <c r="H361" i="35"/>
  <c r="I361" i="35"/>
  <c r="T361" i="35"/>
  <c r="H362" i="35"/>
  <c r="I362" i="35"/>
  <c r="T362" i="35"/>
  <c r="H363" i="35"/>
  <c r="I363" i="35"/>
  <c r="T363" i="35"/>
  <c r="H364" i="35"/>
  <c r="I364" i="35"/>
  <c r="T364" i="35"/>
  <c r="H365" i="35"/>
  <c r="I365" i="35"/>
  <c r="T365" i="35"/>
  <c r="H366" i="35"/>
  <c r="I366" i="35"/>
  <c r="T366" i="35"/>
  <c r="H367" i="35"/>
  <c r="I367" i="35"/>
  <c r="T367" i="35"/>
  <c r="H368" i="35"/>
  <c r="I368" i="35"/>
  <c r="T368" i="35"/>
  <c r="H369" i="35"/>
  <c r="I369" i="35"/>
  <c r="T369" i="35"/>
  <c r="H370" i="35"/>
  <c r="I370" i="35"/>
  <c r="T370" i="35"/>
  <c r="H371" i="35"/>
  <c r="I371" i="35"/>
  <c r="T371" i="35"/>
  <c r="H372" i="35"/>
  <c r="I372" i="35"/>
  <c r="T372" i="35"/>
  <c r="H373" i="35"/>
  <c r="I373" i="35"/>
  <c r="T373" i="35"/>
  <c r="H374" i="35"/>
  <c r="I374" i="35"/>
  <c r="T374" i="35"/>
  <c r="H375" i="35"/>
  <c r="I375" i="35"/>
  <c r="T375" i="35"/>
  <c r="H376" i="35"/>
  <c r="I376" i="35"/>
  <c r="T376" i="35"/>
  <c r="H377" i="35"/>
  <c r="I377" i="35"/>
  <c r="T377" i="35"/>
  <c r="H378" i="35"/>
  <c r="I378" i="35"/>
  <c r="T378" i="35"/>
  <c r="H379" i="35"/>
  <c r="I379" i="35"/>
  <c r="T379" i="35"/>
  <c r="H380" i="35"/>
  <c r="I380" i="35"/>
  <c r="T380" i="35"/>
  <c r="H381" i="35"/>
  <c r="I381" i="35"/>
  <c r="T381" i="35"/>
  <c r="H382" i="35"/>
  <c r="I382" i="35"/>
  <c r="T382" i="35"/>
  <c r="H383" i="35"/>
  <c r="I383" i="35"/>
  <c r="T383" i="35"/>
  <c r="H384" i="35"/>
  <c r="I384" i="35"/>
  <c r="T384" i="35"/>
  <c r="H385" i="35"/>
  <c r="I385" i="35"/>
  <c r="T385" i="35"/>
  <c r="H386" i="35"/>
  <c r="I386" i="35"/>
  <c r="T386" i="35"/>
  <c r="H387" i="35"/>
  <c r="I387" i="35"/>
  <c r="T387" i="35"/>
  <c r="H388" i="35"/>
  <c r="I388" i="35"/>
  <c r="T388" i="35"/>
  <c r="H389" i="35"/>
  <c r="I389" i="35"/>
  <c r="T389" i="35"/>
  <c r="H390" i="35"/>
  <c r="I390" i="35"/>
  <c r="T390" i="35"/>
  <c r="H391" i="35"/>
  <c r="I391" i="35"/>
  <c r="T391" i="35"/>
  <c r="H392" i="35"/>
  <c r="I392" i="35"/>
  <c r="T392" i="35"/>
  <c r="H393" i="35"/>
  <c r="I393" i="35"/>
  <c r="T393" i="35"/>
  <c r="H394" i="35"/>
  <c r="I394" i="35"/>
  <c r="T394" i="35"/>
  <c r="H395" i="35"/>
  <c r="I395" i="35"/>
  <c r="T395" i="35"/>
  <c r="H396" i="35"/>
  <c r="I396" i="35"/>
  <c r="T396" i="35"/>
  <c r="H397" i="35"/>
  <c r="I397" i="35"/>
  <c r="T397" i="35"/>
  <c r="H398" i="35"/>
  <c r="I398" i="35"/>
  <c r="T398" i="35"/>
  <c r="H399" i="35"/>
  <c r="I399" i="35"/>
  <c r="T399" i="35"/>
  <c r="H400" i="35"/>
  <c r="I400" i="35"/>
  <c r="T400" i="35"/>
  <c r="H401" i="35"/>
  <c r="I401" i="35"/>
  <c r="T401" i="35"/>
  <c r="H402" i="35"/>
  <c r="I402" i="35"/>
  <c r="T402" i="35"/>
  <c r="H403" i="35"/>
  <c r="I403" i="35"/>
  <c r="T403" i="35"/>
  <c r="H404" i="35"/>
  <c r="I404" i="35"/>
  <c r="T404" i="35"/>
  <c r="H405" i="35"/>
  <c r="I405" i="35"/>
  <c r="T405" i="35"/>
  <c r="H406" i="35"/>
  <c r="I406" i="35"/>
  <c r="T406" i="35"/>
  <c r="H407" i="35"/>
  <c r="I407" i="35"/>
  <c r="T407" i="35"/>
  <c r="H408" i="35"/>
  <c r="I408" i="35"/>
  <c r="T408" i="35"/>
  <c r="H409" i="35"/>
  <c r="I409" i="35"/>
  <c r="T409" i="35"/>
  <c r="H410" i="35"/>
  <c r="I410" i="35"/>
  <c r="T410" i="35"/>
  <c r="H411" i="35"/>
  <c r="I411" i="35"/>
  <c r="T411" i="35"/>
  <c r="H412" i="35"/>
  <c r="I412" i="35"/>
  <c r="T412" i="35"/>
  <c r="H413" i="35"/>
  <c r="I413" i="35"/>
  <c r="T413" i="35"/>
  <c r="H414" i="35"/>
  <c r="I414" i="35"/>
  <c r="T414" i="35"/>
  <c r="H415" i="35"/>
  <c r="I415" i="35"/>
  <c r="T415" i="35"/>
  <c r="H416" i="35"/>
  <c r="I416" i="35"/>
  <c r="T416" i="35"/>
  <c r="H417" i="35"/>
  <c r="I417" i="35"/>
  <c r="T417" i="35"/>
  <c r="H418" i="35"/>
  <c r="I418" i="35"/>
  <c r="T418" i="35"/>
  <c r="H419" i="35"/>
  <c r="I419" i="35"/>
  <c r="T419" i="35"/>
  <c r="H420" i="35"/>
  <c r="I420" i="35"/>
  <c r="T420" i="35"/>
  <c r="H421" i="35"/>
  <c r="I421" i="35"/>
  <c r="T421" i="35"/>
  <c r="H422" i="35"/>
  <c r="I422" i="35"/>
  <c r="T422" i="35"/>
  <c r="H423" i="35"/>
  <c r="I423" i="35"/>
  <c r="T423" i="35"/>
  <c r="H424" i="35"/>
  <c r="I424" i="35"/>
  <c r="T424" i="35"/>
  <c r="H425" i="35"/>
  <c r="I425" i="35"/>
  <c r="T425" i="35"/>
  <c r="H426" i="35"/>
  <c r="I426" i="35"/>
  <c r="T426" i="35"/>
  <c r="H427" i="35"/>
  <c r="I427" i="35"/>
  <c r="T427" i="35"/>
  <c r="H428" i="35"/>
  <c r="I428" i="35"/>
  <c r="T428" i="35"/>
  <c r="H429" i="35"/>
  <c r="I429" i="35"/>
  <c r="T429" i="35"/>
  <c r="H430" i="35"/>
  <c r="I430" i="35"/>
  <c r="T430" i="35"/>
  <c r="H431" i="35"/>
  <c r="I431" i="35"/>
  <c r="T431" i="35"/>
  <c r="H432" i="35"/>
  <c r="I432" i="35"/>
  <c r="T432" i="35"/>
  <c r="H433" i="35"/>
  <c r="I433" i="35"/>
  <c r="T433" i="35"/>
  <c r="H434" i="35"/>
  <c r="I434" i="35"/>
  <c r="T434" i="35"/>
  <c r="H435" i="35"/>
  <c r="I435" i="35"/>
  <c r="T435" i="35"/>
  <c r="H436" i="35"/>
  <c r="I436" i="35"/>
  <c r="T436" i="35"/>
  <c r="H437" i="35"/>
  <c r="I437" i="35"/>
  <c r="T437" i="35"/>
  <c r="H438" i="35"/>
  <c r="I438" i="35"/>
  <c r="T438" i="35"/>
  <c r="H439" i="35"/>
  <c r="I439" i="35"/>
  <c r="T439" i="35"/>
  <c r="H440" i="35"/>
  <c r="I440" i="35"/>
  <c r="T440" i="35"/>
  <c r="H441" i="35"/>
  <c r="I441" i="35"/>
  <c r="T441" i="35"/>
  <c r="H442" i="35"/>
  <c r="I442" i="35"/>
  <c r="T442" i="35"/>
  <c r="H443" i="35"/>
  <c r="I443" i="35"/>
  <c r="T443" i="35"/>
  <c r="H444" i="35"/>
  <c r="I444" i="35"/>
  <c r="T444" i="35"/>
  <c r="H445" i="35"/>
  <c r="I445" i="35"/>
  <c r="T445" i="35"/>
  <c r="H446" i="35"/>
  <c r="I446" i="35"/>
  <c r="T446" i="35"/>
  <c r="H447" i="35"/>
  <c r="I447" i="35"/>
  <c r="T447" i="35"/>
  <c r="H448" i="35"/>
  <c r="I448" i="35"/>
  <c r="T448" i="35"/>
  <c r="H449" i="35"/>
  <c r="I449" i="35"/>
  <c r="T449" i="35"/>
  <c r="H450" i="35"/>
  <c r="I450" i="35"/>
  <c r="T450" i="35"/>
  <c r="H451" i="35"/>
  <c r="I451" i="35"/>
  <c r="T451" i="35"/>
  <c r="H452" i="35"/>
  <c r="I452" i="35"/>
  <c r="T452" i="35"/>
  <c r="H453" i="35"/>
  <c r="I453" i="35"/>
  <c r="T453" i="35"/>
  <c r="H454" i="35"/>
  <c r="I454" i="35"/>
  <c r="T454" i="35"/>
  <c r="H455" i="35"/>
  <c r="I455" i="35"/>
  <c r="T455" i="35"/>
  <c r="H456" i="35"/>
  <c r="I456" i="35"/>
  <c r="T456" i="35"/>
  <c r="H457" i="35"/>
  <c r="I457" i="35"/>
  <c r="T457" i="35"/>
  <c r="H458" i="35"/>
  <c r="I458" i="35"/>
  <c r="T458" i="35"/>
  <c r="H459" i="35"/>
  <c r="I459" i="35"/>
  <c r="T459" i="35"/>
  <c r="H460" i="35"/>
  <c r="I460" i="35"/>
  <c r="T460" i="35"/>
  <c r="H461" i="35"/>
  <c r="I461" i="35"/>
  <c r="T461" i="35"/>
  <c r="H462" i="35"/>
  <c r="I462" i="35"/>
  <c r="T462" i="35"/>
  <c r="H463" i="35"/>
  <c r="I463" i="35"/>
  <c r="T463" i="35"/>
  <c r="H464" i="35"/>
  <c r="I464" i="35"/>
  <c r="T464" i="35"/>
  <c r="H465" i="35"/>
  <c r="I465" i="35"/>
  <c r="T465" i="35"/>
  <c r="H466" i="35"/>
  <c r="I466" i="35"/>
  <c r="T466" i="35"/>
  <c r="H467" i="35"/>
  <c r="I467" i="35"/>
  <c r="T467" i="35"/>
  <c r="H468" i="35"/>
  <c r="I468" i="35"/>
  <c r="T468" i="35"/>
  <c r="H469" i="35"/>
  <c r="I469" i="35"/>
  <c r="T469" i="35"/>
  <c r="H470" i="35"/>
  <c r="I470" i="35"/>
  <c r="T470" i="35"/>
  <c r="H471" i="35"/>
  <c r="I471" i="35"/>
  <c r="T471" i="35"/>
  <c r="H472" i="35"/>
  <c r="I472" i="35"/>
  <c r="T472" i="35"/>
  <c r="H473" i="35"/>
  <c r="I473" i="35"/>
  <c r="T473" i="35"/>
  <c r="H474" i="35"/>
  <c r="I474" i="35"/>
  <c r="T474" i="35"/>
  <c r="H475" i="35"/>
  <c r="I475" i="35"/>
  <c r="T475" i="35"/>
  <c r="H476" i="35"/>
  <c r="I476" i="35"/>
  <c r="T476" i="35"/>
  <c r="H477" i="35"/>
  <c r="I477" i="35"/>
  <c r="T477" i="35"/>
  <c r="H478" i="35"/>
  <c r="I478" i="35"/>
  <c r="T478" i="35"/>
  <c r="H479" i="35"/>
  <c r="I479" i="35"/>
  <c r="T479" i="35"/>
  <c r="H480" i="35"/>
  <c r="I480" i="35"/>
  <c r="T480" i="35"/>
  <c r="H481" i="35"/>
  <c r="I481" i="35"/>
  <c r="T481" i="35"/>
  <c r="H482" i="35"/>
  <c r="I482" i="35"/>
  <c r="T482" i="35"/>
  <c r="H483" i="35"/>
  <c r="I483" i="35"/>
  <c r="T483" i="35"/>
  <c r="H484" i="35"/>
  <c r="I484" i="35"/>
  <c r="T484" i="35"/>
  <c r="H485" i="35"/>
  <c r="I485" i="35"/>
  <c r="T485" i="35"/>
  <c r="H486" i="35"/>
  <c r="I486" i="35"/>
  <c r="T486" i="35"/>
  <c r="H487" i="35"/>
  <c r="I487" i="35"/>
  <c r="T487" i="35"/>
  <c r="H488" i="35"/>
  <c r="I488" i="35"/>
  <c r="T488" i="35"/>
  <c r="H489" i="35"/>
  <c r="I489" i="35"/>
  <c r="T489" i="35"/>
  <c r="H490" i="35"/>
  <c r="I490" i="35"/>
  <c r="T490" i="35"/>
  <c r="H491" i="35"/>
  <c r="I491" i="35"/>
  <c r="T491" i="35"/>
  <c r="H492" i="35"/>
  <c r="I492" i="35"/>
  <c r="T492" i="35"/>
  <c r="H493" i="35"/>
  <c r="I493" i="35"/>
  <c r="T493" i="35"/>
  <c r="H494" i="35"/>
  <c r="I494" i="35"/>
  <c r="T494" i="35"/>
  <c r="H495" i="35"/>
  <c r="I495" i="35"/>
  <c r="T495" i="35"/>
  <c r="H496" i="35"/>
  <c r="I496" i="35"/>
  <c r="T496" i="35"/>
  <c r="H497" i="35"/>
  <c r="I497" i="35"/>
  <c r="T497" i="35"/>
  <c r="H498" i="35"/>
  <c r="I498" i="35"/>
  <c r="T498" i="35"/>
  <c r="H499" i="35"/>
  <c r="I499" i="35"/>
  <c r="T499" i="35"/>
  <c r="H500" i="35"/>
  <c r="I500" i="35"/>
  <c r="T500" i="35"/>
  <c r="H501" i="35"/>
  <c r="I501" i="35"/>
  <c r="T501" i="35"/>
  <c r="H502" i="35"/>
  <c r="I502" i="35"/>
  <c r="T502" i="35"/>
  <c r="H503" i="35"/>
  <c r="I503" i="35"/>
  <c r="T503" i="35"/>
  <c r="H504" i="35"/>
  <c r="I504" i="35"/>
  <c r="T504" i="35"/>
  <c r="H505" i="35"/>
  <c r="I505" i="35"/>
  <c r="T505" i="35"/>
  <c r="H506" i="35"/>
  <c r="I506" i="35"/>
  <c r="T506" i="35"/>
  <c r="H507" i="35"/>
  <c r="I507" i="35"/>
  <c r="T507" i="35"/>
  <c r="H508" i="35"/>
  <c r="I508" i="35"/>
  <c r="T508" i="35"/>
  <c r="H509" i="35"/>
  <c r="I509" i="35"/>
  <c r="T509" i="35"/>
  <c r="H510" i="35"/>
  <c r="I510" i="35"/>
  <c r="T510" i="35"/>
  <c r="H511" i="35"/>
  <c r="I511" i="35"/>
  <c r="T511" i="35"/>
  <c r="H512" i="35"/>
  <c r="I512" i="35"/>
  <c r="T512" i="35"/>
  <c r="H513" i="35"/>
  <c r="I513" i="35"/>
  <c r="T513" i="35"/>
  <c r="H514" i="35"/>
  <c r="I514" i="35"/>
  <c r="T514" i="35"/>
  <c r="H515" i="35"/>
  <c r="I515" i="35"/>
  <c r="T515" i="35"/>
  <c r="H516" i="35"/>
  <c r="I516" i="35"/>
  <c r="T516" i="35"/>
  <c r="H517" i="35"/>
  <c r="I517" i="35"/>
  <c r="T517" i="35"/>
  <c r="H518" i="35"/>
  <c r="I518" i="35"/>
  <c r="T518" i="35"/>
  <c r="H519" i="35"/>
  <c r="I519" i="35"/>
  <c r="T519" i="35"/>
  <c r="H520" i="35"/>
  <c r="I520" i="35"/>
  <c r="T520" i="35"/>
  <c r="H521" i="35"/>
  <c r="I521" i="35"/>
  <c r="T521" i="35"/>
  <c r="H522" i="35"/>
  <c r="I522" i="35"/>
  <c r="T522" i="35"/>
  <c r="H523" i="35"/>
  <c r="I523" i="35"/>
  <c r="T523" i="35"/>
  <c r="H524" i="35"/>
  <c r="I524" i="35"/>
  <c r="T524" i="35"/>
  <c r="H525" i="35"/>
  <c r="I525" i="35"/>
  <c r="T525" i="35"/>
  <c r="H526" i="35"/>
  <c r="I526" i="35"/>
  <c r="T526" i="35"/>
  <c r="H527" i="35"/>
  <c r="I527" i="35"/>
  <c r="T527" i="35"/>
  <c r="H528" i="35"/>
  <c r="I528" i="35"/>
  <c r="T528" i="35"/>
  <c r="H529" i="35"/>
  <c r="I529" i="35"/>
  <c r="T529" i="35"/>
  <c r="H530" i="35"/>
  <c r="I530" i="35"/>
  <c r="T530" i="35"/>
  <c r="H531" i="35"/>
  <c r="I531" i="35"/>
  <c r="T531" i="35"/>
  <c r="H532" i="35"/>
  <c r="I532" i="35"/>
  <c r="T532" i="35"/>
  <c r="H533" i="35"/>
  <c r="I533" i="35"/>
  <c r="T533" i="35"/>
  <c r="H534" i="35"/>
  <c r="I534" i="35"/>
  <c r="T534" i="35"/>
  <c r="H535" i="35"/>
  <c r="I535" i="35"/>
  <c r="T535" i="35"/>
  <c r="H536" i="35"/>
  <c r="I536" i="35"/>
  <c r="T536" i="35"/>
  <c r="H537" i="35"/>
  <c r="I537" i="35"/>
  <c r="T537" i="35"/>
  <c r="H538" i="35"/>
  <c r="I538" i="35"/>
  <c r="T538" i="35"/>
  <c r="H539" i="35"/>
  <c r="I539" i="35"/>
  <c r="T539" i="35"/>
  <c r="H540" i="35"/>
  <c r="I540" i="35"/>
  <c r="T540" i="35"/>
  <c r="H541" i="35"/>
  <c r="I541" i="35"/>
  <c r="T541" i="35"/>
  <c r="H542" i="35"/>
  <c r="I542" i="35"/>
  <c r="T542" i="35"/>
  <c r="H543" i="35"/>
  <c r="I543" i="35"/>
  <c r="T543" i="35"/>
  <c r="H544" i="35"/>
  <c r="I544" i="35"/>
  <c r="T544" i="35"/>
  <c r="H545" i="35"/>
  <c r="I545" i="35"/>
  <c r="T545" i="35"/>
  <c r="H546" i="35"/>
  <c r="I546" i="35"/>
  <c r="T546" i="35"/>
  <c r="H547" i="35"/>
  <c r="I547" i="35"/>
  <c r="T547" i="35"/>
  <c r="H548" i="35"/>
  <c r="I548" i="35"/>
  <c r="T548" i="35"/>
  <c r="H549" i="35"/>
  <c r="I549" i="35"/>
  <c r="T549" i="35"/>
  <c r="H550" i="35"/>
  <c r="I550" i="35"/>
  <c r="T550" i="35"/>
  <c r="H551" i="35"/>
  <c r="I551" i="35"/>
  <c r="T551" i="35"/>
  <c r="H552" i="35"/>
  <c r="I552" i="35"/>
  <c r="T552" i="35"/>
  <c r="H553" i="35"/>
  <c r="I553" i="35"/>
  <c r="T553" i="35"/>
  <c r="H554" i="35"/>
  <c r="I554" i="35"/>
  <c r="T554" i="35"/>
  <c r="H555" i="35"/>
  <c r="I555" i="35"/>
  <c r="T555" i="35"/>
  <c r="H556" i="35"/>
  <c r="I556" i="35"/>
  <c r="T556" i="35"/>
  <c r="H557" i="35"/>
  <c r="I557" i="35"/>
  <c r="T557" i="35"/>
  <c r="H558" i="35"/>
  <c r="I558" i="35"/>
  <c r="T558" i="35"/>
  <c r="H559" i="35"/>
  <c r="I559" i="35"/>
  <c r="T559" i="35"/>
  <c r="H560" i="35"/>
  <c r="I560" i="35"/>
  <c r="T560" i="35"/>
  <c r="H561" i="35"/>
  <c r="I561" i="35"/>
  <c r="T561" i="35"/>
  <c r="H562" i="35"/>
  <c r="I562" i="35"/>
  <c r="T562" i="35"/>
  <c r="H563" i="35"/>
  <c r="I563" i="35"/>
  <c r="T563" i="35"/>
  <c r="H564" i="35"/>
  <c r="I564" i="35"/>
  <c r="T564" i="35"/>
  <c r="H565" i="35"/>
  <c r="I565" i="35"/>
  <c r="T565" i="35"/>
  <c r="H566" i="35"/>
  <c r="I566" i="35"/>
  <c r="T566" i="35"/>
  <c r="H567" i="35"/>
  <c r="I567" i="35"/>
  <c r="T567" i="35"/>
  <c r="H568" i="35"/>
  <c r="I568" i="35"/>
  <c r="T568" i="35"/>
  <c r="H569" i="35"/>
  <c r="I569" i="35"/>
  <c r="T569" i="35"/>
  <c r="H570" i="35"/>
  <c r="I570" i="35"/>
  <c r="T570" i="35"/>
  <c r="H571" i="35"/>
  <c r="I571" i="35"/>
  <c r="T571" i="35"/>
  <c r="H572" i="35"/>
  <c r="I572" i="35"/>
  <c r="T572" i="35"/>
  <c r="H573" i="35"/>
  <c r="I573" i="35"/>
  <c r="T573" i="35"/>
  <c r="H574" i="35"/>
  <c r="I574" i="35"/>
  <c r="T574" i="35"/>
  <c r="H575" i="35"/>
  <c r="I575" i="35"/>
  <c r="T575" i="35"/>
  <c r="H576" i="35"/>
  <c r="I576" i="35"/>
  <c r="T576" i="35"/>
  <c r="H577" i="35"/>
  <c r="I577" i="35"/>
  <c r="T577" i="35"/>
  <c r="H578" i="35"/>
  <c r="I578" i="35"/>
  <c r="T578" i="35"/>
  <c r="H579" i="35"/>
  <c r="I579" i="35"/>
  <c r="T579" i="35"/>
  <c r="H580" i="35"/>
  <c r="I580" i="35"/>
  <c r="T580" i="35"/>
  <c r="H581" i="35"/>
  <c r="I581" i="35"/>
  <c r="T581" i="35"/>
  <c r="H582" i="35"/>
  <c r="I582" i="35"/>
  <c r="T582" i="35"/>
  <c r="H583" i="35"/>
  <c r="I583" i="35"/>
  <c r="T583" i="35"/>
  <c r="H584" i="35"/>
  <c r="I584" i="35"/>
  <c r="T584" i="35"/>
  <c r="H585" i="35"/>
  <c r="I585" i="35"/>
  <c r="T585" i="35"/>
  <c r="H586" i="35"/>
  <c r="I586" i="35"/>
  <c r="T586" i="35"/>
  <c r="H587" i="35"/>
  <c r="I587" i="35"/>
  <c r="T587" i="35"/>
  <c r="H588" i="35"/>
  <c r="I588" i="35"/>
  <c r="T588" i="35"/>
  <c r="H589" i="35"/>
  <c r="I589" i="35"/>
  <c r="T589" i="35"/>
  <c r="H590" i="35"/>
  <c r="I590" i="35"/>
  <c r="T590" i="35"/>
  <c r="H591" i="35"/>
  <c r="I591" i="35"/>
  <c r="T591" i="35"/>
  <c r="H592" i="35"/>
  <c r="I592" i="35"/>
  <c r="T592" i="35"/>
  <c r="H593" i="35"/>
  <c r="I593" i="35"/>
  <c r="T593" i="35"/>
  <c r="H594" i="35"/>
  <c r="I594" i="35"/>
  <c r="T594" i="35"/>
  <c r="H595" i="35"/>
  <c r="I595" i="35"/>
  <c r="T595" i="35"/>
  <c r="H596" i="35"/>
  <c r="I596" i="35"/>
  <c r="T596" i="35"/>
  <c r="H597" i="35"/>
  <c r="I597" i="35"/>
  <c r="T597" i="35"/>
  <c r="H598" i="35"/>
  <c r="I598" i="35"/>
  <c r="T598" i="35"/>
  <c r="H599" i="35"/>
  <c r="I599" i="35"/>
  <c r="T599" i="35"/>
  <c r="H600" i="35"/>
  <c r="I600" i="35"/>
  <c r="T600" i="35"/>
  <c r="H601" i="35"/>
  <c r="I601" i="35"/>
  <c r="T601" i="35"/>
  <c r="H602" i="35"/>
  <c r="I602" i="35"/>
  <c r="T602" i="35"/>
  <c r="H603" i="35"/>
  <c r="I603" i="35"/>
  <c r="T603" i="35"/>
  <c r="H604" i="35"/>
  <c r="I604" i="35"/>
  <c r="T604" i="35"/>
  <c r="H605" i="35"/>
  <c r="I605" i="35"/>
  <c r="T605" i="35"/>
  <c r="H606" i="35"/>
  <c r="I606" i="35"/>
  <c r="T606" i="35"/>
  <c r="H607" i="35"/>
  <c r="I607" i="35"/>
  <c r="T607" i="35"/>
  <c r="H608" i="35"/>
  <c r="I608" i="35"/>
  <c r="T608" i="35"/>
  <c r="H609" i="35"/>
  <c r="I609" i="35"/>
  <c r="T609" i="35"/>
  <c r="H610" i="35"/>
  <c r="I610" i="35"/>
  <c r="T610" i="35"/>
  <c r="H611" i="35"/>
  <c r="I611" i="35"/>
  <c r="T611" i="35"/>
  <c r="H612" i="35"/>
  <c r="I612" i="35"/>
  <c r="T612" i="35"/>
  <c r="H613" i="35"/>
  <c r="I613" i="35"/>
  <c r="T613" i="35"/>
  <c r="H614" i="35"/>
  <c r="I614" i="35"/>
  <c r="T614" i="35"/>
  <c r="H615" i="35"/>
  <c r="I615" i="35"/>
  <c r="T615" i="35"/>
  <c r="H616" i="35"/>
  <c r="I616" i="35"/>
  <c r="T616" i="35"/>
  <c r="H617" i="35"/>
  <c r="I617" i="35"/>
  <c r="T617" i="35"/>
  <c r="H618" i="35"/>
  <c r="I618" i="35"/>
  <c r="T618" i="35"/>
  <c r="H619" i="35"/>
  <c r="I619" i="35"/>
  <c r="T619" i="35"/>
  <c r="H620" i="35"/>
  <c r="I620" i="35"/>
  <c r="T620" i="35"/>
  <c r="H621" i="35"/>
  <c r="I621" i="35"/>
  <c r="T621" i="35"/>
  <c r="H622" i="35"/>
  <c r="I622" i="35"/>
  <c r="T622" i="35"/>
  <c r="H623" i="35"/>
  <c r="I623" i="35"/>
  <c r="T623" i="35"/>
  <c r="H624" i="35"/>
  <c r="I624" i="35"/>
  <c r="T624" i="35"/>
  <c r="H625" i="35"/>
  <c r="I625" i="35"/>
  <c r="T625" i="35"/>
  <c r="H626" i="35"/>
  <c r="I626" i="35"/>
  <c r="T626" i="35"/>
  <c r="H627" i="35"/>
  <c r="I627" i="35"/>
  <c r="T627" i="35"/>
  <c r="H628" i="35"/>
  <c r="I628" i="35"/>
  <c r="T628" i="35"/>
  <c r="H629" i="35"/>
  <c r="I629" i="35"/>
  <c r="T629" i="35"/>
  <c r="H630" i="35"/>
  <c r="I630" i="35"/>
  <c r="T630" i="35"/>
  <c r="H631" i="35"/>
  <c r="I631" i="35"/>
  <c r="T631" i="35"/>
  <c r="H632" i="35"/>
  <c r="I632" i="35"/>
  <c r="T632" i="35"/>
  <c r="H633" i="35"/>
  <c r="I633" i="35"/>
  <c r="T633" i="35"/>
  <c r="H634" i="35"/>
  <c r="I634" i="35"/>
  <c r="T634" i="35"/>
  <c r="H635" i="35"/>
  <c r="I635" i="35"/>
  <c r="T635" i="35"/>
  <c r="H636" i="35"/>
  <c r="I636" i="35"/>
  <c r="T636" i="35"/>
  <c r="H637" i="35"/>
  <c r="I637" i="35"/>
  <c r="T637" i="35"/>
  <c r="H638" i="35"/>
  <c r="I638" i="35"/>
  <c r="T638" i="35"/>
  <c r="H639" i="35"/>
  <c r="I639" i="35"/>
  <c r="T639" i="35"/>
  <c r="H640" i="35"/>
  <c r="I640" i="35"/>
  <c r="T640" i="35"/>
  <c r="H641" i="35"/>
  <c r="I641" i="35"/>
  <c r="T641" i="35"/>
  <c r="H642" i="35"/>
  <c r="I642" i="35"/>
  <c r="T642" i="35"/>
  <c r="H643" i="35"/>
  <c r="I643" i="35"/>
  <c r="T643" i="35"/>
  <c r="H644" i="35"/>
  <c r="I644" i="35"/>
  <c r="T644" i="35"/>
  <c r="H645" i="35"/>
  <c r="I645" i="35"/>
  <c r="T645" i="35"/>
  <c r="H646" i="35"/>
  <c r="I646" i="35"/>
  <c r="T646" i="35"/>
  <c r="H647" i="35"/>
  <c r="I647" i="35"/>
  <c r="T647" i="35"/>
  <c r="H648" i="35"/>
  <c r="I648" i="35"/>
  <c r="T648" i="35"/>
  <c r="H649" i="35"/>
  <c r="I649" i="35"/>
  <c r="T649" i="35"/>
  <c r="H650" i="35"/>
  <c r="I650" i="35"/>
  <c r="T650" i="35"/>
  <c r="H651" i="35"/>
  <c r="I651" i="35"/>
  <c r="T651" i="35"/>
  <c r="H652" i="35"/>
  <c r="I652" i="35"/>
  <c r="T652" i="35"/>
  <c r="H653" i="35"/>
  <c r="I653" i="35"/>
  <c r="T653" i="35"/>
  <c r="H654" i="35"/>
  <c r="I654" i="35"/>
  <c r="T654" i="35"/>
  <c r="H655" i="35"/>
  <c r="I655" i="35"/>
  <c r="T655" i="35"/>
  <c r="H656" i="35"/>
  <c r="I656" i="35"/>
  <c r="T656" i="35"/>
  <c r="H657" i="35"/>
  <c r="I657" i="35"/>
  <c r="T657" i="35"/>
  <c r="H658" i="35"/>
  <c r="I658" i="35"/>
  <c r="T658" i="35"/>
  <c r="H659" i="35"/>
  <c r="I659" i="35"/>
  <c r="T659" i="35"/>
  <c r="H660" i="35"/>
  <c r="I660" i="35"/>
  <c r="T660" i="35"/>
  <c r="H661" i="35"/>
  <c r="I661" i="35"/>
  <c r="T661" i="35"/>
  <c r="H662" i="35"/>
  <c r="I662" i="35"/>
  <c r="T662" i="35"/>
  <c r="H663" i="35"/>
  <c r="I663" i="35"/>
  <c r="T663" i="35"/>
  <c r="H664" i="35"/>
  <c r="I664" i="35"/>
  <c r="T664" i="35"/>
  <c r="H665" i="35"/>
  <c r="I665" i="35"/>
  <c r="T665" i="35"/>
  <c r="H666" i="35"/>
  <c r="I666" i="35"/>
  <c r="T666" i="35"/>
  <c r="H667" i="35"/>
  <c r="I667" i="35"/>
  <c r="T667" i="35"/>
  <c r="H668" i="35"/>
  <c r="I668" i="35"/>
  <c r="T668" i="35"/>
  <c r="H669" i="35"/>
  <c r="I669" i="35"/>
  <c r="T669" i="35"/>
  <c r="H670" i="35"/>
  <c r="I670" i="35"/>
  <c r="T670" i="35"/>
  <c r="H671" i="35"/>
  <c r="I671" i="35"/>
  <c r="T671" i="35"/>
  <c r="H672" i="35"/>
  <c r="I672" i="35"/>
  <c r="T672" i="35"/>
  <c r="H673" i="35"/>
  <c r="I673" i="35"/>
  <c r="T673" i="35"/>
  <c r="H674" i="35"/>
  <c r="I674" i="35"/>
  <c r="T674" i="35"/>
  <c r="H675" i="35"/>
  <c r="I675" i="35"/>
  <c r="T675" i="35"/>
  <c r="H676" i="35"/>
  <c r="I676" i="35"/>
  <c r="T676" i="35"/>
  <c r="H677" i="35"/>
  <c r="I677" i="35"/>
  <c r="T677" i="35"/>
  <c r="H678" i="35"/>
  <c r="I678" i="35"/>
  <c r="T678" i="35"/>
  <c r="H679" i="35"/>
  <c r="I679" i="35"/>
  <c r="T679" i="35"/>
  <c r="H680" i="35"/>
  <c r="I680" i="35"/>
  <c r="T680" i="35"/>
  <c r="H681" i="35"/>
  <c r="I681" i="35"/>
  <c r="T681" i="35"/>
  <c r="H682" i="35"/>
  <c r="I682" i="35"/>
  <c r="T682" i="35"/>
  <c r="H683" i="35"/>
  <c r="I683" i="35"/>
  <c r="T683" i="35"/>
  <c r="H684" i="35"/>
  <c r="I684" i="35"/>
  <c r="T684" i="35"/>
  <c r="H685" i="35"/>
  <c r="I685" i="35"/>
  <c r="T685" i="35"/>
  <c r="H686" i="35"/>
  <c r="I686" i="35"/>
  <c r="T686" i="35"/>
  <c r="H687" i="35"/>
  <c r="I687" i="35"/>
  <c r="T687" i="35"/>
  <c r="H688" i="35"/>
  <c r="I688" i="35"/>
  <c r="T688" i="35"/>
  <c r="H689" i="35"/>
  <c r="I689" i="35"/>
  <c r="T689" i="35"/>
  <c r="H690" i="35"/>
  <c r="I690" i="35"/>
  <c r="T690" i="35"/>
  <c r="H691" i="35"/>
  <c r="I691" i="35"/>
  <c r="T691" i="35"/>
  <c r="H692" i="35"/>
  <c r="I692" i="35"/>
  <c r="T692" i="35"/>
  <c r="H693" i="35"/>
  <c r="I693" i="35"/>
  <c r="T693" i="35"/>
  <c r="H694" i="35"/>
  <c r="I694" i="35"/>
  <c r="T694" i="35"/>
  <c r="H695" i="35"/>
  <c r="I695" i="35"/>
  <c r="T695" i="35"/>
  <c r="H696" i="35"/>
  <c r="I696" i="35"/>
  <c r="T696" i="35"/>
  <c r="H697" i="35"/>
  <c r="I697" i="35"/>
  <c r="T697" i="35"/>
  <c r="H698" i="35"/>
  <c r="I698" i="35"/>
  <c r="T698" i="35"/>
  <c r="H699" i="35"/>
  <c r="I699" i="35"/>
  <c r="T699" i="35"/>
  <c r="H700" i="35"/>
  <c r="I700" i="35"/>
  <c r="T700" i="35"/>
  <c r="H701" i="35"/>
  <c r="I701" i="35"/>
  <c r="T701" i="35"/>
  <c r="H702" i="35"/>
  <c r="I702" i="35"/>
  <c r="T702" i="35"/>
  <c r="H703" i="35"/>
  <c r="I703" i="35"/>
  <c r="T703" i="35"/>
  <c r="H704" i="35"/>
  <c r="I704" i="35"/>
  <c r="H705" i="35"/>
  <c r="I705" i="35"/>
  <c r="H706" i="35"/>
  <c r="I706" i="35"/>
  <c r="H707" i="35"/>
  <c r="I707" i="35"/>
  <c r="H708" i="35"/>
  <c r="I708" i="35"/>
  <c r="H709" i="35"/>
  <c r="I709" i="35"/>
  <c r="H710" i="35"/>
  <c r="I710" i="35"/>
  <c r="H711" i="35"/>
  <c r="I711" i="35"/>
  <c r="H712" i="35"/>
  <c r="I712" i="35"/>
  <c r="H713" i="35"/>
  <c r="I713" i="35"/>
  <c r="H714" i="35"/>
  <c r="I714" i="35"/>
  <c r="H715" i="35"/>
  <c r="I715" i="35"/>
  <c r="H716" i="35"/>
  <c r="I716" i="35"/>
  <c r="H717" i="35"/>
  <c r="I717" i="35"/>
  <c r="H718" i="35"/>
  <c r="I718" i="35"/>
  <c r="H719" i="35"/>
  <c r="I719" i="35"/>
  <c r="H720" i="35"/>
  <c r="I720" i="35"/>
  <c r="H721" i="35"/>
  <c r="I721" i="35"/>
  <c r="H722" i="35"/>
  <c r="I722" i="35"/>
  <c r="H723" i="35"/>
  <c r="I723" i="35"/>
  <c r="H724" i="35"/>
  <c r="I724" i="35"/>
  <c r="H725" i="35"/>
  <c r="I725" i="35"/>
  <c r="H726" i="35"/>
  <c r="I726" i="35"/>
  <c r="H727" i="35"/>
  <c r="I727" i="35"/>
  <c r="H728" i="35"/>
  <c r="I728" i="35"/>
  <c r="H729" i="35"/>
  <c r="I729" i="35"/>
  <c r="H730" i="35"/>
  <c r="I730" i="35"/>
  <c r="H731" i="35"/>
  <c r="I731" i="35"/>
  <c r="H732" i="35"/>
  <c r="I732" i="35"/>
  <c r="H733" i="35"/>
  <c r="I733" i="35"/>
  <c r="H734" i="35"/>
  <c r="I734" i="35"/>
  <c r="H735" i="35"/>
  <c r="I735" i="35"/>
  <c r="H736" i="35"/>
  <c r="I736" i="35"/>
  <c r="H737" i="35"/>
  <c r="I737" i="35"/>
  <c r="H738" i="35"/>
  <c r="I738" i="35"/>
  <c r="H739" i="35"/>
  <c r="I739" i="35"/>
  <c r="H740" i="35"/>
  <c r="I740" i="35"/>
  <c r="H741" i="35"/>
  <c r="I741" i="35"/>
  <c r="H742" i="35"/>
  <c r="I742" i="35"/>
  <c r="H743" i="35"/>
  <c r="I743" i="35"/>
  <c r="H744" i="35"/>
  <c r="I744" i="35"/>
  <c r="H745" i="35"/>
  <c r="I745" i="35"/>
  <c r="H746" i="35"/>
  <c r="I746" i="35"/>
  <c r="I43" i="34" l="1"/>
  <c r="J43" i="34"/>
  <c r="I458" i="34"/>
  <c r="J458" i="34"/>
  <c r="I247" i="34"/>
  <c r="J247" i="34"/>
  <c r="I173" i="34"/>
  <c r="J173" i="34"/>
  <c r="I148" i="34"/>
  <c r="J148" i="34"/>
  <c r="I44" i="34"/>
  <c r="J44" i="34"/>
  <c r="I557" i="34"/>
  <c r="J557" i="34"/>
  <c r="I572" i="34"/>
  <c r="J572" i="34"/>
  <c r="I69" i="34"/>
  <c r="J69" i="34"/>
  <c r="I505" i="34"/>
  <c r="J505" i="34"/>
  <c r="I149" i="34"/>
  <c r="J149" i="34"/>
  <c r="I699" i="34"/>
  <c r="J699" i="34"/>
  <c r="I45" i="34"/>
  <c r="J45" i="34"/>
  <c r="I476" i="34"/>
  <c r="J476" i="34"/>
  <c r="I726" i="34"/>
  <c r="J726" i="34"/>
  <c r="I614" i="34"/>
  <c r="J614" i="34"/>
  <c r="I558" i="34"/>
  <c r="J558" i="34"/>
  <c r="I325" i="34"/>
  <c r="J325" i="34"/>
  <c r="I214" i="34"/>
  <c r="J214" i="34"/>
  <c r="I440" i="34"/>
  <c r="J440" i="34"/>
  <c r="I727" i="34"/>
  <c r="J727" i="34"/>
  <c r="I215" i="34"/>
  <c r="J215" i="34"/>
  <c r="I46" i="34"/>
  <c r="J46" i="34"/>
  <c r="I677" i="34"/>
  <c r="J677" i="34"/>
  <c r="I645" i="34"/>
  <c r="J645" i="34"/>
  <c r="I523" i="34"/>
  <c r="J523" i="34"/>
  <c r="I448" i="34"/>
  <c r="J448" i="34"/>
  <c r="I615" i="34"/>
  <c r="J615" i="34"/>
  <c r="I326" i="34"/>
  <c r="J326" i="34"/>
  <c r="I589" i="34"/>
  <c r="J589" i="34"/>
  <c r="I431" i="34"/>
  <c r="J431" i="34"/>
  <c r="I459" i="34"/>
  <c r="J459" i="34"/>
  <c r="I124" i="34"/>
  <c r="J124" i="34"/>
  <c r="I432" i="34"/>
  <c r="J432" i="34"/>
  <c r="I150" i="34"/>
  <c r="J150" i="34"/>
  <c r="I297" i="34"/>
  <c r="J297" i="34"/>
  <c r="I715" i="34"/>
  <c r="J715" i="34"/>
  <c r="I248" i="34"/>
  <c r="J248" i="34"/>
  <c r="I2" i="34"/>
  <c r="J2" i="34"/>
  <c r="I678" i="34"/>
  <c r="J678" i="34"/>
  <c r="I216" i="34"/>
  <c r="J216" i="34"/>
  <c r="I327" i="34"/>
  <c r="J327" i="34"/>
  <c r="I362" i="34"/>
  <c r="J362" i="34"/>
  <c r="I3" i="34"/>
  <c r="J3" i="34"/>
  <c r="I328" i="34"/>
  <c r="J328" i="34"/>
  <c r="I433" i="34"/>
  <c r="J433" i="34"/>
  <c r="I646" i="34"/>
  <c r="J646" i="34"/>
  <c r="I477" i="34"/>
  <c r="J477" i="34"/>
  <c r="I408" i="34"/>
  <c r="J408" i="34"/>
  <c r="I478" i="34"/>
  <c r="J478" i="34"/>
  <c r="I590" i="34"/>
  <c r="J590" i="34"/>
  <c r="I151" i="34"/>
  <c r="J151" i="34"/>
  <c r="I70" i="34"/>
  <c r="J70" i="34"/>
  <c r="I298" i="34"/>
  <c r="J298" i="34"/>
  <c r="I329" i="34"/>
  <c r="J329" i="34"/>
  <c r="I152" i="34"/>
  <c r="J152" i="34"/>
  <c r="I47" i="34"/>
  <c r="J47" i="34"/>
  <c r="I125" i="34"/>
  <c r="J125" i="34"/>
  <c r="I679" i="34"/>
  <c r="J679" i="34"/>
  <c r="I174" i="34"/>
  <c r="J174" i="34"/>
  <c r="I175" i="34"/>
  <c r="J175" i="34"/>
  <c r="I482" i="34"/>
  <c r="J482" i="34"/>
  <c r="I176" i="34"/>
  <c r="J176" i="34"/>
  <c r="I363" i="34"/>
  <c r="J363" i="34"/>
  <c r="I532" i="34"/>
  <c r="J532" i="34"/>
  <c r="I591" i="34"/>
  <c r="J591" i="34"/>
  <c r="I217" i="34"/>
  <c r="J217" i="34"/>
  <c r="I153" i="34"/>
  <c r="J153" i="34"/>
  <c r="I249" i="34"/>
  <c r="J249" i="34"/>
  <c r="I434" i="34"/>
  <c r="J434" i="34"/>
  <c r="I299" i="34"/>
  <c r="J299" i="34"/>
  <c r="I630" i="34"/>
  <c r="J630" i="34"/>
  <c r="I592" i="34"/>
  <c r="J592" i="34"/>
  <c r="I412" i="34"/>
  <c r="J412" i="34"/>
  <c r="I126" i="34"/>
  <c r="J126" i="34"/>
  <c r="I127" i="34"/>
  <c r="J127" i="34"/>
  <c r="I593" i="34"/>
  <c r="J593" i="34"/>
  <c r="I330" i="34"/>
  <c r="J330" i="34"/>
  <c r="I364" i="34"/>
  <c r="J364" i="34"/>
  <c r="I499" i="34"/>
  <c r="J499" i="34"/>
  <c r="I218" i="34"/>
  <c r="J218" i="34"/>
  <c r="I300" i="34"/>
  <c r="J300" i="34"/>
  <c r="I4" i="34"/>
  <c r="J4" i="34"/>
  <c r="I219" i="34"/>
  <c r="J219" i="34"/>
  <c r="I71" i="34"/>
  <c r="J71" i="34"/>
  <c r="I495" i="34"/>
  <c r="J495" i="34"/>
  <c r="I700" i="34"/>
  <c r="J700" i="34"/>
  <c r="I331" i="34"/>
  <c r="J331" i="34"/>
  <c r="I716" i="34"/>
  <c r="J716" i="34"/>
  <c r="I128" i="34"/>
  <c r="J128" i="34"/>
  <c r="I680" i="34"/>
  <c r="J680" i="34"/>
  <c r="I301" i="34"/>
  <c r="J301" i="34"/>
  <c r="I518" i="34"/>
  <c r="J518" i="34"/>
  <c r="I177" i="34"/>
  <c r="J177" i="34"/>
  <c r="I631" i="34"/>
  <c r="J631" i="34"/>
  <c r="I423" i="34"/>
  <c r="J423" i="34"/>
  <c r="I220" i="34"/>
  <c r="J220" i="34"/>
  <c r="I221" i="34"/>
  <c r="J221" i="34"/>
  <c r="I72" i="34"/>
  <c r="J72" i="34"/>
  <c r="I129" i="34"/>
  <c r="J129" i="34"/>
  <c r="I681" i="34"/>
  <c r="J681" i="34"/>
  <c r="I302" i="34"/>
  <c r="J302" i="34"/>
  <c r="I250" i="34"/>
  <c r="J250" i="34"/>
  <c r="I632" i="34"/>
  <c r="J632" i="34"/>
  <c r="I682" i="34"/>
  <c r="J682" i="34"/>
  <c r="I683" i="34"/>
  <c r="J683" i="34"/>
  <c r="I251" i="34"/>
  <c r="J251" i="34"/>
  <c r="I178" i="34"/>
  <c r="J178" i="34"/>
  <c r="I717" i="34"/>
  <c r="J717" i="34"/>
  <c r="I647" i="34"/>
  <c r="J647" i="34"/>
  <c r="I179" i="34"/>
  <c r="J179" i="34"/>
  <c r="I5" i="34"/>
  <c r="J5" i="34"/>
  <c r="I6" i="34"/>
  <c r="J6" i="34"/>
  <c r="I7" i="34"/>
  <c r="J7" i="34"/>
  <c r="I500" i="34"/>
  <c r="J500" i="34"/>
  <c r="I559" i="34"/>
  <c r="J559" i="34"/>
  <c r="I154" i="34"/>
  <c r="J154" i="34"/>
  <c r="I449" i="34"/>
  <c r="J449" i="34"/>
  <c r="I48" i="34"/>
  <c r="J48" i="34"/>
  <c r="I222" i="34"/>
  <c r="J222" i="34"/>
  <c r="I180" i="34"/>
  <c r="J180" i="34"/>
  <c r="I535" i="34"/>
  <c r="J535" i="34"/>
  <c r="I181" i="34"/>
  <c r="J181" i="34"/>
  <c r="I252" i="34"/>
  <c r="J252" i="34"/>
  <c r="I506" i="34"/>
  <c r="J506" i="34"/>
  <c r="I223" i="34"/>
  <c r="J223" i="34"/>
  <c r="I303" i="34"/>
  <c r="J303" i="34"/>
  <c r="I130" i="34"/>
  <c r="J130" i="34"/>
  <c r="I365" i="34"/>
  <c r="J365" i="34"/>
  <c r="I648" i="34"/>
  <c r="J648" i="34"/>
  <c r="I560" i="34"/>
  <c r="J560" i="34"/>
  <c r="I49" i="34"/>
  <c r="J49" i="34"/>
  <c r="I366" i="34"/>
  <c r="J366" i="34"/>
  <c r="I573" i="34"/>
  <c r="J573" i="34"/>
  <c r="I224" i="34"/>
  <c r="J224" i="34"/>
  <c r="I496" i="34"/>
  <c r="J496" i="34"/>
  <c r="I667" i="34"/>
  <c r="J667" i="34"/>
  <c r="I460" i="34"/>
  <c r="J460" i="34"/>
  <c r="I395" i="34"/>
  <c r="J395" i="34"/>
  <c r="I182" i="34"/>
  <c r="J182" i="34"/>
  <c r="I561" i="34"/>
  <c r="J561" i="34"/>
  <c r="I50" i="34"/>
  <c r="J50" i="34"/>
  <c r="I701" i="34"/>
  <c r="J701" i="34"/>
  <c r="I225" i="34"/>
  <c r="J225" i="34"/>
  <c r="I51" i="34"/>
  <c r="J51" i="34"/>
  <c r="I304" i="34"/>
  <c r="J304" i="34"/>
  <c r="I332" i="34"/>
  <c r="J332" i="34"/>
  <c r="I73" i="34"/>
  <c r="J73" i="34"/>
  <c r="I479" i="34"/>
  <c r="J479" i="34"/>
  <c r="I536" i="34"/>
  <c r="J536" i="34"/>
  <c r="I633" i="34"/>
  <c r="J633" i="34"/>
  <c r="I649" i="34"/>
  <c r="J649" i="34"/>
  <c r="I450" i="34"/>
  <c r="J450" i="34"/>
  <c r="I470" i="34"/>
  <c r="J470" i="34"/>
  <c r="I305" i="34"/>
  <c r="J305" i="34"/>
  <c r="I226" i="34"/>
  <c r="J226" i="34"/>
  <c r="I253" i="34"/>
  <c r="J253" i="34"/>
  <c r="I74" i="34"/>
  <c r="J74" i="34"/>
  <c r="I306" i="34"/>
  <c r="J306" i="34"/>
  <c r="I131" i="34"/>
  <c r="J131" i="34"/>
  <c r="I728" i="34"/>
  <c r="J728" i="34"/>
  <c r="I545" i="34"/>
  <c r="J545" i="34"/>
  <c r="I183" i="34"/>
  <c r="J183" i="34"/>
  <c r="I546" i="34"/>
  <c r="J546" i="34"/>
  <c r="I8" i="34"/>
  <c r="J8" i="34"/>
  <c r="I254" i="34"/>
  <c r="J254" i="34"/>
  <c r="I52" i="34"/>
  <c r="J52" i="34"/>
  <c r="I101" i="34"/>
  <c r="J101" i="34"/>
  <c r="I486" i="34"/>
  <c r="J486" i="34"/>
  <c r="I507" i="34"/>
  <c r="J507" i="34"/>
  <c r="I594" i="34"/>
  <c r="J594" i="34"/>
  <c r="I9" i="34"/>
  <c r="J9" i="34"/>
  <c r="I333" i="34"/>
  <c r="J333" i="34"/>
  <c r="I255" i="34"/>
  <c r="J255" i="34"/>
  <c r="I684" i="34"/>
  <c r="J684" i="34"/>
  <c r="I334" i="34"/>
  <c r="J334" i="34"/>
  <c r="I256" i="34"/>
  <c r="J256" i="34"/>
  <c r="I335" i="34"/>
  <c r="J335" i="34"/>
  <c r="I75" i="34"/>
  <c r="J75" i="34"/>
  <c r="I483" i="34"/>
  <c r="J483" i="34"/>
  <c r="I435" i="34"/>
  <c r="J435" i="34"/>
  <c r="I634" i="34"/>
  <c r="J634" i="34"/>
  <c r="I307" i="34"/>
  <c r="J307" i="34"/>
  <c r="I308" i="34"/>
  <c r="J308" i="34"/>
  <c r="I102" i="34"/>
  <c r="J102" i="34"/>
  <c r="I729" i="34"/>
  <c r="J729" i="34"/>
  <c r="I309" i="34"/>
  <c r="J309" i="34"/>
  <c r="I718" i="34"/>
  <c r="J718" i="34"/>
  <c r="I184" i="34"/>
  <c r="J184" i="34"/>
  <c r="I76" i="34"/>
  <c r="J76" i="34"/>
  <c r="I595" i="34"/>
  <c r="J595" i="34"/>
  <c r="I10" i="34"/>
  <c r="J10" i="34"/>
  <c r="I519" i="34"/>
  <c r="J519" i="34"/>
  <c r="I537" i="34"/>
  <c r="J537" i="34"/>
  <c r="I471" i="34"/>
  <c r="J471" i="34"/>
  <c r="I310" i="34"/>
  <c r="J310" i="34"/>
  <c r="I451" i="34"/>
  <c r="J451" i="34"/>
  <c r="I538" i="34"/>
  <c r="J538" i="34"/>
  <c r="I396" i="34"/>
  <c r="J396" i="34"/>
  <c r="I336" i="34"/>
  <c r="J336" i="34"/>
  <c r="I227" i="34"/>
  <c r="J227" i="34"/>
  <c r="I132" i="34"/>
  <c r="J132" i="34"/>
  <c r="I512" i="34"/>
  <c r="J512" i="34"/>
  <c r="I730" i="34"/>
  <c r="J730" i="34"/>
  <c r="I441" i="34"/>
  <c r="J441" i="34"/>
  <c r="I539" i="34"/>
  <c r="J539" i="34"/>
  <c r="I668" i="34"/>
  <c r="J668" i="34"/>
  <c r="I337" i="34"/>
  <c r="J337" i="34"/>
  <c r="I257" i="34"/>
  <c r="J257" i="34"/>
  <c r="I258" i="34"/>
  <c r="J258" i="34"/>
  <c r="I487" i="34"/>
  <c r="J487" i="34"/>
  <c r="I367" i="34"/>
  <c r="J367" i="34"/>
  <c r="I338" i="34"/>
  <c r="J338" i="34"/>
  <c r="I185" i="34"/>
  <c r="J185" i="34"/>
  <c r="I702" i="34"/>
  <c r="J702" i="34"/>
  <c r="I368" i="34"/>
  <c r="J368" i="34"/>
  <c r="I650" i="34"/>
  <c r="J650" i="34"/>
  <c r="I186" i="34"/>
  <c r="J186" i="34"/>
  <c r="I397" i="34"/>
  <c r="J397" i="34"/>
  <c r="I311" i="34"/>
  <c r="J311" i="34"/>
  <c r="I259" i="34"/>
  <c r="J259" i="34"/>
  <c r="I491" i="34"/>
  <c r="J491" i="34"/>
  <c r="I669" i="34"/>
  <c r="J669" i="34"/>
  <c r="I436" i="34"/>
  <c r="J436" i="34"/>
  <c r="I480" i="34"/>
  <c r="J480" i="34"/>
  <c r="I369" i="34"/>
  <c r="J369" i="34"/>
  <c r="I513" i="34"/>
  <c r="J513" i="34"/>
  <c r="I103" i="34"/>
  <c r="J103" i="34"/>
  <c r="I596" i="34"/>
  <c r="J596" i="34"/>
  <c r="I731" i="34"/>
  <c r="J731" i="34"/>
  <c r="I574" i="34"/>
  <c r="J574" i="34"/>
  <c r="I670" i="34"/>
  <c r="J670" i="34"/>
  <c r="I104" i="34"/>
  <c r="J104" i="34"/>
  <c r="I11" i="34"/>
  <c r="J11" i="34"/>
  <c r="I514" i="34"/>
  <c r="J514" i="34"/>
  <c r="I597" i="34"/>
  <c r="J597" i="34"/>
  <c r="I703" i="34"/>
  <c r="J703" i="34"/>
  <c r="I228" i="34"/>
  <c r="J228" i="34"/>
  <c r="I187" i="34"/>
  <c r="J187" i="34"/>
  <c r="I105" i="34"/>
  <c r="J105" i="34"/>
  <c r="I484" i="34"/>
  <c r="J484" i="34"/>
  <c r="I260" i="34"/>
  <c r="J260" i="34"/>
  <c r="I635" i="34"/>
  <c r="J635" i="34"/>
  <c r="I261" i="34"/>
  <c r="J261" i="34"/>
  <c r="I520" i="34"/>
  <c r="J520" i="34"/>
  <c r="I77" i="34"/>
  <c r="J77" i="34"/>
  <c r="I598" i="34"/>
  <c r="J598" i="34"/>
  <c r="I12" i="34"/>
  <c r="J12" i="34"/>
  <c r="I229" i="34"/>
  <c r="J229" i="34"/>
  <c r="I704" i="34"/>
  <c r="J704" i="34"/>
  <c r="I339" i="34"/>
  <c r="J339" i="34"/>
  <c r="I188" i="34"/>
  <c r="J188" i="34"/>
  <c r="I616" i="34"/>
  <c r="J616" i="34"/>
  <c r="I106" i="34"/>
  <c r="J106" i="34"/>
  <c r="I133" i="34"/>
  <c r="J133" i="34"/>
  <c r="I134" i="34"/>
  <c r="J134" i="34"/>
  <c r="I472" i="34"/>
  <c r="J472" i="34"/>
  <c r="I599" i="34"/>
  <c r="J599" i="34"/>
  <c r="I107" i="34"/>
  <c r="J107" i="34"/>
  <c r="I262" i="34"/>
  <c r="J262" i="34"/>
  <c r="I78" i="34"/>
  <c r="J78" i="34"/>
  <c r="I705" i="34"/>
  <c r="J705" i="34"/>
  <c r="I651" i="34"/>
  <c r="J651" i="34"/>
  <c r="I575" i="34"/>
  <c r="J575" i="34"/>
  <c r="I263" i="34"/>
  <c r="J263" i="34"/>
  <c r="I719" i="34"/>
  <c r="J719" i="34"/>
  <c r="I312" i="34"/>
  <c r="J312" i="34"/>
  <c r="I108" i="34"/>
  <c r="J108" i="34"/>
  <c r="I189" i="34"/>
  <c r="J189" i="34"/>
  <c r="I617" i="34"/>
  <c r="J617" i="34"/>
  <c r="I13" i="34"/>
  <c r="J13" i="34"/>
  <c r="I79" i="34"/>
  <c r="J79" i="34"/>
  <c r="I473" i="34"/>
  <c r="J473" i="34"/>
  <c r="I313" i="34"/>
  <c r="J313" i="34"/>
  <c r="I190" i="34"/>
  <c r="J190" i="34"/>
  <c r="I191" i="34"/>
  <c r="J191" i="34"/>
  <c r="I547" i="34"/>
  <c r="J547" i="34"/>
  <c r="I264" i="34"/>
  <c r="J264" i="34"/>
  <c r="I527" i="34"/>
  <c r="J527" i="34"/>
  <c r="I314" i="34"/>
  <c r="J314" i="34"/>
  <c r="I14" i="34"/>
  <c r="J14" i="34"/>
  <c r="I636" i="34"/>
  <c r="J636" i="34"/>
  <c r="I548" i="34"/>
  <c r="J548" i="34"/>
  <c r="I549" i="34"/>
  <c r="J549" i="34"/>
  <c r="I109" i="34"/>
  <c r="J109" i="34"/>
  <c r="I413" i="34"/>
  <c r="J413" i="34"/>
  <c r="I265" i="34"/>
  <c r="J265" i="34"/>
  <c r="I15" i="34"/>
  <c r="J15" i="34"/>
  <c r="I732" i="34"/>
  <c r="J732" i="34"/>
  <c r="I414" i="34"/>
  <c r="J414" i="34"/>
  <c r="I424" i="34"/>
  <c r="J424" i="34"/>
  <c r="I733" i="34"/>
  <c r="J733" i="34"/>
  <c r="I398" i="34"/>
  <c r="J398" i="34"/>
  <c r="I550" i="34"/>
  <c r="J550" i="34"/>
  <c r="I562" i="34"/>
  <c r="J562" i="34"/>
  <c r="I720" i="34"/>
  <c r="J720" i="34"/>
  <c r="I618" i="34"/>
  <c r="J618" i="34"/>
  <c r="I370" i="34"/>
  <c r="J370" i="34"/>
  <c r="I315" i="34"/>
  <c r="J315" i="34"/>
  <c r="I340" i="34"/>
  <c r="J340" i="34"/>
  <c r="I540" i="34"/>
  <c r="J540" i="34"/>
  <c r="I415" i="34"/>
  <c r="J415" i="34"/>
  <c r="I734" i="34"/>
  <c r="J734" i="34"/>
  <c r="I619" i="34"/>
  <c r="J619" i="34"/>
  <c r="I452" i="34"/>
  <c r="J452" i="34"/>
  <c r="I16" i="34"/>
  <c r="J16" i="34"/>
  <c r="I735" i="34"/>
  <c r="J735" i="34"/>
  <c r="I600" i="34"/>
  <c r="J600" i="34"/>
  <c r="I53" i="34"/>
  <c r="J53" i="34"/>
  <c r="I706" i="34"/>
  <c r="J706" i="34"/>
  <c r="I266" i="34"/>
  <c r="J266" i="34"/>
  <c r="I685" i="34"/>
  <c r="J685" i="34"/>
  <c r="I707" i="34"/>
  <c r="J707" i="34"/>
  <c r="I267" i="34"/>
  <c r="J267" i="34"/>
  <c r="I442" i="34"/>
  <c r="J442" i="34"/>
  <c r="I80" i="34"/>
  <c r="J80" i="34"/>
  <c r="I135" i="34"/>
  <c r="J135" i="34"/>
  <c r="I17" i="34"/>
  <c r="J17" i="34"/>
  <c r="I371" i="34"/>
  <c r="J371" i="34"/>
  <c r="I620" i="34"/>
  <c r="J620" i="34"/>
  <c r="I453" i="34"/>
  <c r="J453" i="34"/>
  <c r="I81" i="34"/>
  <c r="J81" i="34"/>
  <c r="I82" i="34"/>
  <c r="J82" i="34"/>
  <c r="I686" i="34"/>
  <c r="J686" i="34"/>
  <c r="I372" i="34"/>
  <c r="J372" i="34"/>
  <c r="I508" i="34"/>
  <c r="J508" i="34"/>
  <c r="I461" i="34"/>
  <c r="J461" i="34"/>
  <c r="I416" i="34"/>
  <c r="J416" i="34"/>
  <c r="I524" i="34"/>
  <c r="J524" i="34"/>
  <c r="I652" i="34"/>
  <c r="J652" i="34"/>
  <c r="I373" i="34"/>
  <c r="J373" i="34"/>
  <c r="I515" i="34"/>
  <c r="J515" i="34"/>
  <c r="I192" i="34"/>
  <c r="J192" i="34"/>
  <c r="I136" i="34"/>
  <c r="J136" i="34"/>
  <c r="I137" i="34"/>
  <c r="J137" i="34"/>
  <c r="I54" i="34"/>
  <c r="J54" i="34"/>
  <c r="I485" i="34"/>
  <c r="J485" i="34"/>
  <c r="I528" i="34"/>
  <c r="J528" i="34"/>
  <c r="I55" i="34"/>
  <c r="J55" i="34"/>
  <c r="I721" i="34"/>
  <c r="J721" i="34"/>
  <c r="I671" i="34"/>
  <c r="J671" i="34"/>
  <c r="I18" i="34"/>
  <c r="J18" i="34"/>
  <c r="I193" i="34"/>
  <c r="J193" i="34"/>
  <c r="I155" i="34"/>
  <c r="J155" i="34"/>
  <c r="I708" i="34"/>
  <c r="J708" i="34"/>
  <c r="I653" i="34"/>
  <c r="J653" i="34"/>
  <c r="I488" i="34"/>
  <c r="J488" i="34"/>
  <c r="I551" i="34"/>
  <c r="J551" i="34"/>
  <c r="I437" i="34"/>
  <c r="J437" i="34"/>
  <c r="I621" i="34"/>
  <c r="J621" i="34"/>
  <c r="I83" i="34"/>
  <c r="J83" i="34"/>
  <c r="I341" i="34"/>
  <c r="J341" i="34"/>
  <c r="I687" i="34"/>
  <c r="J687" i="34"/>
  <c r="I230" i="34"/>
  <c r="J230" i="34"/>
  <c r="I342" i="34"/>
  <c r="J342" i="34"/>
  <c r="I84" i="34"/>
  <c r="J84" i="34"/>
  <c r="I374" i="34"/>
  <c r="J374" i="34"/>
  <c r="I497" i="34"/>
  <c r="J497" i="34"/>
  <c r="I688" i="34"/>
  <c r="J688" i="34"/>
  <c r="I268" i="34"/>
  <c r="J268" i="34"/>
  <c r="I443" i="34"/>
  <c r="J443" i="34"/>
  <c r="I19" i="34"/>
  <c r="J19" i="34"/>
  <c r="I343" i="34"/>
  <c r="J343" i="34"/>
  <c r="I56" i="34"/>
  <c r="J56" i="34"/>
  <c r="I194" i="34"/>
  <c r="J194" i="34"/>
  <c r="I269" i="34"/>
  <c r="J269" i="34"/>
  <c r="I689" i="34"/>
  <c r="J689" i="34"/>
  <c r="I481" i="34"/>
  <c r="J481" i="34"/>
  <c r="I709" i="34"/>
  <c r="J709" i="34"/>
  <c r="I270" i="34"/>
  <c r="J270" i="34"/>
  <c r="I541" i="34"/>
  <c r="J541" i="34"/>
  <c r="I576" i="34"/>
  <c r="J576" i="34"/>
  <c r="I454" i="34"/>
  <c r="J454" i="34"/>
  <c r="I375" i="34"/>
  <c r="J375" i="34"/>
  <c r="I376" i="34"/>
  <c r="J376" i="34"/>
  <c r="I57" i="34"/>
  <c r="J57" i="34"/>
  <c r="I654" i="34"/>
  <c r="J654" i="34"/>
  <c r="I110" i="34"/>
  <c r="J110" i="34"/>
  <c r="I231" i="34"/>
  <c r="J231" i="34"/>
  <c r="I232" i="34"/>
  <c r="J232" i="34"/>
  <c r="I417" i="34"/>
  <c r="J417" i="34"/>
  <c r="I271" i="34"/>
  <c r="J271" i="34"/>
  <c r="I20" i="34"/>
  <c r="J20" i="34"/>
  <c r="I655" i="34"/>
  <c r="J655" i="34"/>
  <c r="I377" i="34"/>
  <c r="J377" i="34"/>
  <c r="I233" i="34"/>
  <c r="J233" i="34"/>
  <c r="I577" i="34"/>
  <c r="J577" i="34"/>
  <c r="I85" i="34"/>
  <c r="J85" i="34"/>
  <c r="I601" i="34"/>
  <c r="J601" i="34"/>
  <c r="I542" i="34"/>
  <c r="J542" i="34"/>
  <c r="I602" i="34"/>
  <c r="J602" i="34"/>
  <c r="I516" i="34"/>
  <c r="J516" i="34"/>
  <c r="I195" i="34"/>
  <c r="J195" i="34"/>
  <c r="I196" i="34"/>
  <c r="J196" i="34"/>
  <c r="I656" i="34"/>
  <c r="J656" i="34"/>
  <c r="I111" i="34"/>
  <c r="J111" i="34"/>
  <c r="I690" i="34"/>
  <c r="J690" i="34"/>
  <c r="I637" i="34"/>
  <c r="J637" i="34"/>
  <c r="I672" i="34"/>
  <c r="J672" i="34"/>
  <c r="I112" i="34"/>
  <c r="J112" i="34"/>
  <c r="I378" i="34"/>
  <c r="J378" i="34"/>
  <c r="I234" i="34"/>
  <c r="J234" i="34"/>
  <c r="I578" i="34"/>
  <c r="J578" i="34"/>
  <c r="I622" i="34"/>
  <c r="J622" i="34"/>
  <c r="I552" i="34"/>
  <c r="J552" i="34"/>
  <c r="I533" i="34"/>
  <c r="J533" i="34"/>
  <c r="I736" i="34"/>
  <c r="J736" i="34"/>
  <c r="I156" i="34"/>
  <c r="J156" i="34"/>
  <c r="I344" i="34"/>
  <c r="J344" i="34"/>
  <c r="I425" i="34"/>
  <c r="J425" i="34"/>
  <c r="I113" i="34"/>
  <c r="J113" i="34"/>
  <c r="I21" i="34"/>
  <c r="J21" i="34"/>
  <c r="I197" i="34"/>
  <c r="J197" i="34"/>
  <c r="I345" i="34"/>
  <c r="J345" i="34"/>
  <c r="I316" i="34"/>
  <c r="J316" i="34"/>
  <c r="I525" i="34"/>
  <c r="J525" i="34"/>
  <c r="I58" i="34"/>
  <c r="J58" i="34"/>
  <c r="I317" i="34"/>
  <c r="J317" i="34"/>
  <c r="I399" i="34"/>
  <c r="J399" i="34"/>
  <c r="I673" i="34"/>
  <c r="J673" i="34"/>
  <c r="I462" i="34"/>
  <c r="J462" i="34"/>
  <c r="I379" i="34"/>
  <c r="J379" i="34"/>
  <c r="I22" i="34"/>
  <c r="J22" i="34"/>
  <c r="I579" i="34"/>
  <c r="J579" i="34"/>
  <c r="I737" i="34"/>
  <c r="J737" i="34"/>
  <c r="I691" i="34"/>
  <c r="J691" i="34"/>
  <c r="I509" i="34"/>
  <c r="J509" i="34"/>
  <c r="I603" i="34"/>
  <c r="J603" i="34"/>
  <c r="I638" i="34"/>
  <c r="J638" i="34"/>
  <c r="I498" i="34"/>
  <c r="J498" i="34"/>
  <c r="I474" i="34"/>
  <c r="J474" i="34"/>
  <c r="I346" i="34"/>
  <c r="J346" i="34"/>
  <c r="I553" i="34"/>
  <c r="J553" i="34"/>
  <c r="I563" i="34"/>
  <c r="J563" i="34"/>
  <c r="I657" i="34"/>
  <c r="J657" i="34"/>
  <c r="I554" i="34"/>
  <c r="J554" i="34"/>
  <c r="I674" i="34"/>
  <c r="J674" i="34"/>
  <c r="I23" i="34"/>
  <c r="J23" i="34"/>
  <c r="I138" i="34"/>
  <c r="J138" i="34"/>
  <c r="I604" i="34"/>
  <c r="J604" i="34"/>
  <c r="I198" i="34"/>
  <c r="J198" i="34"/>
  <c r="I59" i="34"/>
  <c r="J59" i="34"/>
  <c r="I272" i="34"/>
  <c r="J272" i="34"/>
  <c r="I139" i="34"/>
  <c r="J139" i="34"/>
  <c r="I24" i="34"/>
  <c r="J24" i="34"/>
  <c r="I529" i="34"/>
  <c r="J529" i="34"/>
  <c r="I564" i="34"/>
  <c r="J564" i="34"/>
  <c r="I347" i="34"/>
  <c r="J347" i="34"/>
  <c r="I86" i="34"/>
  <c r="J86" i="34"/>
  <c r="I738" i="34"/>
  <c r="J738" i="34"/>
  <c r="I400" i="34"/>
  <c r="J400" i="34"/>
  <c r="I25" i="34"/>
  <c r="J25" i="34"/>
  <c r="I140" i="34"/>
  <c r="J140" i="34"/>
  <c r="I380" i="34"/>
  <c r="J380" i="34"/>
  <c r="I580" i="34"/>
  <c r="J580" i="34"/>
  <c r="I273" i="34"/>
  <c r="J273" i="34"/>
  <c r="I381" i="34"/>
  <c r="J381" i="34"/>
  <c r="I157" i="34"/>
  <c r="J157" i="34"/>
  <c r="I517" i="34"/>
  <c r="J517" i="34"/>
  <c r="I426" i="34"/>
  <c r="J426" i="34"/>
  <c r="I639" i="34"/>
  <c r="J639" i="34"/>
  <c r="I60" i="34"/>
  <c r="J60" i="34"/>
  <c r="I658" i="34"/>
  <c r="J658" i="34"/>
  <c r="I605" i="34"/>
  <c r="J605" i="34"/>
  <c r="I114" i="34"/>
  <c r="J114" i="34"/>
  <c r="I61" i="34"/>
  <c r="J61" i="34"/>
  <c r="I318" i="34"/>
  <c r="J318" i="34"/>
  <c r="I463" i="34"/>
  <c r="J463" i="34"/>
  <c r="I418" i="34"/>
  <c r="J418" i="34"/>
  <c r="I692" i="34"/>
  <c r="J692" i="34"/>
  <c r="I26" i="34"/>
  <c r="J26" i="34"/>
  <c r="I623" i="34"/>
  <c r="J623" i="34"/>
  <c r="I606" i="34"/>
  <c r="J606" i="34"/>
  <c r="I607" i="34"/>
  <c r="J607" i="34"/>
  <c r="I521" i="34"/>
  <c r="J521" i="34"/>
  <c r="I62" i="34"/>
  <c r="J62" i="34"/>
  <c r="I63" i="34"/>
  <c r="J63" i="34"/>
  <c r="I235" i="34"/>
  <c r="J235" i="34"/>
  <c r="I64" i="34"/>
  <c r="J64" i="34"/>
  <c r="I348" i="34"/>
  <c r="J348" i="34"/>
  <c r="I27" i="34"/>
  <c r="J27" i="34"/>
  <c r="I199" i="34"/>
  <c r="J199" i="34"/>
  <c r="I87" i="34"/>
  <c r="J87" i="34"/>
  <c r="I624" i="34"/>
  <c r="J624" i="34"/>
  <c r="I675" i="34"/>
  <c r="J675" i="34"/>
  <c r="I115" i="34"/>
  <c r="J115" i="34"/>
  <c r="I543" i="34"/>
  <c r="J543" i="34"/>
  <c r="I693" i="34"/>
  <c r="J693" i="34"/>
  <c r="I608" i="34"/>
  <c r="J608" i="34"/>
  <c r="I158" i="34"/>
  <c r="J158" i="34"/>
  <c r="I274" i="34"/>
  <c r="J274" i="34"/>
  <c r="I275" i="34"/>
  <c r="J275" i="34"/>
  <c r="I236" i="34"/>
  <c r="J236" i="34"/>
  <c r="I455" i="34"/>
  <c r="J455" i="34"/>
  <c r="I141" i="34"/>
  <c r="J141" i="34"/>
  <c r="I319" i="34"/>
  <c r="J319" i="34"/>
  <c r="I88" i="34"/>
  <c r="J88" i="34"/>
  <c r="I438" i="34"/>
  <c r="J438" i="34"/>
  <c r="I444" i="34"/>
  <c r="J444" i="34"/>
  <c r="I640" i="34"/>
  <c r="J640" i="34"/>
  <c r="I116" i="34"/>
  <c r="J116" i="34"/>
  <c r="I276" i="34"/>
  <c r="J276" i="34"/>
  <c r="I722" i="34"/>
  <c r="J722" i="34"/>
  <c r="I581" i="34"/>
  <c r="J581" i="34"/>
  <c r="I237" i="34"/>
  <c r="J237" i="34"/>
  <c r="I159" i="34"/>
  <c r="J159" i="34"/>
  <c r="I382" i="34"/>
  <c r="J382" i="34"/>
  <c r="I277" i="34"/>
  <c r="J277" i="34"/>
  <c r="I117" i="34"/>
  <c r="J117" i="34"/>
  <c r="I89" i="34"/>
  <c r="J89" i="34"/>
  <c r="I142" i="34"/>
  <c r="J142" i="34"/>
  <c r="I238" i="34"/>
  <c r="J238" i="34"/>
  <c r="I278" i="34"/>
  <c r="J278" i="34"/>
  <c r="I200" i="34"/>
  <c r="J200" i="34"/>
  <c r="I320" i="34"/>
  <c r="J320" i="34"/>
  <c r="I427" i="34"/>
  <c r="J427" i="34"/>
  <c r="I349" i="34"/>
  <c r="J349" i="34"/>
  <c r="I279" i="34"/>
  <c r="J279" i="34"/>
  <c r="I565" i="34"/>
  <c r="J565" i="34"/>
  <c r="I428" i="34"/>
  <c r="J428" i="34"/>
  <c r="I641" i="34"/>
  <c r="J641" i="34"/>
  <c r="I118" i="34"/>
  <c r="J118" i="34"/>
  <c r="I90" i="34"/>
  <c r="J90" i="34"/>
  <c r="I501" i="34"/>
  <c r="J501" i="34"/>
  <c r="I401" i="34"/>
  <c r="J401" i="34"/>
  <c r="I383" i="34"/>
  <c r="J383" i="34"/>
  <c r="I710" i="34"/>
  <c r="J710" i="34"/>
  <c r="I402" i="34"/>
  <c r="J402" i="34"/>
  <c r="I625" i="34"/>
  <c r="J625" i="34"/>
  <c r="I642" i="34"/>
  <c r="J642" i="34"/>
  <c r="I350" i="34"/>
  <c r="J350" i="34"/>
  <c r="I119" i="34"/>
  <c r="J119" i="34"/>
  <c r="I711" i="34"/>
  <c r="J711" i="34"/>
  <c r="I566" i="34"/>
  <c r="J566" i="34"/>
  <c r="I65" i="34"/>
  <c r="J65" i="34"/>
  <c r="I567" i="34"/>
  <c r="J567" i="34"/>
  <c r="I321" i="34"/>
  <c r="J321" i="34"/>
  <c r="I445" i="34"/>
  <c r="J445" i="34"/>
  <c r="I694" i="34"/>
  <c r="J694" i="34"/>
  <c r="I160" i="34"/>
  <c r="J160" i="34"/>
  <c r="I403" i="34"/>
  <c r="J403" i="34"/>
  <c r="I322" i="34"/>
  <c r="J322" i="34"/>
  <c r="I419" i="34"/>
  <c r="J419" i="34"/>
  <c r="I723" i="34"/>
  <c r="J723" i="34"/>
  <c r="I351" i="34"/>
  <c r="J351" i="34"/>
  <c r="I91" i="34"/>
  <c r="J91" i="34"/>
  <c r="I28" i="34"/>
  <c r="J28" i="34"/>
  <c r="I582" i="34"/>
  <c r="J582" i="34"/>
  <c r="I280" i="34"/>
  <c r="J280" i="34"/>
  <c r="I568" i="34"/>
  <c r="J568" i="34"/>
  <c r="I724" i="34"/>
  <c r="J724" i="34"/>
  <c r="I569" i="34"/>
  <c r="J569" i="34"/>
  <c r="I29" i="34"/>
  <c r="J29" i="34"/>
  <c r="I201" i="34"/>
  <c r="J201" i="34"/>
  <c r="I120" i="34"/>
  <c r="J120" i="34"/>
  <c r="I409" i="34"/>
  <c r="J409" i="34"/>
  <c r="I66" i="34"/>
  <c r="J66" i="34"/>
  <c r="I384" i="34"/>
  <c r="J384" i="34"/>
  <c r="I202" i="34"/>
  <c r="J202" i="34"/>
  <c r="I203" i="34"/>
  <c r="J203" i="34"/>
  <c r="I570" i="34"/>
  <c r="J570" i="34"/>
  <c r="I92" i="34"/>
  <c r="J92" i="34"/>
  <c r="I281" i="34"/>
  <c r="J281" i="34"/>
  <c r="I695" i="34"/>
  <c r="J695" i="34"/>
  <c r="I282" i="34"/>
  <c r="J282" i="34"/>
  <c r="I239" i="34"/>
  <c r="J239" i="34"/>
  <c r="I609" i="34"/>
  <c r="J609" i="34"/>
  <c r="I240" i="34"/>
  <c r="J240" i="34"/>
  <c r="I161" i="34"/>
  <c r="J161" i="34"/>
  <c r="I739" i="34"/>
  <c r="J739" i="34"/>
  <c r="I464" i="34"/>
  <c r="J464" i="34"/>
  <c r="I696" i="34"/>
  <c r="J696" i="34"/>
  <c r="I446" i="34"/>
  <c r="J446" i="34"/>
  <c r="I643" i="34"/>
  <c r="J643" i="34"/>
  <c r="I93" i="34"/>
  <c r="J93" i="34"/>
  <c r="I283" i="34"/>
  <c r="J283" i="34"/>
  <c r="I544" i="34"/>
  <c r="J544" i="34"/>
  <c r="I284" i="34"/>
  <c r="J284" i="34"/>
  <c r="I204" i="34"/>
  <c r="J204" i="34"/>
  <c r="I205" i="34"/>
  <c r="J205" i="34"/>
  <c r="I94" i="34"/>
  <c r="J94" i="34"/>
  <c r="I659" i="34"/>
  <c r="J659" i="34"/>
  <c r="I143" i="34"/>
  <c r="J143" i="34"/>
  <c r="I323" i="34"/>
  <c r="J323" i="34"/>
  <c r="I420" i="34"/>
  <c r="J420" i="34"/>
  <c r="I583" i="34"/>
  <c r="J583" i="34"/>
  <c r="I144" i="34"/>
  <c r="J144" i="34"/>
  <c r="I465" i="34"/>
  <c r="J465" i="34"/>
  <c r="I162" i="34"/>
  <c r="J162" i="34"/>
  <c r="I429" i="34"/>
  <c r="J429" i="34"/>
  <c r="I206" i="34"/>
  <c r="J206" i="34"/>
  <c r="I510" i="34"/>
  <c r="J510" i="34"/>
  <c r="I385" i="34"/>
  <c r="J385" i="34"/>
  <c r="I352" i="34"/>
  <c r="J352" i="34"/>
  <c r="I466" i="34"/>
  <c r="J466" i="34"/>
  <c r="I163" i="34"/>
  <c r="J163" i="34"/>
  <c r="I241" i="34"/>
  <c r="J241" i="34"/>
  <c r="I95" i="34"/>
  <c r="J95" i="34"/>
  <c r="I660" i="34"/>
  <c r="J660" i="34"/>
  <c r="I555" i="34"/>
  <c r="J555" i="34"/>
  <c r="I502" i="34"/>
  <c r="J502" i="34"/>
  <c r="I467" i="34"/>
  <c r="J467" i="34"/>
  <c r="I30" i="34"/>
  <c r="J30" i="34"/>
  <c r="I353" i="34"/>
  <c r="J353" i="34"/>
  <c r="I285" i="34"/>
  <c r="J285" i="34"/>
  <c r="I584" i="34"/>
  <c r="J584" i="34"/>
  <c r="I740" i="34"/>
  <c r="J740" i="34"/>
  <c r="I626" i="34"/>
  <c r="J626" i="34"/>
  <c r="I492" i="34"/>
  <c r="J492" i="34"/>
  <c r="I207" i="34"/>
  <c r="J207" i="34"/>
  <c r="I208" i="34"/>
  <c r="J208" i="34"/>
  <c r="I209" i="34"/>
  <c r="J209" i="34"/>
  <c r="I210" i="34"/>
  <c r="J210" i="34"/>
  <c r="I712" i="34"/>
  <c r="J712" i="34"/>
  <c r="I145" i="34"/>
  <c r="J145" i="34"/>
  <c r="I31" i="34"/>
  <c r="J31" i="34"/>
  <c r="I32" i="34"/>
  <c r="J32" i="34"/>
  <c r="I286" i="34"/>
  <c r="J286" i="34"/>
  <c r="I287" i="34"/>
  <c r="J287" i="34"/>
  <c r="I439" i="34"/>
  <c r="J439" i="34"/>
  <c r="I242" i="34"/>
  <c r="J242" i="34"/>
  <c r="I96" i="34"/>
  <c r="J96" i="34"/>
  <c r="I164" i="34"/>
  <c r="J164" i="34"/>
  <c r="I713" i="34"/>
  <c r="J713" i="34"/>
  <c r="I468" i="34"/>
  <c r="J468" i="34"/>
  <c r="I243" i="34"/>
  <c r="J243" i="34"/>
  <c r="I33" i="34"/>
  <c r="J33" i="34"/>
  <c r="I121" i="34"/>
  <c r="J121" i="34"/>
  <c r="I503" i="34"/>
  <c r="J503" i="34"/>
  <c r="I354" i="34"/>
  <c r="J354" i="34"/>
  <c r="I34" i="34"/>
  <c r="J34" i="34"/>
  <c r="I97" i="34"/>
  <c r="J97" i="34"/>
  <c r="I165" i="34"/>
  <c r="J165" i="34"/>
  <c r="I98" i="34"/>
  <c r="J98" i="34"/>
  <c r="I610" i="34"/>
  <c r="J610" i="34"/>
  <c r="I530" i="34"/>
  <c r="J530" i="34"/>
  <c r="I355" i="34"/>
  <c r="J355" i="34"/>
  <c r="I35" i="34"/>
  <c r="J35" i="34"/>
  <c r="I611" i="34"/>
  <c r="J611" i="34"/>
  <c r="I36" i="34"/>
  <c r="J36" i="34"/>
  <c r="I504" i="34"/>
  <c r="J504" i="34"/>
  <c r="I211" i="34"/>
  <c r="J211" i="34"/>
  <c r="I67" i="34"/>
  <c r="J67" i="34"/>
  <c r="I404" i="34"/>
  <c r="J404" i="34"/>
  <c r="I386" i="34"/>
  <c r="J386" i="34"/>
  <c r="I585" i="34"/>
  <c r="J585" i="34"/>
  <c r="I122" i="34"/>
  <c r="J122" i="34"/>
  <c r="I387" i="34"/>
  <c r="J387" i="34"/>
  <c r="I697" i="34"/>
  <c r="J697" i="34"/>
  <c r="I493" i="34"/>
  <c r="J493" i="34"/>
  <c r="I166" i="34"/>
  <c r="J166" i="34"/>
  <c r="I556" i="34"/>
  <c r="J556" i="34"/>
  <c r="I212" i="34"/>
  <c r="J212" i="34"/>
  <c r="I571" i="34"/>
  <c r="J571" i="34"/>
  <c r="I612" i="34"/>
  <c r="J612" i="34"/>
  <c r="I741" i="34"/>
  <c r="J741" i="34"/>
  <c r="I388" i="34"/>
  <c r="J388" i="34"/>
  <c r="I489" i="34"/>
  <c r="J489" i="34"/>
  <c r="I526" i="34"/>
  <c r="J526" i="34"/>
  <c r="I405" i="34"/>
  <c r="J405" i="34"/>
  <c r="I389" i="34"/>
  <c r="J389" i="34"/>
  <c r="I288" i="34"/>
  <c r="J288" i="34"/>
  <c r="I167" i="34"/>
  <c r="J167" i="34"/>
  <c r="I490" i="34"/>
  <c r="J490" i="34"/>
  <c r="I324" i="34"/>
  <c r="J324" i="34"/>
  <c r="I494" i="34"/>
  <c r="J494" i="34"/>
  <c r="I356" i="34"/>
  <c r="J356" i="34"/>
  <c r="I742" i="34"/>
  <c r="J742" i="34"/>
  <c r="I406" i="34"/>
  <c r="J406" i="34"/>
  <c r="I390" i="34"/>
  <c r="J390" i="34"/>
  <c r="I37" i="34"/>
  <c r="J37" i="34"/>
  <c r="I586" i="34"/>
  <c r="J586" i="34"/>
  <c r="I410" i="34"/>
  <c r="J410" i="34"/>
  <c r="I587" i="34"/>
  <c r="J587" i="34"/>
  <c r="I522" i="34"/>
  <c r="J522" i="34"/>
  <c r="I289" i="34"/>
  <c r="J289" i="34"/>
  <c r="I421" i="34"/>
  <c r="J421" i="34"/>
  <c r="I168" i="34"/>
  <c r="J168" i="34"/>
  <c r="I661" i="34"/>
  <c r="J661" i="34"/>
  <c r="I244" i="34"/>
  <c r="J244" i="34"/>
  <c r="I169" i="34"/>
  <c r="J169" i="34"/>
  <c r="I68" i="34"/>
  <c r="J68" i="34"/>
  <c r="I447" i="34"/>
  <c r="J447" i="34"/>
  <c r="I357" i="34"/>
  <c r="J357" i="34"/>
  <c r="I407" i="34"/>
  <c r="J407" i="34"/>
  <c r="I290" i="34"/>
  <c r="J290" i="34"/>
  <c r="I613" i="34"/>
  <c r="J613" i="34"/>
  <c r="I291" i="34"/>
  <c r="J291" i="34"/>
  <c r="I170" i="34"/>
  <c r="J170" i="34"/>
  <c r="I99" i="34"/>
  <c r="J99" i="34"/>
  <c r="I146" i="34"/>
  <c r="J146" i="34"/>
  <c r="I38" i="34"/>
  <c r="J38" i="34"/>
  <c r="I456" i="34"/>
  <c r="J456" i="34"/>
  <c r="I123" i="34"/>
  <c r="J123" i="34"/>
  <c r="I511" i="34"/>
  <c r="J511" i="34"/>
  <c r="I714" i="34"/>
  <c r="J714" i="34"/>
  <c r="I662" i="34"/>
  <c r="J662" i="34"/>
  <c r="I358" i="34"/>
  <c r="J358" i="34"/>
  <c r="I663" i="34"/>
  <c r="J663" i="34"/>
  <c r="I100" i="34"/>
  <c r="J100" i="34"/>
  <c r="I725" i="34"/>
  <c r="J725" i="34"/>
  <c r="I359" i="34"/>
  <c r="J359" i="34"/>
  <c r="I292" i="34"/>
  <c r="J292" i="34"/>
  <c r="I147" i="34"/>
  <c r="J147" i="34"/>
  <c r="I698" i="34"/>
  <c r="J698" i="34"/>
  <c r="I293" i="34"/>
  <c r="J293" i="34"/>
  <c r="I664" i="34"/>
  <c r="J664" i="34"/>
  <c r="I665" i="34"/>
  <c r="J665" i="34"/>
  <c r="I294" i="34"/>
  <c r="J294" i="34"/>
  <c r="I360" i="34"/>
  <c r="J360" i="34"/>
  <c r="I644" i="34"/>
  <c r="J644" i="34"/>
  <c r="I39" i="34"/>
  <c r="J39" i="34"/>
  <c r="I430" i="34"/>
  <c r="J430" i="34"/>
  <c r="I171" i="34"/>
  <c r="J171" i="34"/>
  <c r="I295" i="34"/>
  <c r="J295" i="34"/>
  <c r="I588" i="34"/>
  <c r="J588" i="34"/>
  <c r="I627" i="34"/>
  <c r="J627" i="34"/>
  <c r="I296" i="34"/>
  <c r="J296" i="34"/>
  <c r="I245" i="34"/>
  <c r="J245" i="34"/>
  <c r="I213" i="34"/>
  <c r="J213" i="34"/>
  <c r="I475" i="34"/>
  <c r="J475" i="34"/>
  <c r="I628" i="34"/>
  <c r="J628" i="34"/>
  <c r="I391" i="34"/>
  <c r="J391" i="34"/>
  <c r="I411" i="34"/>
  <c r="J411" i="34"/>
  <c r="I40" i="34"/>
  <c r="J40" i="34"/>
  <c r="I422" i="34"/>
  <c r="J422" i="34"/>
  <c r="I457" i="34"/>
  <c r="J457" i="34"/>
  <c r="I392" i="34"/>
  <c r="J392" i="34"/>
  <c r="I676" i="34"/>
  <c r="J676" i="34"/>
  <c r="I629" i="34"/>
  <c r="J629" i="34"/>
  <c r="I534" i="34"/>
  <c r="J534" i="34"/>
  <c r="I361" i="34"/>
  <c r="J361" i="34"/>
  <c r="I393" i="34"/>
  <c r="J393" i="34"/>
  <c r="I469" i="34"/>
  <c r="J469" i="34"/>
  <c r="I394" i="34"/>
  <c r="J394" i="34"/>
  <c r="I531" i="34"/>
  <c r="J531" i="34"/>
  <c r="I172" i="34"/>
  <c r="J172" i="34"/>
  <c r="I666" i="34"/>
  <c r="J666" i="34"/>
  <c r="I41" i="34"/>
  <c r="J41" i="34"/>
  <c r="I42" i="34"/>
  <c r="J42" i="34"/>
  <c r="I246" i="34"/>
  <c r="J246" i="34"/>
  <c r="G742" i="15" l="1"/>
  <c r="H742" i="15"/>
  <c r="G741" i="15"/>
  <c r="H741" i="15"/>
  <c r="H117" i="26" l="1"/>
  <c r="I117" i="26"/>
  <c r="H400" i="26"/>
  <c r="I400" i="26"/>
  <c r="H118" i="26"/>
  <c r="I118" i="26"/>
  <c r="H565" i="26"/>
  <c r="I565" i="26"/>
  <c r="H2" i="26"/>
  <c r="I2" i="26"/>
  <c r="H119" i="26"/>
  <c r="I119" i="26"/>
  <c r="H3" i="26"/>
  <c r="I3" i="26"/>
  <c r="H566" i="26"/>
  <c r="I566" i="26"/>
  <c r="H401" i="26"/>
  <c r="I401" i="26"/>
  <c r="H258" i="26"/>
  <c r="I258" i="26"/>
  <c r="H4" i="26"/>
  <c r="I4" i="26"/>
  <c r="H402" i="26"/>
  <c r="I402" i="26"/>
  <c r="H259" i="26"/>
  <c r="I259" i="26"/>
  <c r="H567" i="26"/>
  <c r="I567" i="26"/>
  <c r="H260" i="26"/>
  <c r="I260" i="26"/>
  <c r="H568" i="26"/>
  <c r="I568" i="26"/>
  <c r="H261" i="26"/>
  <c r="I261" i="26"/>
  <c r="H403" i="26"/>
  <c r="I403" i="26"/>
  <c r="H120" i="26"/>
  <c r="I120" i="26"/>
  <c r="H404" i="26"/>
  <c r="I404" i="26"/>
  <c r="H569" i="26"/>
  <c r="I569" i="26"/>
  <c r="H5" i="26"/>
  <c r="I5" i="26"/>
  <c r="H405" i="26"/>
  <c r="I405" i="26"/>
  <c r="H6" i="26"/>
  <c r="I6" i="26"/>
  <c r="H262" i="26"/>
  <c r="I262" i="26"/>
  <c r="H7" i="26"/>
  <c r="I7" i="26"/>
  <c r="H121" i="26"/>
  <c r="I121" i="26"/>
  <c r="H8" i="26"/>
  <c r="I8" i="26"/>
  <c r="H9" i="26"/>
  <c r="I9" i="26"/>
  <c r="H122" i="26"/>
  <c r="I122" i="26"/>
  <c r="H10" i="26"/>
  <c r="I10" i="26"/>
  <c r="H263" i="26"/>
  <c r="I263" i="26"/>
  <c r="H264" i="26"/>
  <c r="I264" i="26"/>
  <c r="H11" i="26"/>
  <c r="I11" i="26"/>
  <c r="H123" i="26"/>
  <c r="I123" i="26"/>
  <c r="H265" i="26"/>
  <c r="I265" i="26"/>
  <c r="H570" i="26"/>
  <c r="I570" i="26"/>
  <c r="H571" i="26"/>
  <c r="I571" i="26"/>
  <c r="H406" i="26"/>
  <c r="I406" i="26"/>
  <c r="H407" i="26"/>
  <c r="I407" i="26"/>
  <c r="H408" i="26"/>
  <c r="I408" i="26"/>
  <c r="H409" i="26"/>
  <c r="I409" i="26"/>
  <c r="H266" i="26"/>
  <c r="I266" i="26"/>
  <c r="H572" i="26"/>
  <c r="I572" i="26"/>
  <c r="H124" i="26"/>
  <c r="I124" i="26"/>
  <c r="H267" i="26"/>
  <c r="I267" i="26"/>
  <c r="H410" i="26"/>
  <c r="I410" i="26"/>
  <c r="H573" i="26"/>
  <c r="I573" i="26"/>
  <c r="H268" i="26"/>
  <c r="I268" i="26"/>
  <c r="H269" i="26"/>
  <c r="I269" i="26"/>
  <c r="H574" i="26"/>
  <c r="I574" i="26"/>
  <c r="H125" i="26"/>
  <c r="I125" i="26"/>
  <c r="H411" i="26"/>
  <c r="I411" i="26"/>
  <c r="H412" i="26"/>
  <c r="I412" i="26"/>
  <c r="H12" i="26"/>
  <c r="I12" i="26"/>
  <c r="H575" i="26"/>
  <c r="I575" i="26"/>
  <c r="H270" i="26"/>
  <c r="I270" i="26"/>
  <c r="H271" i="26"/>
  <c r="I271" i="26"/>
  <c r="H576" i="26"/>
  <c r="I576" i="26"/>
  <c r="H13" i="26"/>
  <c r="I13" i="26"/>
  <c r="H272" i="26"/>
  <c r="I272" i="26"/>
  <c r="H577" i="26"/>
  <c r="I577" i="26"/>
  <c r="H126" i="26"/>
  <c r="I126" i="26"/>
  <c r="H578" i="26"/>
  <c r="I578" i="26"/>
  <c r="H14" i="26"/>
  <c r="I14" i="26"/>
  <c r="H273" i="26"/>
  <c r="I273" i="26"/>
  <c r="H579" i="26"/>
  <c r="I579" i="26"/>
  <c r="H274" i="26"/>
  <c r="I274" i="26"/>
  <c r="H413" i="26"/>
  <c r="I413" i="26"/>
  <c r="H127" i="26"/>
  <c r="I127" i="26"/>
  <c r="H414" i="26"/>
  <c r="I414" i="26"/>
  <c r="H580" i="26"/>
  <c r="I580" i="26"/>
  <c r="H415" i="26"/>
  <c r="I415" i="26"/>
  <c r="H581" i="26"/>
  <c r="I581" i="26"/>
  <c r="H416" i="26"/>
  <c r="I416" i="26"/>
  <c r="H275" i="26"/>
  <c r="I275" i="26"/>
  <c r="H582" i="26"/>
  <c r="I582" i="26"/>
  <c r="H15" i="26"/>
  <c r="I15" i="26"/>
  <c r="H128" i="26"/>
  <c r="I128" i="26"/>
  <c r="H276" i="26"/>
  <c r="I276" i="26"/>
  <c r="H583" i="26"/>
  <c r="I583" i="26"/>
  <c r="H277" i="26"/>
  <c r="I277" i="26"/>
  <c r="H278" i="26"/>
  <c r="I278" i="26"/>
  <c r="H129" i="26"/>
  <c r="I129" i="26"/>
  <c r="H417" i="26"/>
  <c r="I417" i="26"/>
  <c r="H16" i="26"/>
  <c r="I16" i="26"/>
  <c r="H584" i="26"/>
  <c r="I584" i="26"/>
  <c r="H279" i="26"/>
  <c r="I279" i="26"/>
  <c r="H585" i="26"/>
  <c r="I585" i="26"/>
  <c r="H280" i="26"/>
  <c r="I280" i="26"/>
  <c r="H17" i="26"/>
  <c r="I17" i="26"/>
  <c r="H586" i="26"/>
  <c r="I586" i="26"/>
  <c r="H281" i="26"/>
  <c r="I281" i="26"/>
  <c r="H130" i="26"/>
  <c r="I130" i="26"/>
  <c r="H282" i="26"/>
  <c r="I282" i="26"/>
  <c r="H18" i="26"/>
  <c r="I18" i="26"/>
  <c r="H418" i="26"/>
  <c r="I418" i="26"/>
  <c r="H131" i="26"/>
  <c r="I131" i="26"/>
  <c r="H283" i="26"/>
  <c r="I283" i="26"/>
  <c r="H132" i="26"/>
  <c r="I132" i="26"/>
  <c r="H419" i="26"/>
  <c r="I419" i="26"/>
  <c r="H420" i="26"/>
  <c r="I420" i="26"/>
  <c r="H587" i="26"/>
  <c r="I587" i="26"/>
  <c r="H19" i="26"/>
  <c r="I19" i="26"/>
  <c r="H133" i="26"/>
  <c r="I133" i="26"/>
  <c r="H20" i="26"/>
  <c r="I20" i="26"/>
  <c r="H588" i="26"/>
  <c r="I588" i="26"/>
  <c r="H21" i="26"/>
  <c r="I21" i="26"/>
  <c r="H589" i="26"/>
  <c r="I589" i="26"/>
  <c r="H284" i="26"/>
  <c r="I284" i="26"/>
  <c r="H421" i="26"/>
  <c r="I421" i="26"/>
  <c r="H422" i="26"/>
  <c r="I422" i="26"/>
  <c r="H423" i="26"/>
  <c r="I423" i="26"/>
  <c r="H590" i="26"/>
  <c r="I590" i="26"/>
  <c r="H22" i="26"/>
  <c r="I22" i="26"/>
  <c r="H424" i="26"/>
  <c r="I424" i="26"/>
  <c r="H591" i="26"/>
  <c r="I591" i="26"/>
  <c r="H425" i="26"/>
  <c r="I425" i="26"/>
  <c r="H134" i="26"/>
  <c r="I134" i="26"/>
  <c r="H23" i="26"/>
  <c r="I23" i="26"/>
  <c r="H135" i="26"/>
  <c r="I135" i="26"/>
  <c r="H24" i="26"/>
  <c r="I24" i="26"/>
  <c r="H25" i="26"/>
  <c r="I25" i="26"/>
  <c r="H592" i="26"/>
  <c r="I592" i="26"/>
  <c r="H136" i="26"/>
  <c r="I136" i="26"/>
  <c r="H426" i="26"/>
  <c r="I426" i="26"/>
  <c r="H137" i="26"/>
  <c r="I137" i="26"/>
  <c r="H593" i="26"/>
  <c r="I593" i="26"/>
  <c r="H285" i="26"/>
  <c r="I285" i="26"/>
  <c r="H26" i="26"/>
  <c r="I26" i="26"/>
  <c r="H427" i="26"/>
  <c r="I427" i="26"/>
  <c r="H594" i="26"/>
  <c r="I594" i="26"/>
  <c r="H138" i="26"/>
  <c r="I138" i="26"/>
  <c r="H595" i="26"/>
  <c r="I595" i="26"/>
  <c r="H139" i="26"/>
  <c r="I139" i="26"/>
  <c r="H140" i="26"/>
  <c r="I140" i="26"/>
  <c r="H428" i="26"/>
  <c r="I428" i="26"/>
  <c r="H429" i="26"/>
  <c r="I429" i="26"/>
  <c r="H596" i="26"/>
  <c r="I596" i="26"/>
  <c r="H141" i="26"/>
  <c r="I141" i="26"/>
  <c r="H430" i="26"/>
  <c r="I430" i="26"/>
  <c r="H597" i="26"/>
  <c r="I597" i="26"/>
  <c r="H27" i="26"/>
  <c r="I27" i="26"/>
  <c r="H431" i="26"/>
  <c r="I431" i="26"/>
  <c r="H598" i="26"/>
  <c r="I598" i="26"/>
  <c r="H432" i="26"/>
  <c r="I432" i="26"/>
  <c r="H599" i="26"/>
  <c r="I599" i="26"/>
  <c r="H600" i="26"/>
  <c r="I600" i="26"/>
  <c r="H433" i="26"/>
  <c r="I433" i="26"/>
  <c r="H142" i="26"/>
  <c r="I142" i="26"/>
  <c r="H286" i="26"/>
  <c r="I286" i="26"/>
  <c r="H143" i="26"/>
  <c r="I143" i="26"/>
  <c r="H601" i="26"/>
  <c r="I601" i="26"/>
  <c r="H287" i="26"/>
  <c r="I287" i="26"/>
  <c r="H28" i="26"/>
  <c r="I28" i="26"/>
  <c r="H288" i="26"/>
  <c r="I288" i="26"/>
  <c r="H289" i="26"/>
  <c r="I289" i="26"/>
  <c r="H602" i="26"/>
  <c r="I602" i="26"/>
  <c r="H144" i="26"/>
  <c r="I144" i="26"/>
  <c r="H603" i="26"/>
  <c r="I603" i="26"/>
  <c r="H145" i="26"/>
  <c r="I145" i="26"/>
  <c r="H604" i="26"/>
  <c r="I604" i="26"/>
  <c r="H290" i="26"/>
  <c r="I290" i="26"/>
  <c r="H605" i="26"/>
  <c r="I605" i="26"/>
  <c r="H146" i="26"/>
  <c r="I146" i="26"/>
  <c r="H434" i="26"/>
  <c r="I434" i="26"/>
  <c r="H291" i="26"/>
  <c r="I291" i="26"/>
  <c r="H435" i="26"/>
  <c r="I435" i="26"/>
  <c r="H436" i="26"/>
  <c r="I436" i="26"/>
  <c r="H29" i="26"/>
  <c r="I29" i="26"/>
  <c r="H292" i="26"/>
  <c r="I292" i="26"/>
  <c r="H606" i="26"/>
  <c r="I606" i="26"/>
  <c r="H607" i="26"/>
  <c r="I607" i="26"/>
  <c r="H293" i="26"/>
  <c r="I293" i="26"/>
  <c r="H437" i="26"/>
  <c r="I437" i="26"/>
  <c r="H30" i="26"/>
  <c r="I30" i="26"/>
  <c r="H608" i="26"/>
  <c r="I608" i="26"/>
  <c r="H438" i="26"/>
  <c r="I438" i="26"/>
  <c r="H31" i="26"/>
  <c r="I31" i="26"/>
  <c r="H439" i="26"/>
  <c r="I439" i="26"/>
  <c r="H609" i="26"/>
  <c r="I609" i="26"/>
  <c r="H32" i="26"/>
  <c r="I32" i="26"/>
  <c r="H610" i="26"/>
  <c r="I610" i="26"/>
  <c r="H611" i="26"/>
  <c r="I611" i="26"/>
  <c r="H294" i="26"/>
  <c r="I294" i="26"/>
  <c r="H612" i="26"/>
  <c r="I612" i="26"/>
  <c r="H613" i="26"/>
  <c r="I613" i="26"/>
  <c r="H33" i="26"/>
  <c r="I33" i="26"/>
  <c r="H34" i="26"/>
  <c r="I34" i="26"/>
  <c r="H614" i="26"/>
  <c r="I614" i="26"/>
  <c r="H440" i="26"/>
  <c r="I440" i="26"/>
  <c r="H295" i="26"/>
  <c r="I295" i="26"/>
  <c r="H615" i="26"/>
  <c r="I615" i="26"/>
  <c r="H296" i="26"/>
  <c r="I296" i="26"/>
  <c r="H147" i="26"/>
  <c r="I147" i="26"/>
  <c r="H148" i="26"/>
  <c r="I148" i="26"/>
  <c r="H149" i="26"/>
  <c r="I149" i="26"/>
  <c r="H150" i="26"/>
  <c r="I150" i="26"/>
  <c r="H151" i="26"/>
  <c r="I151" i="26"/>
  <c r="H152" i="26"/>
  <c r="I152" i="26"/>
  <c r="H441" i="26"/>
  <c r="I441" i="26"/>
  <c r="H297" i="26"/>
  <c r="I297" i="26"/>
  <c r="H442" i="26"/>
  <c r="I442" i="26"/>
  <c r="H153" i="26"/>
  <c r="I153" i="26"/>
  <c r="H298" i="26"/>
  <c r="I298" i="26"/>
  <c r="H299" i="26"/>
  <c r="I299" i="26"/>
  <c r="H443" i="26"/>
  <c r="I443" i="26"/>
  <c r="H616" i="26"/>
  <c r="I616" i="26"/>
  <c r="H35" i="26"/>
  <c r="I35" i="26"/>
  <c r="H154" i="26"/>
  <c r="I154" i="26"/>
  <c r="H444" i="26"/>
  <c r="I444" i="26"/>
  <c r="H617" i="26"/>
  <c r="I617" i="26"/>
  <c r="H300" i="26"/>
  <c r="I300" i="26"/>
  <c r="H36" i="26"/>
  <c r="I36" i="26"/>
  <c r="H155" i="26"/>
  <c r="I155" i="26"/>
  <c r="H618" i="26"/>
  <c r="I618" i="26"/>
  <c r="H156" i="26"/>
  <c r="I156" i="26"/>
  <c r="H37" i="26"/>
  <c r="I37" i="26"/>
  <c r="H445" i="26"/>
  <c r="I445" i="26"/>
  <c r="H38" i="26"/>
  <c r="I38" i="26"/>
  <c r="H39" i="26"/>
  <c r="I39" i="26"/>
  <c r="H157" i="26"/>
  <c r="I157" i="26"/>
  <c r="H619" i="26"/>
  <c r="I619" i="26"/>
  <c r="H40" i="26"/>
  <c r="I40" i="26"/>
  <c r="H620" i="26"/>
  <c r="I620" i="26"/>
  <c r="H446" i="26"/>
  <c r="I446" i="26"/>
  <c r="H41" i="26"/>
  <c r="I41" i="26"/>
  <c r="H301" i="26"/>
  <c r="I301" i="26"/>
  <c r="H621" i="26"/>
  <c r="I621" i="26"/>
  <c r="H42" i="26"/>
  <c r="I42" i="26"/>
  <c r="H447" i="26"/>
  <c r="I447" i="26"/>
  <c r="H302" i="26"/>
  <c r="I302" i="26"/>
  <c r="H303" i="26"/>
  <c r="I303" i="26"/>
  <c r="H448" i="26"/>
  <c r="I448" i="26"/>
  <c r="H43" i="26"/>
  <c r="I43" i="26"/>
  <c r="H622" i="26"/>
  <c r="I622" i="26"/>
  <c r="H623" i="26"/>
  <c r="I623" i="26"/>
  <c r="H158" i="26"/>
  <c r="I158" i="26"/>
  <c r="H304" i="26"/>
  <c r="I304" i="26"/>
  <c r="H44" i="26"/>
  <c r="I44" i="26"/>
  <c r="H305" i="26"/>
  <c r="I305" i="26"/>
  <c r="H306" i="26"/>
  <c r="I306" i="26"/>
  <c r="H624" i="26"/>
  <c r="I624" i="26"/>
  <c r="H625" i="26"/>
  <c r="I625" i="26"/>
  <c r="H159" i="26"/>
  <c r="I159" i="26"/>
  <c r="H307" i="26"/>
  <c r="I307" i="26"/>
  <c r="H45" i="26"/>
  <c r="I45" i="26"/>
  <c r="H308" i="26"/>
  <c r="I308" i="26"/>
  <c r="H626" i="26"/>
  <c r="I626" i="26"/>
  <c r="H449" i="26"/>
  <c r="I449" i="26"/>
  <c r="H309" i="26"/>
  <c r="I309" i="26"/>
  <c r="H310" i="26"/>
  <c r="I310" i="26"/>
  <c r="H450" i="26"/>
  <c r="I450" i="26"/>
  <c r="H451" i="26"/>
  <c r="I451" i="26"/>
  <c r="H311" i="26"/>
  <c r="I311" i="26"/>
  <c r="H46" i="26"/>
  <c r="I46" i="26"/>
  <c r="H160" i="26"/>
  <c r="I160" i="26"/>
  <c r="H452" i="26"/>
  <c r="I452" i="26"/>
  <c r="H627" i="26"/>
  <c r="I627" i="26"/>
  <c r="H312" i="26"/>
  <c r="I312" i="26"/>
  <c r="H628" i="26"/>
  <c r="I628" i="26"/>
  <c r="H313" i="26"/>
  <c r="I313" i="26"/>
  <c r="H314" i="26"/>
  <c r="I314" i="26"/>
  <c r="H453" i="26"/>
  <c r="I453" i="26"/>
  <c r="H161" i="26"/>
  <c r="I161" i="26"/>
  <c r="H629" i="26"/>
  <c r="I629" i="26"/>
  <c r="H162" i="26"/>
  <c r="I162" i="26"/>
  <c r="H47" i="26"/>
  <c r="I47" i="26"/>
  <c r="H315" i="26"/>
  <c r="I315" i="26"/>
  <c r="H163" i="26"/>
  <c r="I163" i="26"/>
  <c r="H316" i="26"/>
  <c r="I316" i="26"/>
  <c r="H454" i="26"/>
  <c r="I454" i="26"/>
  <c r="H455" i="26"/>
  <c r="I455" i="26"/>
  <c r="H630" i="26"/>
  <c r="I630" i="26"/>
  <c r="H48" i="26"/>
  <c r="I48" i="26"/>
  <c r="H164" i="26"/>
  <c r="I164" i="26"/>
  <c r="H165" i="26"/>
  <c r="I165" i="26"/>
  <c r="H631" i="26"/>
  <c r="I631" i="26"/>
  <c r="H166" i="26"/>
  <c r="I166" i="26"/>
  <c r="H49" i="26"/>
  <c r="I49" i="26"/>
  <c r="H50" i="26"/>
  <c r="I50" i="26"/>
  <c r="H317" i="26"/>
  <c r="I317" i="26"/>
  <c r="H318" i="26"/>
  <c r="I318" i="26"/>
  <c r="H51" i="26"/>
  <c r="I51" i="26"/>
  <c r="H52" i="26"/>
  <c r="I52" i="26"/>
  <c r="H456" i="26"/>
  <c r="I456" i="26"/>
  <c r="H319" i="26"/>
  <c r="I319" i="26"/>
  <c r="H53" i="26"/>
  <c r="I53" i="26"/>
  <c r="H320" i="26"/>
  <c r="I320" i="26"/>
  <c r="H457" i="26"/>
  <c r="I457" i="26"/>
  <c r="H167" i="26"/>
  <c r="I167" i="26"/>
  <c r="H168" i="26"/>
  <c r="I168" i="26"/>
  <c r="H632" i="26"/>
  <c r="I632" i="26"/>
  <c r="H54" i="26"/>
  <c r="I54" i="26"/>
  <c r="H458" i="26"/>
  <c r="I458" i="26"/>
  <c r="H459" i="26"/>
  <c r="I459" i="26"/>
  <c r="H55" i="26"/>
  <c r="I55" i="26"/>
  <c r="H56" i="26"/>
  <c r="I56" i="26"/>
  <c r="H633" i="26"/>
  <c r="I633" i="26"/>
  <c r="H321" i="26"/>
  <c r="I321" i="26"/>
  <c r="H634" i="26"/>
  <c r="I634" i="26"/>
  <c r="H635" i="26"/>
  <c r="I635" i="26"/>
  <c r="H460" i="26"/>
  <c r="I460" i="26"/>
  <c r="H636" i="26"/>
  <c r="I636" i="26"/>
  <c r="H461" i="26"/>
  <c r="I461" i="26"/>
  <c r="H462" i="26"/>
  <c r="I462" i="26"/>
  <c r="H463" i="26"/>
  <c r="I463" i="26"/>
  <c r="H637" i="26"/>
  <c r="I637" i="26"/>
  <c r="H322" i="26"/>
  <c r="I322" i="26"/>
  <c r="H638" i="26"/>
  <c r="I638" i="26"/>
  <c r="H464" i="26"/>
  <c r="I464" i="26"/>
  <c r="H169" i="26"/>
  <c r="I169" i="26"/>
  <c r="H57" i="26"/>
  <c r="I57" i="26"/>
  <c r="H170" i="26"/>
  <c r="I170" i="26"/>
  <c r="H323" i="26"/>
  <c r="I323" i="26"/>
  <c r="H324" i="26"/>
  <c r="I324" i="26"/>
  <c r="H465" i="26"/>
  <c r="I465" i="26"/>
  <c r="H171" i="26"/>
  <c r="I171" i="26"/>
  <c r="H325" i="26"/>
  <c r="I325" i="26"/>
  <c r="H639" i="26"/>
  <c r="I639" i="26"/>
  <c r="H172" i="26"/>
  <c r="I172" i="26"/>
  <c r="H58" i="26"/>
  <c r="I58" i="26"/>
  <c r="H640" i="26"/>
  <c r="I640" i="26"/>
  <c r="H641" i="26"/>
  <c r="I641" i="26"/>
  <c r="H59" i="26"/>
  <c r="I59" i="26"/>
  <c r="H642" i="26"/>
  <c r="I642" i="26"/>
  <c r="H173" i="26"/>
  <c r="I173" i="26"/>
  <c r="H466" i="26"/>
  <c r="I466" i="26"/>
  <c r="H467" i="26"/>
  <c r="I467" i="26"/>
  <c r="H643" i="26"/>
  <c r="I643" i="26"/>
  <c r="H174" i="26"/>
  <c r="I174" i="26"/>
  <c r="H175" i="26"/>
  <c r="I175" i="26"/>
  <c r="H468" i="26"/>
  <c r="I468" i="26"/>
  <c r="H469" i="26"/>
  <c r="I469" i="26"/>
  <c r="H470" i="26"/>
  <c r="I470" i="26"/>
  <c r="H326" i="26"/>
  <c r="I326" i="26"/>
  <c r="H176" i="26"/>
  <c r="I176" i="26"/>
  <c r="H644" i="26"/>
  <c r="I644" i="26"/>
  <c r="H177" i="26"/>
  <c r="I177" i="26"/>
  <c r="H645" i="26"/>
  <c r="I645" i="26"/>
  <c r="H646" i="26"/>
  <c r="I646" i="26"/>
  <c r="H471" i="26"/>
  <c r="I471" i="26"/>
  <c r="H327" i="26"/>
  <c r="I327" i="26"/>
  <c r="H328" i="26"/>
  <c r="I328" i="26"/>
  <c r="H472" i="26"/>
  <c r="I472" i="26"/>
  <c r="H647" i="26"/>
  <c r="I647" i="26"/>
  <c r="H329" i="26"/>
  <c r="I329" i="26"/>
  <c r="H648" i="26"/>
  <c r="I648" i="26"/>
  <c r="H473" i="26"/>
  <c r="I473" i="26"/>
  <c r="H178" i="26"/>
  <c r="I178" i="26"/>
  <c r="H60" i="26"/>
  <c r="I60" i="26"/>
  <c r="H330" i="26"/>
  <c r="I330" i="26"/>
  <c r="H474" i="26"/>
  <c r="I474" i="26"/>
  <c r="H179" i="26"/>
  <c r="I179" i="26"/>
  <c r="H649" i="26"/>
  <c r="I649" i="26"/>
  <c r="H650" i="26"/>
  <c r="I650" i="26"/>
  <c r="H475" i="26"/>
  <c r="I475" i="26"/>
  <c r="H180" i="26"/>
  <c r="I180" i="26"/>
  <c r="H651" i="26"/>
  <c r="I651" i="26"/>
  <c r="H331" i="26"/>
  <c r="I331" i="26"/>
  <c r="H61" i="26"/>
  <c r="I61" i="26"/>
  <c r="H652" i="26"/>
  <c r="I652" i="26"/>
  <c r="H653" i="26"/>
  <c r="I653" i="26"/>
  <c r="H476" i="26"/>
  <c r="I476" i="26"/>
  <c r="H181" i="26"/>
  <c r="I181" i="26"/>
  <c r="H477" i="26"/>
  <c r="I477" i="26"/>
  <c r="H478" i="26"/>
  <c r="I478" i="26"/>
  <c r="H62" i="26"/>
  <c r="I62" i="26"/>
  <c r="H479" i="26"/>
  <c r="I479" i="26"/>
  <c r="H182" i="26"/>
  <c r="I182" i="26"/>
  <c r="H480" i="26"/>
  <c r="I480" i="26"/>
  <c r="H183" i="26"/>
  <c r="I183" i="26"/>
  <c r="H184" i="26"/>
  <c r="I184" i="26"/>
  <c r="H654" i="26"/>
  <c r="I654" i="26"/>
  <c r="H481" i="26"/>
  <c r="I481" i="26"/>
  <c r="H63" i="26"/>
  <c r="I63" i="26"/>
  <c r="H655" i="26"/>
  <c r="I655" i="26"/>
  <c r="H482" i="26"/>
  <c r="I482" i="26"/>
  <c r="H483" i="26"/>
  <c r="I483" i="26"/>
  <c r="H484" i="26"/>
  <c r="I484" i="26"/>
  <c r="H332" i="26"/>
  <c r="I332" i="26"/>
  <c r="H485" i="26"/>
  <c r="I485" i="26"/>
  <c r="H185" i="26"/>
  <c r="I185" i="26"/>
  <c r="H333" i="26"/>
  <c r="I333" i="26"/>
  <c r="H64" i="26"/>
  <c r="I64" i="26"/>
  <c r="H334" i="26"/>
  <c r="I334" i="26"/>
  <c r="H186" i="26"/>
  <c r="I186" i="26"/>
  <c r="H335" i="26"/>
  <c r="I335" i="26"/>
  <c r="H486" i="26"/>
  <c r="I486" i="26"/>
  <c r="H656" i="26"/>
  <c r="I656" i="26"/>
  <c r="H487" i="26"/>
  <c r="I487" i="26"/>
  <c r="H65" i="26"/>
  <c r="I65" i="26"/>
  <c r="H657" i="26"/>
  <c r="I657" i="26"/>
  <c r="H488" i="26"/>
  <c r="I488" i="26"/>
  <c r="H187" i="26"/>
  <c r="I187" i="26"/>
  <c r="H489" i="26"/>
  <c r="I489" i="26"/>
  <c r="H658" i="26"/>
  <c r="I658" i="26"/>
  <c r="H336" i="26"/>
  <c r="I336" i="26"/>
  <c r="H490" i="26"/>
  <c r="I490" i="26"/>
  <c r="H188" i="26"/>
  <c r="I188" i="26"/>
  <c r="H337" i="26"/>
  <c r="I337" i="26"/>
  <c r="H659" i="26"/>
  <c r="I659" i="26"/>
  <c r="H189" i="26"/>
  <c r="I189" i="26"/>
  <c r="H190" i="26"/>
  <c r="I190" i="26"/>
  <c r="H660" i="26"/>
  <c r="I660" i="26"/>
  <c r="H338" i="26"/>
  <c r="I338" i="26"/>
  <c r="H191" i="26"/>
  <c r="I191" i="26"/>
  <c r="H339" i="26"/>
  <c r="I339" i="26"/>
  <c r="H661" i="26"/>
  <c r="I661" i="26"/>
  <c r="H491" i="26"/>
  <c r="I491" i="26"/>
  <c r="H192" i="26"/>
  <c r="I192" i="26"/>
  <c r="H492" i="26"/>
  <c r="I492" i="26"/>
  <c r="H193" i="26"/>
  <c r="I193" i="26"/>
  <c r="H493" i="26"/>
  <c r="I493" i="26"/>
  <c r="H194" i="26"/>
  <c r="I194" i="26"/>
  <c r="H66" i="26"/>
  <c r="I66" i="26"/>
  <c r="H340" i="26"/>
  <c r="I340" i="26"/>
  <c r="H341" i="26"/>
  <c r="I341" i="26"/>
  <c r="H662" i="26"/>
  <c r="I662" i="26"/>
  <c r="H342" i="26"/>
  <c r="I342" i="26"/>
  <c r="H67" i="26"/>
  <c r="I67" i="26"/>
  <c r="H343" i="26"/>
  <c r="I343" i="26"/>
  <c r="H68" i="26"/>
  <c r="I68" i="26"/>
  <c r="H344" i="26"/>
  <c r="I344" i="26"/>
  <c r="H69" i="26"/>
  <c r="I69" i="26"/>
  <c r="H195" i="26"/>
  <c r="I195" i="26"/>
  <c r="H196" i="26"/>
  <c r="I196" i="26"/>
  <c r="H494" i="26"/>
  <c r="I494" i="26"/>
  <c r="H345" i="26"/>
  <c r="I345" i="26"/>
  <c r="H495" i="26"/>
  <c r="I495" i="26"/>
  <c r="H197" i="26"/>
  <c r="I197" i="26"/>
  <c r="H496" i="26"/>
  <c r="I496" i="26"/>
  <c r="H198" i="26"/>
  <c r="I198" i="26"/>
  <c r="H663" i="26"/>
  <c r="I663" i="26"/>
  <c r="H199" i="26"/>
  <c r="I199" i="26"/>
  <c r="H200" i="26"/>
  <c r="I200" i="26"/>
  <c r="H664" i="26"/>
  <c r="I664" i="26"/>
  <c r="H70" i="26"/>
  <c r="I70" i="26"/>
  <c r="H665" i="26"/>
  <c r="I665" i="26"/>
  <c r="H71" i="26"/>
  <c r="I71" i="26"/>
  <c r="H497" i="26"/>
  <c r="I497" i="26"/>
  <c r="H498" i="26"/>
  <c r="I498" i="26"/>
  <c r="H72" i="26"/>
  <c r="I72" i="26"/>
  <c r="H73" i="26"/>
  <c r="I73" i="26"/>
  <c r="H666" i="26"/>
  <c r="I666" i="26"/>
  <c r="H74" i="26"/>
  <c r="I74" i="26"/>
  <c r="H499" i="26"/>
  <c r="I499" i="26"/>
  <c r="H500" i="26"/>
  <c r="I500" i="26"/>
  <c r="H201" i="26"/>
  <c r="I201" i="26"/>
  <c r="H75" i="26"/>
  <c r="I75" i="26"/>
  <c r="H76" i="26"/>
  <c r="I76" i="26"/>
  <c r="H501" i="26"/>
  <c r="I501" i="26"/>
  <c r="H667" i="26"/>
  <c r="I667" i="26"/>
  <c r="H668" i="26"/>
  <c r="I668" i="26"/>
  <c r="H669" i="26"/>
  <c r="I669" i="26"/>
  <c r="H77" i="26"/>
  <c r="I77" i="26"/>
  <c r="H502" i="26"/>
  <c r="I502" i="26"/>
  <c r="H670" i="26"/>
  <c r="I670" i="26"/>
  <c r="H503" i="26"/>
  <c r="I503" i="26"/>
  <c r="H346" i="26"/>
  <c r="I346" i="26"/>
  <c r="H504" i="26"/>
  <c r="I504" i="26"/>
  <c r="H671" i="26"/>
  <c r="I671" i="26"/>
  <c r="H672" i="26"/>
  <c r="I672" i="26"/>
  <c r="H78" i="26"/>
  <c r="I78" i="26"/>
  <c r="H347" i="26"/>
  <c r="I347" i="26"/>
  <c r="H673" i="26"/>
  <c r="I673" i="26"/>
  <c r="H348" i="26"/>
  <c r="I348" i="26"/>
  <c r="H79" i="26"/>
  <c r="I79" i="26"/>
  <c r="H674" i="26"/>
  <c r="I674" i="26"/>
  <c r="H202" i="26"/>
  <c r="I202" i="26"/>
  <c r="H349" i="26"/>
  <c r="I349" i="26"/>
  <c r="H350" i="26"/>
  <c r="I350" i="26"/>
  <c r="H505" i="26"/>
  <c r="I505" i="26"/>
  <c r="H203" i="26"/>
  <c r="I203" i="26"/>
  <c r="H351" i="26"/>
  <c r="I351" i="26"/>
  <c r="H675" i="26"/>
  <c r="I675" i="26"/>
  <c r="H676" i="26"/>
  <c r="I676" i="26"/>
  <c r="H506" i="26"/>
  <c r="I506" i="26"/>
  <c r="H204" i="26"/>
  <c r="I204" i="26"/>
  <c r="H80" i="26"/>
  <c r="I80" i="26"/>
  <c r="H352" i="26"/>
  <c r="I352" i="26"/>
  <c r="H81" i="26"/>
  <c r="I81" i="26"/>
  <c r="H82" i="26"/>
  <c r="I82" i="26"/>
  <c r="H677" i="26"/>
  <c r="I677" i="26"/>
  <c r="H205" i="26"/>
  <c r="I205" i="26"/>
  <c r="H678" i="26"/>
  <c r="I678" i="26"/>
  <c r="H507" i="26"/>
  <c r="I507" i="26"/>
  <c r="H508" i="26"/>
  <c r="I508" i="26"/>
  <c r="H509" i="26"/>
  <c r="I509" i="26"/>
  <c r="H510" i="26"/>
  <c r="I510" i="26"/>
  <c r="H353" i="26"/>
  <c r="I353" i="26"/>
  <c r="H511" i="26"/>
  <c r="I511" i="26"/>
  <c r="H83" i="26"/>
  <c r="I83" i="26"/>
  <c r="H206" i="26"/>
  <c r="I206" i="26"/>
  <c r="H512" i="26"/>
  <c r="I512" i="26"/>
  <c r="H679" i="26"/>
  <c r="I679" i="26"/>
  <c r="H84" i="26"/>
  <c r="I84" i="26"/>
  <c r="H354" i="26"/>
  <c r="I354" i="26"/>
  <c r="H85" i="26"/>
  <c r="I85" i="26"/>
  <c r="H207" i="26"/>
  <c r="I207" i="26"/>
  <c r="H680" i="26"/>
  <c r="I680" i="26"/>
  <c r="H513" i="26"/>
  <c r="I513" i="26"/>
  <c r="H86" i="26"/>
  <c r="I86" i="26"/>
  <c r="H514" i="26"/>
  <c r="I514" i="26"/>
  <c r="H208" i="26"/>
  <c r="I208" i="26"/>
  <c r="H355" i="26"/>
  <c r="I355" i="26"/>
  <c r="H209" i="26"/>
  <c r="I209" i="26"/>
  <c r="H515" i="26"/>
  <c r="I515" i="26"/>
  <c r="H87" i="26"/>
  <c r="I87" i="26"/>
  <c r="H681" i="26"/>
  <c r="I681" i="26"/>
  <c r="H356" i="26"/>
  <c r="I356" i="26"/>
  <c r="H516" i="26"/>
  <c r="I516" i="26"/>
  <c r="H682" i="26"/>
  <c r="I682" i="26"/>
  <c r="H683" i="26"/>
  <c r="I683" i="26"/>
  <c r="H88" i="26"/>
  <c r="I88" i="26"/>
  <c r="H210" i="26"/>
  <c r="I210" i="26"/>
  <c r="H211" i="26"/>
  <c r="I211" i="26"/>
  <c r="H684" i="26"/>
  <c r="I684" i="26"/>
  <c r="H685" i="26"/>
  <c r="I685" i="26"/>
  <c r="H212" i="26"/>
  <c r="I212" i="26"/>
  <c r="H517" i="26"/>
  <c r="I517" i="26"/>
  <c r="H89" i="26"/>
  <c r="I89" i="26"/>
  <c r="H686" i="26"/>
  <c r="I686" i="26"/>
  <c r="H687" i="26"/>
  <c r="I687" i="26"/>
  <c r="H357" i="26"/>
  <c r="I357" i="26"/>
  <c r="H90" i="26"/>
  <c r="I90" i="26"/>
  <c r="H91" i="26"/>
  <c r="I91" i="26"/>
  <c r="H518" i="26"/>
  <c r="I518" i="26"/>
  <c r="H519" i="26"/>
  <c r="I519" i="26"/>
  <c r="H520" i="26"/>
  <c r="I520" i="26"/>
  <c r="H92" i="26"/>
  <c r="I92" i="26"/>
  <c r="H358" i="26"/>
  <c r="I358" i="26"/>
  <c r="H521" i="26"/>
  <c r="I521" i="26"/>
  <c r="H213" i="26"/>
  <c r="I213" i="26"/>
  <c r="H522" i="26"/>
  <c r="I522" i="26"/>
  <c r="H359" i="26"/>
  <c r="I359" i="26"/>
  <c r="H523" i="26"/>
  <c r="I523" i="26"/>
  <c r="H524" i="26"/>
  <c r="I524" i="26"/>
  <c r="H214" i="26"/>
  <c r="I214" i="26"/>
  <c r="H215" i="26"/>
  <c r="I215" i="26"/>
  <c r="H216" i="26"/>
  <c r="I216" i="26"/>
  <c r="H360" i="26"/>
  <c r="I360" i="26"/>
  <c r="H217" i="26"/>
  <c r="I217" i="26"/>
  <c r="H361" i="26"/>
  <c r="I361" i="26"/>
  <c r="H362" i="26"/>
  <c r="I362" i="26"/>
  <c r="H218" i="26"/>
  <c r="I218" i="26"/>
  <c r="H219" i="26"/>
  <c r="I219" i="26"/>
  <c r="H220" i="26"/>
  <c r="I220" i="26"/>
  <c r="H525" i="26"/>
  <c r="I525" i="26"/>
  <c r="H526" i="26"/>
  <c r="I526" i="26"/>
  <c r="H221" i="26"/>
  <c r="I221" i="26"/>
  <c r="H688" i="26"/>
  <c r="I688" i="26"/>
  <c r="H527" i="26"/>
  <c r="I527" i="26"/>
  <c r="H689" i="26"/>
  <c r="I689" i="26"/>
  <c r="H690" i="26"/>
  <c r="I690" i="26"/>
  <c r="H93" i="26"/>
  <c r="I93" i="26"/>
  <c r="H363" i="26"/>
  <c r="I363" i="26"/>
  <c r="H528" i="26"/>
  <c r="I528" i="26"/>
  <c r="H691" i="26"/>
  <c r="I691" i="26"/>
  <c r="H222" i="26"/>
  <c r="I222" i="26"/>
  <c r="H529" i="26"/>
  <c r="I529" i="26"/>
  <c r="H94" i="26"/>
  <c r="I94" i="26"/>
  <c r="H364" i="26"/>
  <c r="I364" i="26"/>
  <c r="H223" i="26"/>
  <c r="I223" i="26"/>
  <c r="H224" i="26"/>
  <c r="I224" i="26"/>
  <c r="H692" i="26"/>
  <c r="I692" i="26"/>
  <c r="H225" i="26"/>
  <c r="I225" i="26"/>
  <c r="H365" i="26"/>
  <c r="I365" i="26"/>
  <c r="H95" i="26"/>
  <c r="I95" i="26"/>
  <c r="H530" i="26"/>
  <c r="I530" i="26"/>
  <c r="H226" i="26"/>
  <c r="I226" i="26"/>
  <c r="H693" i="26"/>
  <c r="I693" i="26"/>
  <c r="H366" i="26"/>
  <c r="I366" i="26"/>
  <c r="H367" i="26"/>
  <c r="I367" i="26"/>
  <c r="H694" i="26"/>
  <c r="I694" i="26"/>
  <c r="H368" i="26"/>
  <c r="I368" i="26"/>
  <c r="H695" i="26"/>
  <c r="I695" i="26"/>
  <c r="H227" i="26"/>
  <c r="I227" i="26"/>
  <c r="H696" i="26"/>
  <c r="I696" i="26"/>
  <c r="H531" i="26"/>
  <c r="I531" i="26"/>
  <c r="H369" i="26"/>
  <c r="I369" i="26"/>
  <c r="H697" i="26"/>
  <c r="I697" i="26"/>
  <c r="H228" i="26"/>
  <c r="I228" i="26"/>
  <c r="H532" i="26"/>
  <c r="I532" i="26"/>
  <c r="H96" i="26"/>
  <c r="I96" i="26"/>
  <c r="H533" i="26"/>
  <c r="I533" i="26"/>
  <c r="H370" i="26"/>
  <c r="I370" i="26"/>
  <c r="H229" i="26"/>
  <c r="I229" i="26"/>
  <c r="H698" i="26"/>
  <c r="I698" i="26"/>
  <c r="H534" i="26"/>
  <c r="I534" i="26"/>
  <c r="H699" i="26"/>
  <c r="I699" i="26"/>
  <c r="H230" i="26"/>
  <c r="I230" i="26"/>
  <c r="H371" i="26"/>
  <c r="I371" i="26"/>
  <c r="H372" i="26"/>
  <c r="I372" i="26"/>
  <c r="H535" i="26"/>
  <c r="I535" i="26"/>
  <c r="H231" i="26"/>
  <c r="I231" i="26"/>
  <c r="H536" i="26"/>
  <c r="I536" i="26"/>
  <c r="H700" i="26"/>
  <c r="I700" i="26"/>
  <c r="H537" i="26"/>
  <c r="I537" i="26"/>
  <c r="H97" i="26"/>
  <c r="I97" i="26"/>
  <c r="H98" i="26"/>
  <c r="I98" i="26"/>
  <c r="H232" i="26"/>
  <c r="I232" i="26"/>
  <c r="H373" i="26"/>
  <c r="I373" i="26"/>
  <c r="H374" i="26"/>
  <c r="I374" i="26"/>
  <c r="H701" i="26"/>
  <c r="I701" i="26"/>
  <c r="H538" i="26"/>
  <c r="I538" i="26"/>
  <c r="H539" i="26"/>
  <c r="I539" i="26"/>
  <c r="H702" i="26"/>
  <c r="I702" i="26"/>
  <c r="H540" i="26"/>
  <c r="I540" i="26"/>
  <c r="H703" i="26"/>
  <c r="I703" i="26"/>
  <c r="H99" i="26"/>
  <c r="I99" i="26"/>
  <c r="H541" i="26"/>
  <c r="I541" i="26"/>
  <c r="H233" i="26"/>
  <c r="I233" i="26"/>
  <c r="H375" i="26"/>
  <c r="I375" i="26"/>
  <c r="H376" i="26"/>
  <c r="I376" i="26"/>
  <c r="H100" i="26"/>
  <c r="I100" i="26"/>
  <c r="H101" i="26"/>
  <c r="I101" i="26"/>
  <c r="H234" i="26"/>
  <c r="I234" i="26"/>
  <c r="H377" i="26"/>
  <c r="I377" i="26"/>
  <c r="H102" i="26"/>
  <c r="I102" i="26"/>
  <c r="H103" i="26"/>
  <c r="I103" i="26"/>
  <c r="H704" i="26"/>
  <c r="I704" i="26"/>
  <c r="H542" i="26"/>
  <c r="I542" i="26"/>
  <c r="H705" i="26"/>
  <c r="I705" i="26"/>
  <c r="H543" i="26"/>
  <c r="I543" i="26"/>
  <c r="H706" i="26"/>
  <c r="I706" i="26"/>
  <c r="H707" i="26"/>
  <c r="I707" i="26"/>
  <c r="H235" i="26"/>
  <c r="I235" i="26"/>
  <c r="H236" i="26"/>
  <c r="I236" i="26"/>
  <c r="H104" i="26"/>
  <c r="I104" i="26"/>
  <c r="H544" i="26"/>
  <c r="I544" i="26"/>
  <c r="H105" i="26"/>
  <c r="I105" i="26"/>
  <c r="H378" i="26"/>
  <c r="I378" i="26"/>
  <c r="H545" i="26"/>
  <c r="I545" i="26"/>
  <c r="H708" i="26"/>
  <c r="I708" i="26"/>
  <c r="H709" i="26"/>
  <c r="I709" i="26"/>
  <c r="H710" i="26"/>
  <c r="I710" i="26"/>
  <c r="H546" i="26"/>
  <c r="I546" i="26"/>
  <c r="H237" i="26"/>
  <c r="I237" i="26"/>
  <c r="H711" i="26"/>
  <c r="I711" i="26"/>
  <c r="H712" i="26"/>
  <c r="I712" i="26"/>
  <c r="H713" i="26"/>
  <c r="I713" i="26"/>
  <c r="H238" i="26"/>
  <c r="I238" i="26"/>
  <c r="H714" i="26"/>
  <c r="I714" i="26"/>
  <c r="H106" i="26"/>
  <c r="I106" i="26"/>
  <c r="H379" i="26"/>
  <c r="I379" i="26"/>
  <c r="H715" i="26"/>
  <c r="I715" i="26"/>
  <c r="H547" i="26"/>
  <c r="I547" i="26"/>
  <c r="H380" i="26"/>
  <c r="I380" i="26"/>
  <c r="H716" i="26"/>
  <c r="I716" i="26"/>
  <c r="H548" i="26"/>
  <c r="I548" i="26"/>
  <c r="H239" i="26"/>
  <c r="I239" i="26"/>
  <c r="H240" i="26"/>
  <c r="I240" i="26"/>
  <c r="H717" i="26"/>
  <c r="I717" i="26"/>
  <c r="H241" i="26"/>
  <c r="I241" i="26"/>
  <c r="H381" i="26"/>
  <c r="I381" i="26"/>
  <c r="H107" i="26"/>
  <c r="I107" i="26"/>
  <c r="H718" i="26"/>
  <c r="I718" i="26"/>
  <c r="H719" i="26"/>
  <c r="I719" i="26"/>
  <c r="H242" i="26"/>
  <c r="I242" i="26"/>
  <c r="H243" i="26"/>
  <c r="I243" i="26"/>
  <c r="H108" i="26"/>
  <c r="I108" i="26"/>
  <c r="H244" i="26"/>
  <c r="I244" i="26"/>
  <c r="H245" i="26"/>
  <c r="I245" i="26"/>
  <c r="H382" i="26"/>
  <c r="I382" i="26"/>
  <c r="H246" i="26"/>
  <c r="I246" i="26"/>
  <c r="H383" i="26"/>
  <c r="I383" i="26"/>
  <c r="H720" i="26"/>
  <c r="I720" i="26"/>
  <c r="H109" i="26"/>
  <c r="I109" i="26"/>
  <c r="H721" i="26"/>
  <c r="I721" i="26"/>
  <c r="H247" i="26"/>
  <c r="I247" i="26"/>
  <c r="H384" i="26"/>
  <c r="I384" i="26"/>
  <c r="H248" i="26"/>
  <c r="I248" i="26"/>
  <c r="H549" i="26"/>
  <c r="I549" i="26"/>
  <c r="H722" i="26"/>
  <c r="I722" i="26"/>
  <c r="H249" i="26"/>
  <c r="I249" i="26"/>
  <c r="H550" i="26"/>
  <c r="I550" i="26"/>
  <c r="H551" i="26"/>
  <c r="I551" i="26"/>
  <c r="H552" i="26"/>
  <c r="I552" i="26"/>
  <c r="H553" i="26"/>
  <c r="I553" i="26"/>
  <c r="H110" i="26"/>
  <c r="I110" i="26"/>
  <c r="H385" i="26"/>
  <c r="I385" i="26"/>
  <c r="H386" i="26"/>
  <c r="I386" i="26"/>
  <c r="H387" i="26"/>
  <c r="I387" i="26"/>
  <c r="H250" i="26"/>
  <c r="I250" i="26"/>
  <c r="H723" i="26"/>
  <c r="I723" i="26"/>
  <c r="H724" i="26"/>
  <c r="I724" i="26"/>
  <c r="H251" i="26"/>
  <c r="I251" i="26"/>
  <c r="H554" i="26"/>
  <c r="I554" i="26"/>
  <c r="H725" i="26"/>
  <c r="I725" i="26"/>
  <c r="H726" i="26"/>
  <c r="I726" i="26"/>
  <c r="H388" i="26"/>
  <c r="I388" i="26"/>
  <c r="H727" i="26"/>
  <c r="I727" i="26"/>
  <c r="H389" i="26"/>
  <c r="I389" i="26"/>
  <c r="H555" i="26"/>
  <c r="I555" i="26"/>
  <c r="H728" i="26"/>
  <c r="I728" i="26"/>
  <c r="H252" i="26"/>
  <c r="I252" i="26"/>
  <c r="H390" i="26"/>
  <c r="I390" i="26"/>
  <c r="H556" i="26"/>
  <c r="I556" i="26"/>
  <c r="H729" i="26"/>
  <c r="I729" i="26"/>
  <c r="H111" i="26"/>
  <c r="I111" i="26"/>
  <c r="H112" i="26"/>
  <c r="I112" i="26"/>
  <c r="H557" i="26"/>
  <c r="I557" i="26"/>
  <c r="H391" i="26"/>
  <c r="I391" i="26"/>
  <c r="H392" i="26"/>
  <c r="I392" i="26"/>
  <c r="H730" i="26"/>
  <c r="I730" i="26"/>
  <c r="H731" i="26"/>
  <c r="I731" i="26"/>
  <c r="H253" i="26"/>
  <c r="I253" i="26"/>
  <c r="H393" i="26"/>
  <c r="I393" i="26"/>
  <c r="H732" i="26"/>
  <c r="I732" i="26"/>
  <c r="H394" i="26"/>
  <c r="I394" i="26"/>
  <c r="H558" i="26"/>
  <c r="I558" i="26"/>
  <c r="H559" i="26"/>
  <c r="I559" i="26"/>
  <c r="H113" i="26"/>
  <c r="I113" i="26"/>
  <c r="H254" i="26"/>
  <c r="I254" i="26"/>
  <c r="H733" i="26"/>
  <c r="I733" i="26"/>
  <c r="H734" i="26"/>
  <c r="I734" i="26"/>
  <c r="H395" i="26"/>
  <c r="I395" i="26"/>
  <c r="H560" i="26"/>
  <c r="I560" i="26"/>
  <c r="H735" i="26"/>
  <c r="I735" i="26"/>
  <c r="H255" i="26"/>
  <c r="I255" i="26"/>
  <c r="H114" i="26"/>
  <c r="I114" i="26"/>
  <c r="H396" i="26"/>
  <c r="I396" i="26"/>
  <c r="H736" i="26"/>
  <c r="I736" i="26"/>
  <c r="H397" i="26"/>
  <c r="I397" i="26"/>
  <c r="H398" i="26"/>
  <c r="I398" i="26"/>
  <c r="H399" i="26"/>
  <c r="I399" i="26"/>
  <c r="H737" i="26"/>
  <c r="I737" i="26"/>
  <c r="H561" i="26"/>
  <c r="I561" i="26"/>
  <c r="H738" i="26"/>
  <c r="I738" i="26"/>
  <c r="H562" i="26"/>
  <c r="I562" i="26"/>
  <c r="H739" i="26"/>
  <c r="I739" i="26"/>
  <c r="H563" i="26"/>
  <c r="I563" i="26"/>
  <c r="H740" i="26"/>
  <c r="I740" i="26"/>
  <c r="H564" i="26"/>
  <c r="I564" i="26"/>
  <c r="H741" i="26"/>
  <c r="I741" i="26"/>
  <c r="H115" i="26"/>
  <c r="I115" i="26"/>
  <c r="H256" i="26"/>
  <c r="I256" i="26"/>
  <c r="H742" i="26"/>
  <c r="I742" i="26"/>
  <c r="H257" i="26"/>
  <c r="I257" i="26"/>
  <c r="H116" i="26"/>
  <c r="I116" i="26"/>
  <c r="G2" i="25"/>
  <c r="H2" i="25"/>
  <c r="G3" i="25"/>
  <c r="H3" i="25"/>
  <c r="G4" i="25"/>
  <c r="H4" i="25"/>
  <c r="G5" i="25"/>
  <c r="H5" i="25"/>
  <c r="G6" i="25"/>
  <c r="H6" i="25"/>
  <c r="G7" i="25"/>
  <c r="H7" i="25"/>
  <c r="G8" i="25"/>
  <c r="H8" i="25"/>
  <c r="G9" i="25"/>
  <c r="H9" i="25"/>
  <c r="G10" i="25"/>
  <c r="H10" i="25"/>
  <c r="G11" i="25"/>
  <c r="H11" i="25"/>
  <c r="G12" i="25"/>
  <c r="H12" i="25"/>
  <c r="G13" i="25"/>
  <c r="H13" i="25"/>
  <c r="G14" i="25"/>
  <c r="H14" i="25"/>
  <c r="G15" i="25"/>
  <c r="H15" i="25"/>
  <c r="G16" i="25"/>
  <c r="H16" i="25"/>
  <c r="G17" i="25"/>
  <c r="H17" i="25"/>
  <c r="G18" i="25"/>
  <c r="H18" i="25"/>
  <c r="G19" i="25"/>
  <c r="H19" i="25"/>
  <c r="G20" i="25"/>
  <c r="H20" i="25"/>
  <c r="G21" i="25"/>
  <c r="H21" i="25"/>
  <c r="G22" i="25"/>
  <c r="H22" i="25"/>
  <c r="G23" i="25"/>
  <c r="H23" i="25"/>
  <c r="G24" i="25"/>
  <c r="H24" i="25"/>
  <c r="G25" i="25"/>
  <c r="H25" i="25"/>
  <c r="G26" i="25"/>
  <c r="H26" i="25"/>
  <c r="G27" i="25"/>
  <c r="H27" i="25"/>
  <c r="G28" i="25"/>
  <c r="H28" i="25"/>
  <c r="G29" i="25"/>
  <c r="H29" i="25"/>
  <c r="G30" i="25"/>
  <c r="H30" i="25"/>
  <c r="G31" i="25"/>
  <c r="H31" i="25"/>
  <c r="G32" i="25"/>
  <c r="H32" i="25"/>
  <c r="G33" i="25"/>
  <c r="H33" i="25"/>
  <c r="G34" i="25"/>
  <c r="H34" i="25"/>
  <c r="G35" i="25"/>
  <c r="H35" i="25"/>
  <c r="G36" i="25"/>
  <c r="H36" i="25"/>
  <c r="G37" i="25"/>
  <c r="H37" i="25"/>
  <c r="G38" i="25"/>
  <c r="H38" i="25"/>
  <c r="G39" i="25"/>
  <c r="H39" i="25"/>
  <c r="G40" i="25"/>
  <c r="H40" i="25"/>
  <c r="G41" i="25"/>
  <c r="H41" i="25"/>
  <c r="G42" i="25"/>
  <c r="H42" i="25"/>
  <c r="G43" i="25"/>
  <c r="H43" i="25"/>
  <c r="G44" i="25"/>
  <c r="H44" i="25"/>
  <c r="G45" i="25"/>
  <c r="H45" i="25"/>
  <c r="G46" i="25"/>
  <c r="H46" i="25"/>
  <c r="G47" i="25"/>
  <c r="H47" i="25"/>
  <c r="G48" i="25"/>
  <c r="H48" i="25"/>
  <c r="G49" i="25"/>
  <c r="H49" i="25"/>
  <c r="G50" i="25"/>
  <c r="H50" i="25"/>
  <c r="G51" i="25"/>
  <c r="H51" i="25"/>
  <c r="G52" i="25"/>
  <c r="H52" i="25"/>
  <c r="G53" i="25"/>
  <c r="H53" i="25"/>
  <c r="G54" i="25"/>
  <c r="H54" i="25"/>
  <c r="G55" i="25"/>
  <c r="H55" i="25"/>
  <c r="G56" i="25"/>
  <c r="H56" i="25"/>
  <c r="G57" i="25"/>
  <c r="H57" i="25"/>
  <c r="G58" i="25"/>
  <c r="H58" i="25"/>
  <c r="G59" i="25"/>
  <c r="H59" i="25"/>
  <c r="G60" i="25"/>
  <c r="H60" i="25"/>
  <c r="G61" i="25"/>
  <c r="H61" i="25"/>
  <c r="G62" i="25"/>
  <c r="H62" i="25"/>
  <c r="G63" i="25"/>
  <c r="H63" i="25"/>
  <c r="G64" i="25"/>
  <c r="H64" i="25"/>
  <c r="G65" i="25"/>
  <c r="H65" i="25"/>
  <c r="G66" i="25"/>
  <c r="H66" i="25"/>
  <c r="G67" i="25"/>
  <c r="H67" i="25"/>
  <c r="G68" i="25"/>
  <c r="H68" i="25"/>
  <c r="G69" i="25"/>
  <c r="H69" i="25"/>
  <c r="G70" i="25"/>
  <c r="H70" i="25"/>
  <c r="G71" i="25"/>
  <c r="H71" i="25"/>
  <c r="G72" i="25"/>
  <c r="H72" i="25"/>
  <c r="G73" i="25"/>
  <c r="H73" i="25"/>
  <c r="G74" i="25"/>
  <c r="H74" i="25"/>
  <c r="G75" i="25"/>
  <c r="H75" i="25"/>
  <c r="G76" i="25"/>
  <c r="H76" i="25"/>
  <c r="G77" i="25"/>
  <c r="H77" i="25"/>
  <c r="G78" i="25"/>
  <c r="H78" i="25"/>
  <c r="G79" i="25"/>
  <c r="H79" i="25"/>
  <c r="G80" i="25"/>
  <c r="H80" i="25"/>
  <c r="G81" i="25"/>
  <c r="H81" i="25"/>
  <c r="G82" i="25"/>
  <c r="H82" i="25"/>
  <c r="G83" i="25"/>
  <c r="H83" i="25"/>
  <c r="G84" i="25"/>
  <c r="H84" i="25"/>
  <c r="G85" i="25"/>
  <c r="H85" i="25"/>
  <c r="G86" i="25"/>
  <c r="H86" i="25"/>
  <c r="G87" i="25"/>
  <c r="H87" i="25"/>
  <c r="G88" i="25"/>
  <c r="H88" i="25"/>
  <c r="G89" i="25"/>
  <c r="H89" i="25"/>
  <c r="G90" i="25"/>
  <c r="H90" i="25"/>
  <c r="G91" i="25"/>
  <c r="H91" i="25"/>
  <c r="G92" i="25"/>
  <c r="H92" i="25"/>
  <c r="G93" i="25"/>
  <c r="H93" i="25"/>
  <c r="G94" i="25"/>
  <c r="H94" i="25"/>
  <c r="G95" i="25"/>
  <c r="H95" i="25"/>
  <c r="G96" i="25"/>
  <c r="H96" i="25"/>
  <c r="G97" i="25"/>
  <c r="H97" i="25"/>
  <c r="G98" i="25"/>
  <c r="H98" i="25"/>
  <c r="G99" i="25"/>
  <c r="H99" i="25"/>
  <c r="G100" i="25"/>
  <c r="H100" i="25"/>
  <c r="G101" i="25"/>
  <c r="H101" i="25"/>
  <c r="G102" i="25"/>
  <c r="H102" i="25"/>
  <c r="G103" i="25"/>
  <c r="H103" i="25"/>
  <c r="G104" i="25"/>
  <c r="H104" i="25"/>
  <c r="G105" i="25"/>
  <c r="H105" i="25"/>
  <c r="G106" i="25"/>
  <c r="H106" i="25"/>
  <c r="G107" i="25"/>
  <c r="H107" i="25"/>
  <c r="G108" i="25"/>
  <c r="H108" i="25"/>
  <c r="G109" i="25"/>
  <c r="H109" i="25"/>
  <c r="G110" i="25"/>
  <c r="H110" i="25"/>
  <c r="G111" i="25"/>
  <c r="H111" i="25"/>
  <c r="G112" i="25"/>
  <c r="H112" i="25"/>
  <c r="G113" i="25"/>
  <c r="H113" i="25"/>
  <c r="G114" i="25"/>
  <c r="H114" i="25"/>
  <c r="G115" i="25"/>
  <c r="H115" i="25"/>
  <c r="G116" i="25"/>
  <c r="H116" i="25"/>
  <c r="G117" i="25"/>
  <c r="H117" i="25"/>
  <c r="G118" i="25"/>
  <c r="H118" i="25"/>
  <c r="G119" i="25"/>
  <c r="H119" i="25"/>
  <c r="G120" i="25"/>
  <c r="H120" i="25"/>
  <c r="G121" i="25"/>
  <c r="H121" i="25"/>
  <c r="G122" i="25"/>
  <c r="H122" i="25"/>
  <c r="G123" i="25"/>
  <c r="H123" i="25"/>
  <c r="G124" i="25"/>
  <c r="H124" i="25"/>
  <c r="G125" i="25"/>
  <c r="H125" i="25"/>
  <c r="G126" i="25"/>
  <c r="H126" i="25"/>
  <c r="G127" i="25"/>
  <c r="H127" i="25"/>
  <c r="G128" i="25"/>
  <c r="H128" i="25"/>
  <c r="G129" i="25"/>
  <c r="H129" i="25"/>
  <c r="G130" i="25"/>
  <c r="H130" i="25"/>
  <c r="G131" i="25"/>
  <c r="H131" i="25"/>
  <c r="G132" i="25"/>
  <c r="H132" i="25"/>
  <c r="G133" i="25"/>
  <c r="H133" i="25"/>
  <c r="G134" i="25"/>
  <c r="H134" i="25"/>
  <c r="G135" i="25"/>
  <c r="H135" i="25"/>
  <c r="G136" i="25"/>
  <c r="H136" i="25"/>
  <c r="G137" i="25"/>
  <c r="H137" i="25"/>
  <c r="G138" i="25"/>
  <c r="H138" i="25"/>
  <c r="G139" i="25"/>
  <c r="H139" i="25"/>
  <c r="G140" i="25"/>
  <c r="H140" i="25"/>
  <c r="G141" i="25"/>
  <c r="H141" i="25"/>
  <c r="G142" i="25"/>
  <c r="H142" i="25"/>
  <c r="G143" i="25"/>
  <c r="H143" i="25"/>
  <c r="G144" i="25"/>
  <c r="H144" i="25"/>
  <c r="G145" i="25"/>
  <c r="H145" i="25"/>
  <c r="G146" i="25"/>
  <c r="H146" i="25"/>
  <c r="G147" i="25"/>
  <c r="H147" i="25"/>
  <c r="G148" i="25"/>
  <c r="H148" i="25"/>
  <c r="G149" i="25"/>
  <c r="H149" i="25"/>
  <c r="G150" i="25"/>
  <c r="H150" i="25"/>
  <c r="G151" i="25"/>
  <c r="H151" i="25"/>
  <c r="G152" i="25"/>
  <c r="H152" i="25"/>
  <c r="G153" i="25"/>
  <c r="H153" i="25"/>
  <c r="G154" i="25"/>
  <c r="H154" i="25"/>
  <c r="G155" i="25"/>
  <c r="H155" i="25"/>
  <c r="G156" i="25"/>
  <c r="H156" i="25"/>
  <c r="G157" i="25"/>
  <c r="H157" i="25"/>
  <c r="G158" i="25"/>
  <c r="H158" i="25"/>
  <c r="G159" i="25"/>
  <c r="H159" i="25"/>
  <c r="G160" i="25"/>
  <c r="H160" i="25"/>
  <c r="G161" i="25"/>
  <c r="H161" i="25"/>
  <c r="G162" i="25"/>
  <c r="H162" i="25"/>
  <c r="G163" i="25"/>
  <c r="H163" i="25"/>
  <c r="G164" i="25"/>
  <c r="H164" i="25"/>
  <c r="G165" i="25"/>
  <c r="H165" i="25"/>
  <c r="G166" i="25"/>
  <c r="H166" i="25"/>
  <c r="G167" i="25"/>
  <c r="H167" i="25"/>
  <c r="G168" i="25"/>
  <c r="H168" i="25"/>
  <c r="G169" i="25"/>
  <c r="H169" i="25"/>
  <c r="G170" i="25"/>
  <c r="H170" i="25"/>
  <c r="G171" i="25"/>
  <c r="H171" i="25"/>
  <c r="G172" i="25"/>
  <c r="H172" i="25"/>
  <c r="G173" i="25"/>
  <c r="H173" i="25"/>
  <c r="G174" i="25"/>
  <c r="H174" i="25"/>
  <c r="G175" i="25"/>
  <c r="H175" i="25"/>
  <c r="G176" i="25"/>
  <c r="H176" i="25"/>
  <c r="G177" i="25"/>
  <c r="H177" i="25"/>
  <c r="G178" i="25"/>
  <c r="H178" i="25"/>
  <c r="G179" i="25"/>
  <c r="H179" i="25"/>
  <c r="G180" i="25"/>
  <c r="H180" i="25"/>
  <c r="G181" i="25"/>
  <c r="H181" i="25"/>
  <c r="G182" i="25"/>
  <c r="H182" i="25"/>
  <c r="G183" i="25"/>
  <c r="H183" i="25"/>
  <c r="G184" i="25"/>
  <c r="H184" i="25"/>
  <c r="G185" i="25"/>
  <c r="H185" i="25"/>
  <c r="G186" i="25"/>
  <c r="H186" i="25"/>
  <c r="G187" i="25"/>
  <c r="H187" i="25"/>
  <c r="G188" i="25"/>
  <c r="H188" i="25"/>
  <c r="G189" i="25"/>
  <c r="H189" i="25"/>
  <c r="G190" i="25"/>
  <c r="H190" i="25"/>
  <c r="G191" i="25"/>
  <c r="H191" i="25"/>
  <c r="G192" i="25"/>
  <c r="H192" i="25"/>
  <c r="G193" i="25"/>
  <c r="H193" i="25"/>
  <c r="G194" i="25"/>
  <c r="H194" i="25"/>
  <c r="G195" i="25"/>
  <c r="H195" i="25"/>
  <c r="G196" i="25"/>
  <c r="H196" i="25"/>
  <c r="G197" i="25"/>
  <c r="H197" i="25"/>
  <c r="G198" i="25"/>
  <c r="H198" i="25"/>
  <c r="G199" i="25"/>
  <c r="H199" i="25"/>
  <c r="G200" i="25"/>
  <c r="H200" i="25"/>
  <c r="G201" i="25"/>
  <c r="H201" i="25"/>
  <c r="G202" i="25"/>
  <c r="H202" i="25"/>
  <c r="G203" i="25"/>
  <c r="H203" i="25"/>
  <c r="G204" i="25"/>
  <c r="H204" i="25"/>
  <c r="G205" i="25"/>
  <c r="H205" i="25"/>
  <c r="G206" i="25"/>
  <c r="H206" i="25"/>
  <c r="G207" i="25"/>
  <c r="H207" i="25"/>
  <c r="G208" i="25"/>
  <c r="H208" i="25"/>
  <c r="G209" i="25"/>
  <c r="H209" i="25"/>
  <c r="G210" i="25"/>
  <c r="H210" i="25"/>
  <c r="G211" i="25"/>
  <c r="H211" i="25"/>
  <c r="G212" i="25"/>
  <c r="H212" i="25"/>
  <c r="G213" i="25"/>
  <c r="H213" i="25"/>
  <c r="G214" i="25"/>
  <c r="H214" i="25"/>
  <c r="G215" i="25"/>
  <c r="H215" i="25"/>
  <c r="G216" i="25"/>
  <c r="H216" i="25"/>
  <c r="G217" i="25"/>
  <c r="H217" i="25"/>
  <c r="G218" i="25"/>
  <c r="H218" i="25"/>
  <c r="G219" i="25"/>
  <c r="H219" i="25"/>
  <c r="G220" i="25"/>
  <c r="H220" i="25"/>
  <c r="G221" i="25"/>
  <c r="H221" i="25"/>
  <c r="G222" i="25"/>
  <c r="H222" i="25"/>
  <c r="G223" i="25"/>
  <c r="H223" i="25"/>
  <c r="G224" i="25"/>
  <c r="H224" i="25"/>
  <c r="G225" i="25"/>
  <c r="H225" i="25"/>
  <c r="G226" i="25"/>
  <c r="H226" i="25"/>
  <c r="G227" i="25"/>
  <c r="H227" i="25"/>
  <c r="G228" i="25"/>
  <c r="H228" i="25"/>
  <c r="G229" i="25"/>
  <c r="H229" i="25"/>
  <c r="G230" i="25"/>
  <c r="H230" i="25"/>
  <c r="G231" i="25"/>
  <c r="H231" i="25"/>
  <c r="G232" i="25"/>
  <c r="H232" i="25"/>
  <c r="G233" i="25"/>
  <c r="H233" i="25"/>
  <c r="G234" i="25"/>
  <c r="H234" i="25"/>
  <c r="G235" i="25"/>
  <c r="H235" i="25"/>
  <c r="G236" i="25"/>
  <c r="H236" i="25"/>
  <c r="G237" i="25"/>
  <c r="H237" i="25"/>
  <c r="G238" i="25"/>
  <c r="H238" i="25"/>
  <c r="G239" i="25"/>
  <c r="H239" i="25"/>
  <c r="G240" i="25"/>
  <c r="H240" i="25"/>
  <c r="G241" i="25"/>
  <c r="H241" i="25"/>
  <c r="G242" i="25"/>
  <c r="H242" i="25"/>
  <c r="G243" i="25"/>
  <c r="H243" i="25"/>
  <c r="G244" i="25"/>
  <c r="H244" i="25"/>
  <c r="G245" i="25"/>
  <c r="H245" i="25"/>
  <c r="G246" i="25"/>
  <c r="H246" i="25"/>
  <c r="G247" i="25"/>
  <c r="H247" i="25"/>
  <c r="G248" i="25"/>
  <c r="H248" i="25"/>
  <c r="G249" i="25"/>
  <c r="H249" i="25"/>
  <c r="G250" i="25"/>
  <c r="H250" i="25"/>
  <c r="G251" i="25"/>
  <c r="H251" i="25"/>
  <c r="G252" i="25"/>
  <c r="H252" i="25"/>
  <c r="G253" i="25"/>
  <c r="H253" i="25"/>
  <c r="G254" i="25"/>
  <c r="H254" i="25"/>
  <c r="G255" i="25"/>
  <c r="H255" i="25"/>
  <c r="G256" i="25"/>
  <c r="H256" i="25"/>
  <c r="G257" i="25"/>
  <c r="H257" i="25"/>
  <c r="G258" i="25"/>
  <c r="H258" i="25"/>
  <c r="G259" i="25"/>
  <c r="H259" i="25"/>
  <c r="G260" i="25"/>
  <c r="H260" i="25"/>
  <c r="G261" i="25"/>
  <c r="H261" i="25"/>
  <c r="G262" i="25"/>
  <c r="H262" i="25"/>
  <c r="G263" i="25"/>
  <c r="H263" i="25"/>
  <c r="G264" i="25"/>
  <c r="H264" i="25"/>
  <c r="G265" i="25"/>
  <c r="H265" i="25"/>
  <c r="G266" i="25"/>
  <c r="H266" i="25"/>
  <c r="G267" i="25"/>
  <c r="H267" i="25"/>
  <c r="G268" i="25"/>
  <c r="H268" i="25"/>
  <c r="G269" i="25"/>
  <c r="H269" i="25"/>
  <c r="G270" i="25"/>
  <c r="H270" i="25"/>
  <c r="G271" i="25"/>
  <c r="H271" i="25"/>
  <c r="G272" i="25"/>
  <c r="H272" i="25"/>
  <c r="G273" i="25"/>
  <c r="H273" i="25"/>
  <c r="G274" i="25"/>
  <c r="H274" i="25"/>
  <c r="G275" i="25"/>
  <c r="H275" i="25"/>
  <c r="G276" i="25"/>
  <c r="H276" i="25"/>
  <c r="G277" i="25"/>
  <c r="H277" i="25"/>
  <c r="G278" i="25"/>
  <c r="H278" i="25"/>
  <c r="G279" i="25"/>
  <c r="H279" i="25"/>
  <c r="G280" i="25"/>
  <c r="H280" i="25"/>
  <c r="G281" i="25"/>
  <c r="H281" i="25"/>
  <c r="G282" i="25"/>
  <c r="H282" i="25"/>
  <c r="G283" i="25"/>
  <c r="H283" i="25"/>
  <c r="G284" i="25"/>
  <c r="H284" i="25"/>
  <c r="G285" i="25"/>
  <c r="H285" i="25"/>
  <c r="G286" i="25"/>
  <c r="H286" i="25"/>
  <c r="G287" i="25"/>
  <c r="H287" i="25"/>
  <c r="G288" i="25"/>
  <c r="H288" i="25"/>
  <c r="G289" i="25"/>
  <c r="H289" i="25"/>
  <c r="G290" i="25"/>
  <c r="H290" i="25"/>
  <c r="G291" i="25"/>
  <c r="H291" i="25"/>
  <c r="G292" i="25"/>
  <c r="H292" i="25"/>
  <c r="G293" i="25"/>
  <c r="H293" i="25"/>
  <c r="G294" i="25"/>
  <c r="H294" i="25"/>
  <c r="G295" i="25"/>
  <c r="H295" i="25"/>
  <c r="G296" i="25"/>
  <c r="H296" i="25"/>
  <c r="G297" i="25"/>
  <c r="H297" i="25"/>
  <c r="G298" i="25"/>
  <c r="H298" i="25"/>
  <c r="G299" i="25"/>
  <c r="H299" i="25"/>
  <c r="G300" i="25"/>
  <c r="H300" i="25"/>
  <c r="G301" i="25"/>
  <c r="H301" i="25"/>
  <c r="G302" i="25"/>
  <c r="H302" i="25"/>
  <c r="G303" i="25"/>
  <c r="H303" i="25"/>
  <c r="G304" i="25"/>
  <c r="H304" i="25"/>
  <c r="G305" i="25"/>
  <c r="H305" i="25"/>
  <c r="G306" i="25"/>
  <c r="H306" i="25"/>
  <c r="G307" i="25"/>
  <c r="H307" i="25"/>
  <c r="G308" i="25"/>
  <c r="H308" i="25"/>
  <c r="G309" i="25"/>
  <c r="H309" i="25"/>
  <c r="G310" i="25"/>
  <c r="H310" i="25"/>
  <c r="G311" i="25"/>
  <c r="H311" i="25"/>
  <c r="G312" i="25"/>
  <c r="H312" i="25"/>
  <c r="G313" i="25"/>
  <c r="H313" i="25"/>
  <c r="G314" i="25"/>
  <c r="H314" i="25"/>
  <c r="G315" i="25"/>
  <c r="H315" i="25"/>
  <c r="G316" i="25"/>
  <c r="H316" i="25"/>
  <c r="G317" i="25"/>
  <c r="H317" i="25"/>
  <c r="G318" i="25"/>
  <c r="H318" i="25"/>
  <c r="G319" i="25"/>
  <c r="H319" i="25"/>
  <c r="G320" i="25"/>
  <c r="H320" i="25"/>
  <c r="G321" i="25"/>
  <c r="H321" i="25"/>
  <c r="G322" i="25"/>
  <c r="H322" i="25"/>
  <c r="G323" i="25"/>
  <c r="H323" i="25"/>
  <c r="G324" i="25"/>
  <c r="H324" i="25"/>
  <c r="G325" i="25"/>
  <c r="H325" i="25"/>
  <c r="G326" i="25"/>
  <c r="H326" i="25"/>
  <c r="G327" i="25"/>
  <c r="H327" i="25"/>
  <c r="G328" i="25"/>
  <c r="H328" i="25"/>
  <c r="G329" i="25"/>
  <c r="H329" i="25"/>
  <c r="G330" i="25"/>
  <c r="H330" i="25"/>
  <c r="G331" i="25"/>
  <c r="H331" i="25"/>
  <c r="G332" i="25"/>
  <c r="H332" i="25"/>
  <c r="G333" i="25"/>
  <c r="H333" i="25"/>
  <c r="G334" i="25"/>
  <c r="H334" i="25"/>
  <c r="G335" i="25"/>
  <c r="H335" i="25"/>
  <c r="G336" i="25"/>
  <c r="H336" i="25"/>
  <c r="G337" i="25"/>
  <c r="H337" i="25"/>
  <c r="G338" i="25"/>
  <c r="H338" i="25"/>
  <c r="G339" i="25"/>
  <c r="H339" i="25"/>
  <c r="G340" i="25"/>
  <c r="H340" i="25"/>
  <c r="G341" i="25"/>
  <c r="H341" i="25"/>
  <c r="G342" i="25"/>
  <c r="H342" i="25"/>
  <c r="G343" i="25"/>
  <c r="H343" i="25"/>
  <c r="G344" i="25"/>
  <c r="H344" i="25"/>
  <c r="G345" i="25"/>
  <c r="H345" i="25"/>
  <c r="G346" i="25"/>
  <c r="H346" i="25"/>
  <c r="G347" i="25"/>
  <c r="H347" i="25"/>
  <c r="G348" i="25"/>
  <c r="H348" i="25"/>
  <c r="G349" i="25"/>
  <c r="H349" i="25"/>
  <c r="G350" i="25"/>
  <c r="H350" i="25"/>
  <c r="G351" i="25"/>
  <c r="H351" i="25"/>
  <c r="G352" i="25"/>
  <c r="H352" i="25"/>
  <c r="G353" i="25"/>
  <c r="H353" i="25"/>
  <c r="G354" i="25"/>
  <c r="H354" i="25"/>
  <c r="G355" i="25"/>
  <c r="H355" i="25"/>
  <c r="G356" i="25"/>
  <c r="H356" i="25"/>
  <c r="G357" i="25"/>
  <c r="H357" i="25"/>
  <c r="G358" i="25"/>
  <c r="H358" i="25"/>
  <c r="G359" i="25"/>
  <c r="H359" i="25"/>
  <c r="G360" i="25"/>
  <c r="H360" i="25"/>
  <c r="G361" i="25"/>
  <c r="H361" i="25"/>
  <c r="G362" i="25"/>
  <c r="H362" i="25"/>
  <c r="G363" i="25"/>
  <c r="H363" i="25"/>
  <c r="G364" i="25"/>
  <c r="H364" i="25"/>
  <c r="G365" i="25"/>
  <c r="H365" i="25"/>
  <c r="G366" i="25"/>
  <c r="H366" i="25"/>
  <c r="G367" i="25"/>
  <c r="H367" i="25"/>
  <c r="G368" i="25"/>
  <c r="H368" i="25"/>
  <c r="G369" i="25"/>
  <c r="H369" i="25"/>
  <c r="G370" i="25"/>
  <c r="H370" i="25"/>
  <c r="G371" i="25"/>
  <c r="H371" i="25"/>
  <c r="G372" i="25"/>
  <c r="H372" i="25"/>
  <c r="G373" i="25"/>
  <c r="H373" i="25"/>
  <c r="G374" i="25"/>
  <c r="H374" i="25"/>
  <c r="G375" i="25"/>
  <c r="H375" i="25"/>
  <c r="G376" i="25"/>
  <c r="H376" i="25"/>
  <c r="G377" i="25"/>
  <c r="H377" i="25"/>
  <c r="G378" i="25"/>
  <c r="H378" i="25"/>
  <c r="G379" i="25"/>
  <c r="H379" i="25"/>
  <c r="G380" i="25"/>
  <c r="H380" i="25"/>
  <c r="G381" i="25"/>
  <c r="H381" i="25"/>
  <c r="G382" i="25"/>
  <c r="H382" i="25"/>
  <c r="G383" i="25"/>
  <c r="H383" i="25"/>
  <c r="G384" i="25"/>
  <c r="H384" i="25"/>
  <c r="G385" i="25"/>
  <c r="H385" i="25"/>
  <c r="G386" i="25"/>
  <c r="H386" i="25"/>
  <c r="G387" i="25"/>
  <c r="H387" i="25"/>
  <c r="G388" i="25"/>
  <c r="H388" i="25"/>
  <c r="G389" i="25"/>
  <c r="H389" i="25"/>
  <c r="G390" i="25"/>
  <c r="H390" i="25"/>
  <c r="G391" i="25"/>
  <c r="H391" i="25"/>
  <c r="G392" i="25"/>
  <c r="H392" i="25"/>
  <c r="G393" i="25"/>
  <c r="H393" i="25"/>
  <c r="G394" i="25"/>
  <c r="H394" i="25"/>
  <c r="G395" i="25"/>
  <c r="H395" i="25"/>
  <c r="G396" i="25"/>
  <c r="H396" i="25"/>
  <c r="G397" i="25"/>
  <c r="H397" i="25"/>
  <c r="G398" i="25"/>
  <c r="H398" i="25"/>
  <c r="G399" i="25"/>
  <c r="H399" i="25"/>
  <c r="G400" i="25"/>
  <c r="H400" i="25"/>
  <c r="G401" i="25"/>
  <c r="H401" i="25"/>
  <c r="G402" i="25"/>
  <c r="H402" i="25"/>
  <c r="G403" i="25"/>
  <c r="H403" i="25"/>
  <c r="G404" i="25"/>
  <c r="H404" i="25"/>
  <c r="G405" i="25"/>
  <c r="H405" i="25"/>
  <c r="G406" i="25"/>
  <c r="H406" i="25"/>
  <c r="G407" i="25"/>
  <c r="H407" i="25"/>
  <c r="G408" i="25"/>
  <c r="H408" i="25"/>
  <c r="G409" i="25"/>
  <c r="H409" i="25"/>
  <c r="G410" i="25"/>
  <c r="H410" i="25"/>
  <c r="G411" i="25"/>
  <c r="H411" i="25"/>
  <c r="G412" i="25"/>
  <c r="H412" i="25"/>
  <c r="G413" i="25"/>
  <c r="H413" i="25"/>
  <c r="G414" i="25"/>
  <c r="H414" i="25"/>
  <c r="G415" i="25"/>
  <c r="H415" i="25"/>
  <c r="G416" i="25"/>
  <c r="H416" i="25"/>
  <c r="G417" i="25"/>
  <c r="H417" i="25"/>
  <c r="G418" i="25"/>
  <c r="H418" i="25"/>
  <c r="G419" i="25"/>
  <c r="H419" i="25"/>
  <c r="G420" i="25"/>
  <c r="H420" i="25"/>
  <c r="G421" i="25"/>
  <c r="H421" i="25"/>
  <c r="G422" i="25"/>
  <c r="H422" i="25"/>
  <c r="G423" i="25"/>
  <c r="H423" i="25"/>
  <c r="G424" i="25"/>
  <c r="H424" i="25"/>
  <c r="G425" i="25"/>
  <c r="H425" i="25"/>
  <c r="G426" i="25"/>
  <c r="H426" i="25"/>
  <c r="G427" i="25"/>
  <c r="H427" i="25"/>
  <c r="G428" i="25"/>
  <c r="H428" i="25"/>
  <c r="G429" i="25"/>
  <c r="H429" i="25"/>
  <c r="G430" i="25"/>
  <c r="H430" i="25"/>
  <c r="G431" i="25"/>
  <c r="H431" i="25"/>
  <c r="G432" i="25"/>
  <c r="H432" i="25"/>
  <c r="G433" i="25"/>
  <c r="H433" i="25"/>
  <c r="G434" i="25"/>
  <c r="H434" i="25"/>
  <c r="G435" i="25"/>
  <c r="H435" i="25"/>
  <c r="G436" i="25"/>
  <c r="H436" i="25"/>
  <c r="G437" i="25"/>
  <c r="H437" i="25"/>
  <c r="G438" i="25"/>
  <c r="H438" i="25"/>
  <c r="G439" i="25"/>
  <c r="H439" i="25"/>
  <c r="G440" i="25"/>
  <c r="H440" i="25"/>
  <c r="G441" i="25"/>
  <c r="H441" i="25"/>
  <c r="G442" i="25"/>
  <c r="H442" i="25"/>
  <c r="G443" i="25"/>
  <c r="H443" i="25"/>
  <c r="G444" i="25"/>
  <c r="H444" i="25"/>
  <c r="G445" i="25"/>
  <c r="H445" i="25"/>
  <c r="G446" i="25"/>
  <c r="H446" i="25"/>
  <c r="G447" i="25"/>
  <c r="H447" i="25"/>
  <c r="G448" i="25"/>
  <c r="H448" i="25"/>
  <c r="G449" i="25"/>
  <c r="H449" i="25"/>
  <c r="G450" i="25"/>
  <c r="H450" i="25"/>
  <c r="G451" i="25"/>
  <c r="H451" i="25"/>
  <c r="G452" i="25"/>
  <c r="H452" i="25"/>
  <c r="G453" i="25"/>
  <c r="H453" i="25"/>
  <c r="G454" i="25"/>
  <c r="H454" i="25"/>
  <c r="G455" i="25"/>
  <c r="H455" i="25"/>
  <c r="G456" i="25"/>
  <c r="H456" i="25"/>
  <c r="G457" i="25"/>
  <c r="H457" i="25"/>
  <c r="G458" i="25"/>
  <c r="H458" i="25"/>
  <c r="G459" i="25"/>
  <c r="H459" i="25"/>
  <c r="G460" i="25"/>
  <c r="H460" i="25"/>
  <c r="G461" i="25"/>
  <c r="H461" i="25"/>
  <c r="G462" i="25"/>
  <c r="H462" i="25"/>
  <c r="G463" i="25"/>
  <c r="H463" i="25"/>
  <c r="G464" i="25"/>
  <c r="H464" i="25"/>
  <c r="G465" i="25"/>
  <c r="H465" i="25"/>
  <c r="G466" i="25"/>
  <c r="H466" i="25"/>
  <c r="G467" i="25"/>
  <c r="H467" i="25"/>
  <c r="G468" i="25"/>
  <c r="H468" i="25"/>
  <c r="G469" i="25"/>
  <c r="H469" i="25"/>
  <c r="G470" i="25"/>
  <c r="H470" i="25"/>
  <c r="G471" i="25"/>
  <c r="H471" i="25"/>
  <c r="G472" i="25"/>
  <c r="H472" i="25"/>
  <c r="G473" i="25"/>
  <c r="H473" i="25"/>
  <c r="G474" i="25"/>
  <c r="H474" i="25"/>
  <c r="G475" i="25"/>
  <c r="H475" i="25"/>
  <c r="G476" i="25"/>
  <c r="H476" i="25"/>
  <c r="G477" i="25"/>
  <c r="H477" i="25"/>
  <c r="G478" i="25"/>
  <c r="H478" i="25"/>
  <c r="G479" i="25"/>
  <c r="H479" i="25"/>
  <c r="G480" i="25"/>
  <c r="H480" i="25"/>
  <c r="G481" i="25"/>
  <c r="H481" i="25"/>
  <c r="G482" i="25"/>
  <c r="H482" i="25"/>
  <c r="G483" i="25"/>
  <c r="H483" i="25"/>
  <c r="G484" i="25"/>
  <c r="H484" i="25"/>
  <c r="G485" i="25"/>
  <c r="H485" i="25"/>
  <c r="G486" i="25"/>
  <c r="H486" i="25"/>
  <c r="G487" i="25"/>
  <c r="H487" i="25"/>
  <c r="G488" i="25"/>
  <c r="H488" i="25"/>
  <c r="G489" i="25"/>
  <c r="H489" i="25"/>
  <c r="G490" i="25"/>
  <c r="H490" i="25"/>
  <c r="G491" i="25"/>
  <c r="H491" i="25"/>
  <c r="G492" i="25"/>
  <c r="H492" i="25"/>
  <c r="G493" i="25"/>
  <c r="H493" i="25"/>
  <c r="G494" i="25"/>
  <c r="H494" i="25"/>
  <c r="G495" i="25"/>
  <c r="H495" i="25"/>
  <c r="G496" i="25"/>
  <c r="H496" i="25"/>
  <c r="G497" i="25"/>
  <c r="H497" i="25"/>
  <c r="G498" i="25"/>
  <c r="H498" i="25"/>
  <c r="G499" i="25"/>
  <c r="H499" i="25"/>
  <c r="G500" i="25"/>
  <c r="H500" i="25"/>
  <c r="G501" i="25"/>
  <c r="H501" i="25"/>
  <c r="G502" i="25"/>
  <c r="H502" i="25"/>
  <c r="G503" i="25"/>
  <c r="H503" i="25"/>
  <c r="G504" i="25"/>
  <c r="H504" i="25"/>
  <c r="G505" i="25"/>
  <c r="H505" i="25"/>
  <c r="G506" i="25"/>
  <c r="H506" i="25"/>
  <c r="G507" i="25"/>
  <c r="H507" i="25"/>
  <c r="G508" i="25"/>
  <c r="H508" i="25"/>
  <c r="G509" i="25"/>
  <c r="H509" i="25"/>
  <c r="G510" i="25"/>
  <c r="H510" i="25"/>
  <c r="G511" i="25"/>
  <c r="H511" i="25"/>
  <c r="G512" i="25"/>
  <c r="H512" i="25"/>
  <c r="G513" i="25"/>
  <c r="H513" i="25"/>
  <c r="G514" i="25"/>
  <c r="H514" i="25"/>
  <c r="G515" i="25"/>
  <c r="H515" i="25"/>
  <c r="G516" i="25"/>
  <c r="H516" i="25"/>
  <c r="G517" i="25"/>
  <c r="H517" i="25"/>
  <c r="G518" i="25"/>
  <c r="H518" i="25"/>
  <c r="G519" i="25"/>
  <c r="H519" i="25"/>
  <c r="G520" i="25"/>
  <c r="H520" i="25"/>
  <c r="G521" i="25"/>
  <c r="H521" i="25"/>
  <c r="G522" i="25"/>
  <c r="H522" i="25"/>
  <c r="G523" i="25"/>
  <c r="H523" i="25"/>
  <c r="G524" i="25"/>
  <c r="H524" i="25"/>
  <c r="G525" i="25"/>
  <c r="H525" i="25"/>
  <c r="G526" i="25"/>
  <c r="H526" i="25"/>
  <c r="G527" i="25"/>
  <c r="H527" i="25"/>
  <c r="G528" i="25"/>
  <c r="H528" i="25"/>
  <c r="G529" i="25"/>
  <c r="H529" i="25"/>
  <c r="G530" i="25"/>
  <c r="H530" i="25"/>
  <c r="G531" i="25"/>
  <c r="H531" i="25"/>
  <c r="G532" i="25"/>
  <c r="H532" i="25"/>
  <c r="G533" i="25"/>
  <c r="H533" i="25"/>
  <c r="G534" i="25"/>
  <c r="H534" i="25"/>
  <c r="G535" i="25"/>
  <c r="H535" i="25"/>
  <c r="G536" i="25"/>
  <c r="H536" i="25"/>
  <c r="G537" i="25"/>
  <c r="H537" i="25"/>
  <c r="G538" i="25"/>
  <c r="H538" i="25"/>
  <c r="G539" i="25"/>
  <c r="H539" i="25"/>
  <c r="G540" i="25"/>
  <c r="H540" i="25"/>
  <c r="G541" i="25"/>
  <c r="H541" i="25"/>
  <c r="G542" i="25"/>
  <c r="H542" i="25"/>
  <c r="G543" i="25"/>
  <c r="H543" i="25"/>
  <c r="G544" i="25"/>
  <c r="H544" i="25"/>
  <c r="G545" i="25"/>
  <c r="H545" i="25"/>
  <c r="G546" i="25"/>
  <c r="H546" i="25"/>
  <c r="G547" i="25"/>
  <c r="H547" i="25"/>
  <c r="G548" i="25"/>
  <c r="H548" i="25"/>
  <c r="G549" i="25"/>
  <c r="H549" i="25"/>
  <c r="G550" i="25"/>
  <c r="H550" i="25"/>
  <c r="G551" i="25"/>
  <c r="H551" i="25"/>
  <c r="G552" i="25"/>
  <c r="H552" i="25"/>
  <c r="G553" i="25"/>
  <c r="H553" i="25"/>
  <c r="G554" i="25"/>
  <c r="H554" i="25"/>
  <c r="G555" i="25"/>
  <c r="H555" i="25"/>
  <c r="G556" i="25"/>
  <c r="H556" i="25"/>
  <c r="G557" i="25"/>
  <c r="H557" i="25"/>
  <c r="G558" i="25"/>
  <c r="H558" i="25"/>
  <c r="G559" i="25"/>
  <c r="H559" i="25"/>
  <c r="G560" i="25"/>
  <c r="H560" i="25"/>
  <c r="G561" i="25"/>
  <c r="H561" i="25"/>
  <c r="G562" i="25"/>
  <c r="H562" i="25"/>
  <c r="G563" i="25"/>
  <c r="H563" i="25"/>
  <c r="G564" i="25"/>
  <c r="H564" i="25"/>
  <c r="G565" i="25"/>
  <c r="H565" i="25"/>
  <c r="G566" i="25"/>
  <c r="H566" i="25"/>
  <c r="G567" i="25"/>
  <c r="H567" i="25"/>
  <c r="G568" i="25"/>
  <c r="H568" i="25"/>
  <c r="G569" i="25"/>
  <c r="H569" i="25"/>
  <c r="G570" i="25"/>
  <c r="H570" i="25"/>
  <c r="G571" i="25"/>
  <c r="H571" i="25"/>
  <c r="G572" i="25"/>
  <c r="H572" i="25"/>
  <c r="G573" i="25"/>
  <c r="H573" i="25"/>
  <c r="G574" i="25"/>
  <c r="H574" i="25"/>
  <c r="G575" i="25"/>
  <c r="H575" i="25"/>
  <c r="G576" i="25"/>
  <c r="H576" i="25"/>
  <c r="G577" i="25"/>
  <c r="H577" i="25"/>
  <c r="G578" i="25"/>
  <c r="H578" i="25"/>
  <c r="G579" i="25"/>
  <c r="H579" i="25"/>
  <c r="G580" i="25"/>
  <c r="H580" i="25"/>
  <c r="G581" i="25"/>
  <c r="H581" i="25"/>
  <c r="G582" i="25"/>
  <c r="H582" i="25"/>
  <c r="G583" i="25"/>
  <c r="H583" i="25"/>
  <c r="G584" i="25"/>
  <c r="H584" i="25"/>
  <c r="G585" i="25"/>
  <c r="H585" i="25"/>
  <c r="G586" i="25"/>
  <c r="H586" i="25"/>
  <c r="G587" i="25"/>
  <c r="H587" i="25"/>
  <c r="G588" i="25"/>
  <c r="H588" i="25"/>
  <c r="G589" i="25"/>
  <c r="H589" i="25"/>
  <c r="G590" i="25"/>
  <c r="H590" i="25"/>
  <c r="G591" i="25"/>
  <c r="H591" i="25"/>
  <c r="G592" i="25"/>
  <c r="H592" i="25"/>
  <c r="G593" i="25"/>
  <c r="H593" i="25"/>
  <c r="G594" i="25"/>
  <c r="H594" i="25"/>
  <c r="G595" i="25"/>
  <c r="H595" i="25"/>
  <c r="G596" i="25"/>
  <c r="H596" i="25"/>
  <c r="G597" i="25"/>
  <c r="H597" i="25"/>
  <c r="G598" i="25"/>
  <c r="H598" i="25"/>
  <c r="G599" i="25"/>
  <c r="H599" i="25"/>
  <c r="G600" i="25"/>
  <c r="H600" i="25"/>
  <c r="G601" i="25"/>
  <c r="H601" i="25"/>
  <c r="G602" i="25"/>
  <c r="H602" i="25"/>
  <c r="G603" i="25"/>
  <c r="H603" i="25"/>
  <c r="G604" i="25"/>
  <c r="H604" i="25"/>
  <c r="G605" i="25"/>
  <c r="H605" i="25"/>
  <c r="G606" i="25"/>
  <c r="H606" i="25"/>
  <c r="G607" i="25"/>
  <c r="H607" i="25"/>
  <c r="G608" i="25"/>
  <c r="H608" i="25"/>
  <c r="G609" i="25"/>
  <c r="H609" i="25"/>
  <c r="G610" i="25"/>
  <c r="H610" i="25"/>
  <c r="G611" i="25"/>
  <c r="H611" i="25"/>
  <c r="G612" i="25"/>
  <c r="H612" i="25"/>
  <c r="G613" i="25"/>
  <c r="H613" i="25"/>
  <c r="G614" i="25"/>
  <c r="H614" i="25"/>
  <c r="G615" i="25"/>
  <c r="H615" i="25"/>
  <c r="G616" i="25"/>
  <c r="H616" i="25"/>
  <c r="G617" i="25"/>
  <c r="H617" i="25"/>
  <c r="G618" i="25"/>
  <c r="H618" i="25"/>
  <c r="G619" i="25"/>
  <c r="H619" i="25"/>
  <c r="G620" i="25"/>
  <c r="H620" i="25"/>
  <c r="G621" i="25"/>
  <c r="H621" i="25"/>
  <c r="G622" i="25"/>
  <c r="H622" i="25"/>
  <c r="G623" i="25"/>
  <c r="H623" i="25"/>
  <c r="G624" i="25"/>
  <c r="H624" i="25"/>
  <c r="G625" i="25"/>
  <c r="H625" i="25"/>
  <c r="G626" i="25"/>
  <c r="H626" i="25"/>
  <c r="G627" i="25"/>
  <c r="H627" i="25"/>
  <c r="G628" i="25"/>
  <c r="H628" i="25"/>
  <c r="G629" i="25"/>
  <c r="H629" i="25"/>
  <c r="G630" i="25"/>
  <c r="H630" i="25"/>
  <c r="G631" i="25"/>
  <c r="H631" i="25"/>
  <c r="G632" i="25"/>
  <c r="H632" i="25"/>
  <c r="G633" i="25"/>
  <c r="H633" i="25"/>
  <c r="G634" i="25"/>
  <c r="H634" i="25"/>
  <c r="G635" i="25"/>
  <c r="H635" i="25"/>
  <c r="G636" i="25"/>
  <c r="H636" i="25"/>
  <c r="G637" i="25"/>
  <c r="H637" i="25"/>
  <c r="G638" i="25"/>
  <c r="H638" i="25"/>
  <c r="G639" i="25"/>
  <c r="H639" i="25"/>
  <c r="G640" i="25"/>
  <c r="H640" i="25"/>
  <c r="G641" i="25"/>
  <c r="H641" i="25"/>
  <c r="G642" i="25"/>
  <c r="H642" i="25"/>
  <c r="G643" i="25"/>
  <c r="H643" i="25"/>
  <c r="G644" i="25"/>
  <c r="H644" i="25"/>
  <c r="G645" i="25"/>
  <c r="H645" i="25"/>
  <c r="G646" i="25"/>
  <c r="H646" i="25"/>
  <c r="G647" i="25"/>
  <c r="H647" i="25"/>
  <c r="G648" i="25"/>
  <c r="H648" i="25"/>
  <c r="G649" i="25"/>
  <c r="H649" i="25"/>
  <c r="G650" i="25"/>
  <c r="H650" i="25"/>
  <c r="G651" i="25"/>
  <c r="H651" i="25"/>
  <c r="G652" i="25"/>
  <c r="H652" i="25"/>
  <c r="G653" i="25"/>
  <c r="H653" i="25"/>
  <c r="G654" i="25"/>
  <c r="H654" i="25"/>
  <c r="G655" i="25"/>
  <c r="H655" i="25"/>
  <c r="G656" i="25"/>
  <c r="H656" i="25"/>
  <c r="G657" i="25"/>
  <c r="H657" i="25"/>
  <c r="G658" i="25"/>
  <c r="H658" i="25"/>
  <c r="G659" i="25"/>
  <c r="H659" i="25"/>
  <c r="G660" i="25"/>
  <c r="H660" i="25"/>
  <c r="G661" i="25"/>
  <c r="H661" i="25"/>
  <c r="G662" i="25"/>
  <c r="H662" i="25"/>
  <c r="G663" i="25"/>
  <c r="H663" i="25"/>
  <c r="G664" i="25"/>
  <c r="H664" i="25"/>
  <c r="G665" i="25"/>
  <c r="H665" i="25"/>
  <c r="G666" i="25"/>
  <c r="H666" i="25"/>
  <c r="G667" i="25"/>
  <c r="H667" i="25"/>
  <c r="G668" i="25"/>
  <c r="H668" i="25"/>
  <c r="G669" i="25"/>
  <c r="H669" i="25"/>
  <c r="G670" i="25"/>
  <c r="H670" i="25"/>
  <c r="G671" i="25"/>
  <c r="H671" i="25"/>
  <c r="G672" i="25"/>
  <c r="H672" i="25"/>
  <c r="G673" i="25"/>
  <c r="H673" i="25"/>
  <c r="G674" i="25"/>
  <c r="H674" i="25"/>
  <c r="G675" i="25"/>
  <c r="H675" i="25"/>
  <c r="G676" i="25"/>
  <c r="H676" i="25"/>
  <c r="G677" i="25"/>
  <c r="H677" i="25"/>
  <c r="G678" i="25"/>
  <c r="H678" i="25"/>
  <c r="G679" i="25"/>
  <c r="H679" i="25"/>
  <c r="G680" i="25"/>
  <c r="H680" i="25"/>
  <c r="G681" i="25"/>
  <c r="H681" i="25"/>
  <c r="G682" i="25"/>
  <c r="H682" i="25"/>
  <c r="G683" i="25"/>
  <c r="H683" i="25"/>
  <c r="G684" i="25"/>
  <c r="H684" i="25"/>
  <c r="G685" i="25"/>
  <c r="H685" i="25"/>
  <c r="G686" i="25"/>
  <c r="H686" i="25"/>
  <c r="G687" i="25"/>
  <c r="H687" i="25"/>
  <c r="G688" i="25"/>
  <c r="H688" i="25"/>
  <c r="G689" i="25"/>
  <c r="H689" i="25"/>
  <c r="G690" i="25"/>
  <c r="H690" i="25"/>
  <c r="G691" i="25"/>
  <c r="H691" i="25"/>
  <c r="G692" i="25"/>
  <c r="H692" i="25"/>
  <c r="G693" i="25"/>
  <c r="H693" i="25"/>
  <c r="G694" i="25"/>
  <c r="H694" i="25"/>
  <c r="G695" i="25"/>
  <c r="H695" i="25"/>
  <c r="G696" i="25"/>
  <c r="H696" i="25"/>
  <c r="G697" i="25"/>
  <c r="H697" i="25"/>
  <c r="G698" i="25"/>
  <c r="H698" i="25"/>
  <c r="G699" i="25"/>
  <c r="H699" i="25"/>
  <c r="G700" i="25"/>
  <c r="H700" i="25"/>
  <c r="G701" i="25"/>
  <c r="H701" i="25"/>
  <c r="G702" i="25"/>
  <c r="H702" i="25"/>
  <c r="G703" i="25"/>
  <c r="H703" i="25"/>
  <c r="G704" i="25"/>
  <c r="H704" i="25"/>
  <c r="G705" i="25"/>
  <c r="H705" i="25"/>
  <c r="G706" i="25"/>
  <c r="H706" i="25"/>
  <c r="G707" i="25"/>
  <c r="H707" i="25"/>
  <c r="G708" i="25"/>
  <c r="H708" i="25"/>
  <c r="G709" i="25"/>
  <c r="H709" i="25"/>
  <c r="G710" i="25"/>
  <c r="H710" i="25"/>
  <c r="G711" i="25"/>
  <c r="H711" i="25"/>
  <c r="G712" i="25"/>
  <c r="H712" i="25"/>
  <c r="G713" i="25"/>
  <c r="H713" i="25"/>
  <c r="G714" i="25"/>
  <c r="H714" i="25"/>
  <c r="G715" i="25"/>
  <c r="H715" i="25"/>
  <c r="G716" i="25"/>
  <c r="H716" i="25"/>
  <c r="G717" i="25"/>
  <c r="H717" i="25"/>
  <c r="G718" i="25"/>
  <c r="H718" i="25"/>
  <c r="G719" i="25"/>
  <c r="H719" i="25"/>
  <c r="G720" i="25"/>
  <c r="H720" i="25"/>
  <c r="G721" i="25"/>
  <c r="H721" i="25"/>
  <c r="G722" i="25"/>
  <c r="H722" i="25"/>
  <c r="G723" i="25"/>
  <c r="H723" i="25"/>
  <c r="G724" i="25"/>
  <c r="H724" i="25"/>
  <c r="G725" i="25"/>
  <c r="H725" i="25"/>
  <c r="G726" i="25"/>
  <c r="H726" i="25"/>
  <c r="G727" i="25"/>
  <c r="H727" i="25"/>
  <c r="G728" i="25"/>
  <c r="H728" i="25"/>
  <c r="G729" i="25"/>
  <c r="H729" i="25"/>
  <c r="G730" i="25"/>
  <c r="H730" i="25"/>
  <c r="G731" i="25"/>
  <c r="H731" i="25"/>
  <c r="G732" i="25"/>
  <c r="H732" i="25"/>
  <c r="G733" i="25"/>
  <c r="H733" i="25"/>
  <c r="G734" i="25"/>
  <c r="H734" i="25"/>
  <c r="G735" i="25"/>
  <c r="H735" i="25"/>
  <c r="G736" i="25"/>
  <c r="H736" i="25"/>
  <c r="G737" i="25"/>
  <c r="H737" i="25"/>
  <c r="G738" i="25"/>
  <c r="H738" i="25"/>
  <c r="G739" i="25"/>
  <c r="H739" i="25"/>
  <c r="G740" i="25"/>
  <c r="H740" i="25"/>
  <c r="G741" i="25"/>
  <c r="H741" i="25"/>
  <c r="G742" i="25"/>
  <c r="H742" i="25"/>
  <c r="H3" i="24" l="1"/>
  <c r="I3" i="24"/>
  <c r="H4" i="24"/>
  <c r="I4" i="24"/>
  <c r="B5" i="24"/>
  <c r="C5" i="24"/>
  <c r="C10" i="24" s="1"/>
  <c r="D5" i="24"/>
  <c r="E5" i="24"/>
  <c r="E10" i="24" s="1"/>
  <c r="F5" i="24"/>
  <c r="G5" i="24"/>
  <c r="I10" i="24" s="1"/>
  <c r="B6" i="24"/>
  <c r="C6" i="24" s="1"/>
  <c r="D6" i="24" s="1"/>
  <c r="C9" i="24"/>
  <c r="D9" i="24"/>
  <c r="E9" i="24"/>
  <c r="F9" i="24"/>
  <c r="G9" i="24"/>
  <c r="H9" i="24"/>
  <c r="I9" i="24"/>
  <c r="F10" i="24"/>
  <c r="C8" i="24"/>
  <c r="D8" i="24"/>
  <c r="E8" i="24"/>
  <c r="F8" i="24"/>
  <c r="G8" i="24"/>
  <c r="H8" i="24"/>
  <c r="I8" i="24"/>
  <c r="D2" i="22"/>
  <c r="E2" i="22"/>
  <c r="D3" i="22"/>
  <c r="E3" i="22"/>
  <c r="D4" i="22"/>
  <c r="E4" i="22"/>
  <c r="D5" i="22"/>
  <c r="E5" i="22"/>
  <c r="D6" i="22"/>
  <c r="E6" i="22"/>
  <c r="D7" i="22"/>
  <c r="E7" i="22"/>
  <c r="D8" i="22"/>
  <c r="E8" i="22"/>
  <c r="D9" i="22"/>
  <c r="E9" i="22"/>
  <c r="D10" i="22"/>
  <c r="E10" i="22"/>
  <c r="D11" i="22"/>
  <c r="E11" i="22"/>
  <c r="D12" i="22"/>
  <c r="E12" i="22"/>
  <c r="D13" i="22"/>
  <c r="E13" i="22"/>
  <c r="D14" i="22"/>
  <c r="E14" i="22"/>
  <c r="D15" i="22"/>
  <c r="E15" i="22"/>
  <c r="D16" i="22"/>
  <c r="E16" i="22"/>
  <c r="D17" i="22"/>
  <c r="E17" i="22"/>
  <c r="D18" i="22"/>
  <c r="E18" i="22"/>
  <c r="D19" i="22"/>
  <c r="E19" i="22"/>
  <c r="D20" i="22"/>
  <c r="E20" i="22"/>
  <c r="D21" i="22"/>
  <c r="E21" i="22"/>
  <c r="D22" i="22"/>
  <c r="E22" i="22"/>
  <c r="D23" i="22"/>
  <c r="E23" i="22"/>
  <c r="D24" i="22"/>
  <c r="E24" i="22"/>
  <c r="D25" i="22"/>
  <c r="E25" i="22"/>
  <c r="D26" i="22"/>
  <c r="E26" i="22"/>
  <c r="D27" i="22"/>
  <c r="E27" i="22"/>
  <c r="D28" i="22"/>
  <c r="E28" i="22"/>
  <c r="D29" i="22"/>
  <c r="E29" i="22"/>
  <c r="D30" i="22"/>
  <c r="E30" i="22"/>
  <c r="D31" i="22"/>
  <c r="E31" i="22"/>
  <c r="D32" i="22"/>
  <c r="E32" i="22"/>
  <c r="D33" i="22"/>
  <c r="E33" i="22"/>
  <c r="D34" i="22"/>
  <c r="E34" i="22"/>
  <c r="D35" i="22"/>
  <c r="E35" i="22"/>
  <c r="D36" i="22"/>
  <c r="E36" i="22"/>
  <c r="D37" i="22"/>
  <c r="E37" i="22"/>
  <c r="D38" i="22"/>
  <c r="E38" i="22"/>
  <c r="D39" i="22"/>
  <c r="E39" i="22"/>
  <c r="D40" i="22"/>
  <c r="E40" i="22"/>
  <c r="D41" i="22"/>
  <c r="E41" i="22"/>
  <c r="D42" i="22"/>
  <c r="E42" i="22"/>
  <c r="D43" i="22"/>
  <c r="E43" i="22"/>
  <c r="D44" i="22"/>
  <c r="E44" i="22"/>
  <c r="D45" i="22"/>
  <c r="E45" i="22"/>
  <c r="D46" i="22"/>
  <c r="E46" i="22"/>
  <c r="D47" i="22"/>
  <c r="E47" i="22"/>
  <c r="D48" i="22"/>
  <c r="E48" i="22"/>
  <c r="D49" i="22"/>
  <c r="E49" i="22"/>
  <c r="D50" i="22"/>
  <c r="E50" i="22"/>
  <c r="D51" i="22"/>
  <c r="E51" i="22"/>
  <c r="D52" i="22"/>
  <c r="E52" i="22"/>
  <c r="D53" i="22"/>
  <c r="E53" i="22"/>
  <c r="D54" i="22"/>
  <c r="E54" i="22"/>
  <c r="D55" i="22"/>
  <c r="E55" i="22"/>
  <c r="D56" i="22"/>
  <c r="E56" i="22"/>
  <c r="D57" i="22"/>
  <c r="E57" i="22"/>
  <c r="D58" i="22"/>
  <c r="E58" i="22"/>
  <c r="D59" i="22"/>
  <c r="E59" i="22"/>
  <c r="D60" i="22"/>
  <c r="E60" i="22"/>
  <c r="D61" i="22"/>
  <c r="E61" i="22"/>
  <c r="D62" i="22"/>
  <c r="E62" i="22"/>
  <c r="D63" i="22"/>
  <c r="E63" i="22"/>
  <c r="D64" i="22"/>
  <c r="E64" i="22"/>
  <c r="D65" i="22"/>
  <c r="E65" i="22"/>
  <c r="D66" i="22"/>
  <c r="E66" i="22"/>
  <c r="D67" i="22"/>
  <c r="E67" i="22"/>
  <c r="D68" i="22"/>
  <c r="E68" i="22"/>
  <c r="D69" i="22"/>
  <c r="E69" i="22"/>
  <c r="D70" i="22"/>
  <c r="E70" i="22"/>
  <c r="D71" i="22"/>
  <c r="E71" i="22"/>
  <c r="D72" i="22"/>
  <c r="E72" i="22"/>
  <c r="D73" i="22"/>
  <c r="E73" i="22"/>
  <c r="D74" i="22"/>
  <c r="E74" i="22"/>
  <c r="D75" i="22"/>
  <c r="E75" i="22"/>
  <c r="D76" i="22"/>
  <c r="E76" i="22"/>
  <c r="D77" i="22"/>
  <c r="E77" i="22"/>
  <c r="D78" i="22"/>
  <c r="E78" i="22"/>
  <c r="D79" i="22"/>
  <c r="E79" i="22"/>
  <c r="D80" i="22"/>
  <c r="E80" i="22"/>
  <c r="D81" i="22"/>
  <c r="E81" i="22"/>
  <c r="D82" i="22"/>
  <c r="E82" i="22"/>
  <c r="D83" i="22"/>
  <c r="E83" i="22"/>
  <c r="D84" i="22"/>
  <c r="E84" i="22"/>
  <c r="D85" i="22"/>
  <c r="E85" i="22"/>
  <c r="D86" i="22"/>
  <c r="E86" i="22"/>
  <c r="D87" i="22"/>
  <c r="E87" i="22"/>
  <c r="D88" i="22"/>
  <c r="E88" i="22"/>
  <c r="D89" i="22"/>
  <c r="E89" i="22"/>
  <c r="D90" i="22"/>
  <c r="E90" i="22"/>
  <c r="D91" i="22"/>
  <c r="E91" i="22"/>
  <c r="D92" i="22"/>
  <c r="E92" i="22"/>
  <c r="D93" i="22"/>
  <c r="E93" i="22"/>
  <c r="D94" i="22"/>
  <c r="E94" i="22"/>
  <c r="D95" i="22"/>
  <c r="E95" i="22"/>
  <c r="D96" i="22"/>
  <c r="E96" i="22"/>
  <c r="D97" i="22"/>
  <c r="E97" i="22"/>
  <c r="D98" i="22"/>
  <c r="E98" i="22"/>
  <c r="D99" i="22"/>
  <c r="E99" i="22"/>
  <c r="D100" i="22"/>
  <c r="E100" i="22"/>
  <c r="D101" i="22"/>
  <c r="E101" i="22"/>
  <c r="D102" i="22"/>
  <c r="E102" i="22"/>
  <c r="D103" i="22"/>
  <c r="E103" i="22"/>
  <c r="D104" i="22"/>
  <c r="E104" i="22"/>
  <c r="D105" i="22"/>
  <c r="E105" i="22"/>
  <c r="D106" i="22"/>
  <c r="E106" i="22"/>
  <c r="D107" i="22"/>
  <c r="E107" i="22"/>
  <c r="D108" i="22"/>
  <c r="E108" i="22"/>
  <c r="D109" i="22"/>
  <c r="E109" i="22"/>
  <c r="D110" i="22"/>
  <c r="E110" i="22"/>
  <c r="D111" i="22"/>
  <c r="E111" i="22"/>
  <c r="D112" i="22"/>
  <c r="E112" i="22"/>
  <c r="D113" i="22"/>
  <c r="E113" i="22"/>
  <c r="D114" i="22"/>
  <c r="E114" i="22"/>
  <c r="D115" i="22"/>
  <c r="E115" i="22"/>
  <c r="D116" i="22"/>
  <c r="E116" i="22"/>
  <c r="D117" i="22"/>
  <c r="E117" i="22"/>
  <c r="D118" i="22"/>
  <c r="E118" i="22"/>
  <c r="D119" i="22"/>
  <c r="E119" i="22"/>
  <c r="D120" i="22"/>
  <c r="E120" i="22"/>
  <c r="D121" i="22"/>
  <c r="E121" i="22"/>
  <c r="D122" i="22"/>
  <c r="E122" i="22"/>
  <c r="D123" i="22"/>
  <c r="E123" i="22"/>
  <c r="D124" i="22"/>
  <c r="E124" i="22"/>
  <c r="D125" i="22"/>
  <c r="E125" i="22"/>
  <c r="D126" i="22"/>
  <c r="E126" i="22"/>
  <c r="D127" i="22"/>
  <c r="E127" i="22"/>
  <c r="D128" i="22"/>
  <c r="E128" i="22"/>
  <c r="D129" i="22"/>
  <c r="E129" i="22"/>
  <c r="D130" i="22"/>
  <c r="E130" i="22"/>
  <c r="D131" i="22"/>
  <c r="E131" i="22"/>
  <c r="D132" i="22"/>
  <c r="E132" i="22"/>
  <c r="D133" i="22"/>
  <c r="E133" i="22"/>
  <c r="D134" i="22"/>
  <c r="E134" i="22"/>
  <c r="D135" i="22"/>
  <c r="E135" i="22"/>
  <c r="D136" i="22"/>
  <c r="E136" i="22"/>
  <c r="D137" i="22"/>
  <c r="E137" i="22"/>
  <c r="D138" i="22"/>
  <c r="E138" i="22"/>
  <c r="D139" i="22"/>
  <c r="E139" i="22"/>
  <c r="D140" i="22"/>
  <c r="E140" i="22"/>
  <c r="D141" i="22"/>
  <c r="E141" i="22"/>
  <c r="D142" i="22"/>
  <c r="E142" i="22"/>
  <c r="D143" i="22"/>
  <c r="E143" i="22"/>
  <c r="D144" i="22"/>
  <c r="E144" i="22"/>
  <c r="D145" i="22"/>
  <c r="E145" i="22"/>
  <c r="D146" i="22"/>
  <c r="E146" i="22"/>
  <c r="D147" i="22"/>
  <c r="E147" i="22"/>
  <c r="D148" i="22"/>
  <c r="E148" i="22"/>
  <c r="D149" i="22"/>
  <c r="E149" i="22"/>
  <c r="D150" i="22"/>
  <c r="E150" i="22"/>
  <c r="D151" i="22"/>
  <c r="E151" i="22"/>
  <c r="D152" i="22"/>
  <c r="E152" i="22"/>
  <c r="D153" i="22"/>
  <c r="E153" i="22"/>
  <c r="D154" i="22"/>
  <c r="E154" i="22"/>
  <c r="D155" i="22"/>
  <c r="E155" i="22"/>
  <c r="D156" i="22"/>
  <c r="E156" i="22"/>
  <c r="D157" i="22"/>
  <c r="E157" i="22"/>
  <c r="D158" i="22"/>
  <c r="E158" i="22"/>
  <c r="D159" i="22"/>
  <c r="E159" i="22"/>
  <c r="D160" i="22"/>
  <c r="E160" i="22"/>
  <c r="D161" i="22"/>
  <c r="E161" i="22"/>
  <c r="D162" i="22"/>
  <c r="E162" i="22"/>
  <c r="D163" i="22"/>
  <c r="E163" i="22"/>
  <c r="D164" i="22"/>
  <c r="E164" i="22"/>
  <c r="D165" i="22"/>
  <c r="E165" i="22"/>
  <c r="D166" i="22"/>
  <c r="E166" i="22"/>
  <c r="D167" i="22"/>
  <c r="E167" i="22"/>
  <c r="D168" i="22"/>
  <c r="E168" i="22"/>
  <c r="D169" i="22"/>
  <c r="E169" i="22"/>
  <c r="D170" i="22"/>
  <c r="E170" i="22"/>
  <c r="D171" i="22"/>
  <c r="E171" i="22"/>
  <c r="D172" i="22"/>
  <c r="E172" i="22"/>
  <c r="D173" i="22"/>
  <c r="E173" i="22"/>
  <c r="D174" i="22"/>
  <c r="E174" i="22"/>
  <c r="D175" i="22"/>
  <c r="E175" i="22"/>
  <c r="D176" i="22"/>
  <c r="E176" i="22"/>
  <c r="D177" i="22"/>
  <c r="E177" i="22"/>
  <c r="D178" i="22"/>
  <c r="E178" i="22"/>
  <c r="D179" i="22"/>
  <c r="E179" i="22"/>
  <c r="D180" i="22"/>
  <c r="E180" i="22"/>
  <c r="D181" i="22"/>
  <c r="E181" i="22"/>
  <c r="D182" i="22"/>
  <c r="E182" i="22"/>
  <c r="D183" i="22"/>
  <c r="E183" i="22"/>
  <c r="D184" i="22"/>
  <c r="E184" i="22"/>
  <c r="D185" i="22"/>
  <c r="E185" i="22"/>
  <c r="D186" i="22"/>
  <c r="E186" i="22"/>
  <c r="D187" i="22"/>
  <c r="E187" i="22"/>
  <c r="D188" i="22"/>
  <c r="E188" i="22"/>
  <c r="D189" i="22"/>
  <c r="E189" i="22"/>
  <c r="D190" i="22"/>
  <c r="E190" i="22"/>
  <c r="D191" i="22"/>
  <c r="E191" i="22"/>
  <c r="D192" i="22"/>
  <c r="E192" i="22"/>
  <c r="D193" i="22"/>
  <c r="E193" i="22"/>
  <c r="D194" i="22"/>
  <c r="E194" i="22"/>
  <c r="D195" i="22"/>
  <c r="E195" i="22"/>
  <c r="D196" i="22"/>
  <c r="E196" i="22"/>
  <c r="D197" i="22"/>
  <c r="E197" i="22"/>
  <c r="D198" i="22"/>
  <c r="E198" i="22"/>
  <c r="D199" i="22"/>
  <c r="E199" i="22"/>
  <c r="D200" i="22"/>
  <c r="E200" i="22"/>
  <c r="D201" i="22"/>
  <c r="E201" i="22"/>
  <c r="D202" i="22"/>
  <c r="E202" i="22"/>
  <c r="D203" i="22"/>
  <c r="E203" i="22"/>
  <c r="D204" i="22"/>
  <c r="E204" i="22"/>
  <c r="D205" i="22"/>
  <c r="E205" i="22"/>
  <c r="D206" i="22"/>
  <c r="E206" i="22"/>
  <c r="D207" i="22"/>
  <c r="E207" i="22"/>
  <c r="D208" i="22"/>
  <c r="E208" i="22"/>
  <c r="D209" i="22"/>
  <c r="E209" i="22"/>
  <c r="D210" i="22"/>
  <c r="E210" i="22"/>
  <c r="D211" i="22"/>
  <c r="E211" i="22"/>
  <c r="D212" i="22"/>
  <c r="E212" i="22"/>
  <c r="D213" i="22"/>
  <c r="E213" i="22"/>
  <c r="D214" i="22"/>
  <c r="E214" i="22"/>
  <c r="D215" i="22"/>
  <c r="E215" i="22"/>
  <c r="D216" i="22"/>
  <c r="E216" i="22"/>
  <c r="D217" i="22"/>
  <c r="E217" i="22"/>
  <c r="D218" i="22"/>
  <c r="E218" i="22"/>
  <c r="D219" i="22"/>
  <c r="E219" i="22"/>
  <c r="D220" i="22"/>
  <c r="E220" i="22"/>
  <c r="D221" i="22"/>
  <c r="E221" i="22"/>
  <c r="D222" i="22"/>
  <c r="E222" i="22"/>
  <c r="D223" i="22"/>
  <c r="E223" i="22"/>
  <c r="D224" i="22"/>
  <c r="E224" i="22"/>
  <c r="D225" i="22"/>
  <c r="E225" i="22"/>
  <c r="D226" i="22"/>
  <c r="E226" i="22"/>
  <c r="D227" i="22"/>
  <c r="E227" i="22"/>
  <c r="D228" i="22"/>
  <c r="E228" i="22"/>
  <c r="D229" i="22"/>
  <c r="E229" i="22"/>
  <c r="D230" i="22"/>
  <c r="E230" i="22"/>
  <c r="D231" i="22"/>
  <c r="E231" i="22"/>
  <c r="D232" i="22"/>
  <c r="E232" i="22"/>
  <c r="D233" i="22"/>
  <c r="E233" i="22"/>
  <c r="D234" i="22"/>
  <c r="E234" i="22"/>
  <c r="D235" i="22"/>
  <c r="E235" i="22"/>
  <c r="D236" i="22"/>
  <c r="E236" i="22"/>
  <c r="D237" i="22"/>
  <c r="E237" i="22"/>
  <c r="D238" i="22"/>
  <c r="E238" i="22"/>
  <c r="D239" i="22"/>
  <c r="E239" i="22"/>
  <c r="D240" i="22"/>
  <c r="E240" i="22"/>
  <c r="D241" i="22"/>
  <c r="E241" i="22"/>
  <c r="D242" i="22"/>
  <c r="E242" i="22"/>
  <c r="D243" i="22"/>
  <c r="E243" i="22"/>
  <c r="D244" i="22"/>
  <c r="E244" i="22"/>
  <c r="D245" i="22"/>
  <c r="E245" i="22"/>
  <c r="D246" i="22"/>
  <c r="E246" i="22"/>
  <c r="D247" i="22"/>
  <c r="E247" i="22"/>
  <c r="D248" i="22"/>
  <c r="E248" i="22"/>
  <c r="D249" i="22"/>
  <c r="E249" i="22"/>
  <c r="D250" i="22"/>
  <c r="E250" i="22"/>
  <c r="D251" i="22"/>
  <c r="E251" i="22"/>
  <c r="D252" i="22"/>
  <c r="E252" i="22"/>
  <c r="D253" i="22"/>
  <c r="E253" i="22"/>
  <c r="D254" i="22"/>
  <c r="E254" i="22"/>
  <c r="D255" i="22"/>
  <c r="E255" i="22"/>
  <c r="D256" i="22"/>
  <c r="E256" i="22"/>
  <c r="D257" i="22"/>
  <c r="E257" i="22"/>
  <c r="D258" i="22"/>
  <c r="E258" i="22"/>
  <c r="D259" i="22"/>
  <c r="E259" i="22"/>
  <c r="D260" i="22"/>
  <c r="E260" i="22"/>
  <c r="D261" i="22"/>
  <c r="E261" i="22"/>
  <c r="D262" i="22"/>
  <c r="E262" i="22"/>
  <c r="D263" i="22"/>
  <c r="E263" i="22"/>
  <c r="D264" i="22"/>
  <c r="E264" i="22"/>
  <c r="D265" i="22"/>
  <c r="E265" i="22"/>
  <c r="D266" i="22"/>
  <c r="E266" i="22"/>
  <c r="D267" i="22"/>
  <c r="E267" i="22"/>
  <c r="D268" i="22"/>
  <c r="E268" i="22"/>
  <c r="D269" i="22"/>
  <c r="E269" i="22"/>
  <c r="D270" i="22"/>
  <c r="E270" i="22"/>
  <c r="D271" i="22"/>
  <c r="E271" i="22"/>
  <c r="D272" i="22"/>
  <c r="E272" i="22"/>
  <c r="D273" i="22"/>
  <c r="E273" i="22"/>
  <c r="D274" i="22"/>
  <c r="E274" i="22"/>
  <c r="D275" i="22"/>
  <c r="E275" i="22"/>
  <c r="D276" i="22"/>
  <c r="E276" i="22"/>
  <c r="D277" i="22"/>
  <c r="E277" i="22"/>
  <c r="D278" i="22"/>
  <c r="E278" i="22"/>
  <c r="D279" i="22"/>
  <c r="E279" i="22"/>
  <c r="D280" i="22"/>
  <c r="E280" i="22"/>
  <c r="D281" i="22"/>
  <c r="E281" i="22"/>
  <c r="D282" i="22"/>
  <c r="E282" i="22"/>
  <c r="D283" i="22"/>
  <c r="E283" i="22"/>
  <c r="D284" i="22"/>
  <c r="E284" i="22"/>
  <c r="D285" i="22"/>
  <c r="E285" i="22"/>
  <c r="D286" i="22"/>
  <c r="E286" i="22"/>
  <c r="D287" i="22"/>
  <c r="E287" i="22"/>
  <c r="D288" i="22"/>
  <c r="E288" i="22"/>
  <c r="D289" i="22"/>
  <c r="E289" i="22"/>
  <c r="D290" i="22"/>
  <c r="E290" i="22"/>
  <c r="D291" i="22"/>
  <c r="E291" i="22"/>
  <c r="D292" i="22"/>
  <c r="E292" i="22"/>
  <c r="D293" i="22"/>
  <c r="E293" i="22"/>
  <c r="D294" i="22"/>
  <c r="E294" i="22"/>
  <c r="D295" i="22"/>
  <c r="E295" i="22"/>
  <c r="D296" i="22"/>
  <c r="E296" i="22"/>
  <c r="D297" i="22"/>
  <c r="E297" i="22"/>
  <c r="D298" i="22"/>
  <c r="E298" i="22"/>
  <c r="D299" i="22"/>
  <c r="E299" i="22"/>
  <c r="D300" i="22"/>
  <c r="E300" i="22"/>
  <c r="D301" i="22"/>
  <c r="E301" i="22"/>
  <c r="D302" i="22"/>
  <c r="E302" i="22"/>
  <c r="D303" i="22"/>
  <c r="E303" i="22"/>
  <c r="D304" i="22"/>
  <c r="E304" i="22"/>
  <c r="D305" i="22"/>
  <c r="E305" i="22"/>
  <c r="D306" i="22"/>
  <c r="E306" i="22"/>
  <c r="D307" i="22"/>
  <c r="E307" i="22"/>
  <c r="D308" i="22"/>
  <c r="E308" i="22"/>
  <c r="D309" i="22"/>
  <c r="E309" i="22"/>
  <c r="D310" i="22"/>
  <c r="E310" i="22"/>
  <c r="D311" i="22"/>
  <c r="E311" i="22"/>
  <c r="D312" i="22"/>
  <c r="E312" i="22"/>
  <c r="D313" i="22"/>
  <c r="E313" i="22"/>
  <c r="D314" i="22"/>
  <c r="E314" i="22"/>
  <c r="D315" i="22"/>
  <c r="E315" i="22"/>
  <c r="D316" i="22"/>
  <c r="E316" i="22"/>
  <c r="D317" i="22"/>
  <c r="E317" i="22"/>
  <c r="D318" i="22"/>
  <c r="E318" i="22"/>
  <c r="D319" i="22"/>
  <c r="E319" i="22"/>
  <c r="D320" i="22"/>
  <c r="E320" i="22"/>
  <c r="D321" i="22"/>
  <c r="E321" i="22"/>
  <c r="D322" i="22"/>
  <c r="E322" i="22"/>
  <c r="D323" i="22"/>
  <c r="E323" i="22"/>
  <c r="D324" i="22"/>
  <c r="E324" i="22"/>
  <c r="D325" i="22"/>
  <c r="E325" i="22"/>
  <c r="D326" i="22"/>
  <c r="E326" i="22"/>
  <c r="D327" i="22"/>
  <c r="E327" i="22"/>
  <c r="D328" i="22"/>
  <c r="E328" i="22"/>
  <c r="D329" i="22"/>
  <c r="E329" i="22"/>
  <c r="D330" i="22"/>
  <c r="E330" i="22"/>
  <c r="D331" i="22"/>
  <c r="E331" i="22"/>
  <c r="D332" i="22"/>
  <c r="E332" i="22"/>
  <c r="D333" i="22"/>
  <c r="E333" i="22"/>
  <c r="D334" i="22"/>
  <c r="E334" i="22"/>
  <c r="D335" i="22"/>
  <c r="E335" i="22"/>
  <c r="D336" i="22"/>
  <c r="E336" i="22"/>
  <c r="D337" i="22"/>
  <c r="E337" i="22"/>
  <c r="D338" i="22"/>
  <c r="E338" i="22"/>
  <c r="D339" i="22"/>
  <c r="E339" i="22"/>
  <c r="D340" i="22"/>
  <c r="E340" i="22"/>
  <c r="D341" i="22"/>
  <c r="E341" i="22"/>
  <c r="D342" i="22"/>
  <c r="E342" i="22"/>
  <c r="D343" i="22"/>
  <c r="E343" i="22"/>
  <c r="D344" i="22"/>
  <c r="E344" i="22"/>
  <c r="D345" i="22"/>
  <c r="E345" i="22"/>
  <c r="D346" i="22"/>
  <c r="E346" i="22"/>
  <c r="D347" i="22"/>
  <c r="E347" i="22"/>
  <c r="D348" i="22"/>
  <c r="E348" i="22"/>
  <c r="D349" i="22"/>
  <c r="E349" i="22"/>
  <c r="D350" i="22"/>
  <c r="E350" i="22"/>
  <c r="D351" i="22"/>
  <c r="E351" i="22"/>
  <c r="D352" i="22"/>
  <c r="E352" i="22"/>
  <c r="D353" i="22"/>
  <c r="E353" i="22"/>
  <c r="D354" i="22"/>
  <c r="E354" i="22"/>
  <c r="D355" i="22"/>
  <c r="E355" i="22"/>
  <c r="D356" i="22"/>
  <c r="E356" i="22"/>
  <c r="D357" i="22"/>
  <c r="E357" i="22"/>
  <c r="D358" i="22"/>
  <c r="E358" i="22"/>
  <c r="D359" i="22"/>
  <c r="E359" i="22"/>
  <c r="D360" i="22"/>
  <c r="E360" i="22"/>
  <c r="D361" i="22"/>
  <c r="E361" i="22"/>
  <c r="D362" i="22"/>
  <c r="E362" i="22"/>
  <c r="D363" i="22"/>
  <c r="E363" i="22"/>
  <c r="D364" i="22"/>
  <c r="E364" i="22"/>
  <c r="D365" i="22"/>
  <c r="E365" i="22"/>
  <c r="D366" i="22"/>
  <c r="E366" i="22"/>
  <c r="D367" i="22"/>
  <c r="E367" i="22"/>
  <c r="D368" i="22"/>
  <c r="E368" i="22"/>
  <c r="D369" i="22"/>
  <c r="E369" i="22"/>
  <c r="D370" i="22"/>
  <c r="E370" i="22"/>
  <c r="D371" i="22"/>
  <c r="E371" i="22"/>
  <c r="D372" i="22"/>
  <c r="E372" i="22"/>
  <c r="D373" i="22"/>
  <c r="E373" i="22"/>
  <c r="D374" i="22"/>
  <c r="E374" i="22"/>
  <c r="D375" i="22"/>
  <c r="E375" i="22"/>
  <c r="D376" i="22"/>
  <c r="E376" i="22"/>
  <c r="D377" i="22"/>
  <c r="E377" i="22"/>
  <c r="D378" i="22"/>
  <c r="E378" i="22"/>
  <c r="D379" i="22"/>
  <c r="E379" i="22"/>
  <c r="D380" i="22"/>
  <c r="E380" i="22"/>
  <c r="D381" i="22"/>
  <c r="E381" i="22"/>
  <c r="D382" i="22"/>
  <c r="E382" i="22"/>
  <c r="D383" i="22"/>
  <c r="E383" i="22"/>
  <c r="D384" i="22"/>
  <c r="E384" i="22"/>
  <c r="D385" i="22"/>
  <c r="E385" i="22"/>
  <c r="D386" i="22"/>
  <c r="E386" i="22"/>
  <c r="D387" i="22"/>
  <c r="E387" i="22"/>
  <c r="D388" i="22"/>
  <c r="E388" i="22"/>
  <c r="D389" i="22"/>
  <c r="E389" i="22"/>
  <c r="D390" i="22"/>
  <c r="E390" i="22"/>
  <c r="D391" i="22"/>
  <c r="E391" i="22"/>
  <c r="D392" i="22"/>
  <c r="E392" i="22"/>
  <c r="D393" i="22"/>
  <c r="E393" i="22"/>
  <c r="D394" i="22"/>
  <c r="E394" i="22"/>
  <c r="D395" i="22"/>
  <c r="E395" i="22"/>
  <c r="D396" i="22"/>
  <c r="E396" i="22"/>
  <c r="D397" i="22"/>
  <c r="E397" i="22"/>
  <c r="D398" i="22"/>
  <c r="E398" i="22"/>
  <c r="D399" i="22"/>
  <c r="E399" i="22"/>
  <c r="D400" i="22"/>
  <c r="E400" i="22"/>
  <c r="D401" i="22"/>
  <c r="E401" i="22"/>
  <c r="D402" i="22"/>
  <c r="E402" i="22"/>
  <c r="D403" i="22"/>
  <c r="E403" i="22"/>
  <c r="D404" i="22"/>
  <c r="E404" i="22"/>
  <c r="D405" i="22"/>
  <c r="E405" i="22"/>
  <c r="D406" i="22"/>
  <c r="E406" i="22"/>
  <c r="D407" i="22"/>
  <c r="E407" i="22"/>
  <c r="D408" i="22"/>
  <c r="E408" i="22"/>
  <c r="D409" i="22"/>
  <c r="E409" i="22"/>
  <c r="D410" i="22"/>
  <c r="E410" i="22"/>
  <c r="D411" i="22"/>
  <c r="E411" i="22"/>
  <c r="D412" i="22"/>
  <c r="E412" i="22"/>
  <c r="D413" i="22"/>
  <c r="E413" i="22"/>
  <c r="D414" i="22"/>
  <c r="E414" i="22"/>
  <c r="D415" i="22"/>
  <c r="E415" i="22"/>
  <c r="D416" i="22"/>
  <c r="E416" i="22"/>
  <c r="D417" i="22"/>
  <c r="E417" i="22"/>
  <c r="D418" i="22"/>
  <c r="E418" i="22"/>
  <c r="D419" i="22"/>
  <c r="E419" i="22"/>
  <c r="D420" i="22"/>
  <c r="E420" i="22"/>
  <c r="D421" i="22"/>
  <c r="E421" i="22"/>
  <c r="D422" i="22"/>
  <c r="E422" i="22"/>
  <c r="D423" i="22"/>
  <c r="E423" i="22"/>
  <c r="D424" i="22"/>
  <c r="E424" i="22"/>
  <c r="D425" i="22"/>
  <c r="E425" i="22"/>
  <c r="D426" i="22"/>
  <c r="E426" i="22"/>
  <c r="D427" i="22"/>
  <c r="E427" i="22"/>
  <c r="D428" i="22"/>
  <c r="E428" i="22"/>
  <c r="D429" i="22"/>
  <c r="E429" i="22"/>
  <c r="D430" i="22"/>
  <c r="E430" i="22"/>
  <c r="D431" i="22"/>
  <c r="E431" i="22"/>
  <c r="D432" i="22"/>
  <c r="E432" i="22"/>
  <c r="D433" i="22"/>
  <c r="E433" i="22"/>
  <c r="D434" i="22"/>
  <c r="E434" i="22"/>
  <c r="D435" i="22"/>
  <c r="E435" i="22"/>
  <c r="D436" i="22"/>
  <c r="E436" i="22"/>
  <c r="D437" i="22"/>
  <c r="E437" i="22"/>
  <c r="D438" i="22"/>
  <c r="E438" i="22"/>
  <c r="D439" i="22"/>
  <c r="E439" i="22"/>
  <c r="D440" i="22"/>
  <c r="E440" i="22"/>
  <c r="D441" i="22"/>
  <c r="E441" i="22"/>
  <c r="D442" i="22"/>
  <c r="E442" i="22"/>
  <c r="D443" i="22"/>
  <c r="E443" i="22"/>
  <c r="D444" i="22"/>
  <c r="E444" i="22"/>
  <c r="D445" i="22"/>
  <c r="E445" i="22"/>
  <c r="D446" i="22"/>
  <c r="E446" i="22"/>
  <c r="D447" i="22"/>
  <c r="E447" i="22"/>
  <c r="D448" i="22"/>
  <c r="E448" i="22"/>
  <c r="D449" i="22"/>
  <c r="E449" i="22"/>
  <c r="D450" i="22"/>
  <c r="E450" i="22"/>
  <c r="D451" i="22"/>
  <c r="E451" i="22"/>
  <c r="D452" i="22"/>
  <c r="E452" i="22"/>
  <c r="D453" i="22"/>
  <c r="E453" i="22"/>
  <c r="D454" i="22"/>
  <c r="E454" i="22"/>
  <c r="D455" i="22"/>
  <c r="E455" i="22"/>
  <c r="D456" i="22"/>
  <c r="E456" i="22"/>
  <c r="D457" i="22"/>
  <c r="E457" i="22"/>
  <c r="D458" i="22"/>
  <c r="E458" i="22"/>
  <c r="D459" i="22"/>
  <c r="E459" i="22"/>
  <c r="D460" i="22"/>
  <c r="E460" i="22"/>
  <c r="D461" i="22"/>
  <c r="E461" i="22"/>
  <c r="D462" i="22"/>
  <c r="E462" i="22"/>
  <c r="D463" i="22"/>
  <c r="E463" i="22"/>
  <c r="D464" i="22"/>
  <c r="E464" i="22"/>
  <c r="D465" i="22"/>
  <c r="E465" i="22"/>
  <c r="D466" i="22"/>
  <c r="E466" i="22"/>
  <c r="D467" i="22"/>
  <c r="E467" i="22"/>
  <c r="D468" i="22"/>
  <c r="E468" i="22"/>
  <c r="D469" i="22"/>
  <c r="E469" i="22"/>
  <c r="D470" i="22"/>
  <c r="E470" i="22"/>
  <c r="D471" i="22"/>
  <c r="E471" i="22"/>
  <c r="D472" i="22"/>
  <c r="E472" i="22"/>
  <c r="D473" i="22"/>
  <c r="E473" i="22"/>
  <c r="D474" i="22"/>
  <c r="E474" i="22"/>
  <c r="D475" i="22"/>
  <c r="E475" i="22"/>
  <c r="D476" i="22"/>
  <c r="E476" i="22"/>
  <c r="D477" i="22"/>
  <c r="E477" i="22"/>
  <c r="D478" i="22"/>
  <c r="E478" i="22"/>
  <c r="D479" i="22"/>
  <c r="E479" i="22"/>
  <c r="D480" i="22"/>
  <c r="E480" i="22"/>
  <c r="D481" i="22"/>
  <c r="E481" i="22"/>
  <c r="D482" i="22"/>
  <c r="E482" i="22"/>
  <c r="D483" i="22"/>
  <c r="E483" i="22"/>
  <c r="D484" i="22"/>
  <c r="E484" i="22"/>
  <c r="D485" i="22"/>
  <c r="E485" i="22"/>
  <c r="D486" i="22"/>
  <c r="E486" i="22"/>
  <c r="D487" i="22"/>
  <c r="E487" i="22"/>
  <c r="D488" i="22"/>
  <c r="E488" i="22"/>
  <c r="D489" i="22"/>
  <c r="E489" i="22"/>
  <c r="D490" i="22"/>
  <c r="E490" i="22"/>
  <c r="D491" i="22"/>
  <c r="E491" i="22"/>
  <c r="D492" i="22"/>
  <c r="E492" i="22"/>
  <c r="D493" i="22"/>
  <c r="E493" i="22"/>
  <c r="D494" i="22"/>
  <c r="E494" i="22"/>
  <c r="D495" i="22"/>
  <c r="E495" i="22"/>
  <c r="D496" i="22"/>
  <c r="E496" i="22"/>
  <c r="D497" i="22"/>
  <c r="E497" i="22"/>
  <c r="D498" i="22"/>
  <c r="E498" i="22"/>
  <c r="D499" i="22"/>
  <c r="E499" i="22"/>
  <c r="D500" i="22"/>
  <c r="E500" i="22"/>
  <c r="D501" i="22"/>
  <c r="E501" i="22"/>
  <c r="D502" i="22"/>
  <c r="E502" i="22"/>
  <c r="D503" i="22"/>
  <c r="E503" i="22"/>
  <c r="D504" i="22"/>
  <c r="E504" i="22"/>
  <c r="D505" i="22"/>
  <c r="E505" i="22"/>
  <c r="D506" i="22"/>
  <c r="E506" i="22"/>
  <c r="D507" i="22"/>
  <c r="E507" i="22"/>
  <c r="D508" i="22"/>
  <c r="E508" i="22"/>
  <c r="D509" i="22"/>
  <c r="E509" i="22"/>
  <c r="D510" i="22"/>
  <c r="E510" i="22"/>
  <c r="D511" i="22"/>
  <c r="E511" i="22"/>
  <c r="D512" i="22"/>
  <c r="E512" i="22"/>
  <c r="D513" i="22"/>
  <c r="E513" i="22"/>
  <c r="D514" i="22"/>
  <c r="E514" i="22"/>
  <c r="D515" i="22"/>
  <c r="E515" i="22"/>
  <c r="D516" i="22"/>
  <c r="E516" i="22"/>
  <c r="D517" i="22"/>
  <c r="E517" i="22"/>
  <c r="D518" i="22"/>
  <c r="E518" i="22"/>
  <c r="D519" i="22"/>
  <c r="E519" i="22"/>
  <c r="D520" i="22"/>
  <c r="E520" i="22"/>
  <c r="D521" i="22"/>
  <c r="E521" i="22"/>
  <c r="D522" i="22"/>
  <c r="E522" i="22"/>
  <c r="D523" i="22"/>
  <c r="E523" i="22"/>
  <c r="D524" i="22"/>
  <c r="E524" i="22"/>
  <c r="D525" i="22"/>
  <c r="E525" i="22"/>
  <c r="D526" i="22"/>
  <c r="E526" i="22"/>
  <c r="D527" i="22"/>
  <c r="E527" i="22"/>
  <c r="D528" i="22"/>
  <c r="E528" i="22"/>
  <c r="D529" i="22"/>
  <c r="E529" i="22"/>
  <c r="D530" i="22"/>
  <c r="E530" i="22"/>
  <c r="D531" i="22"/>
  <c r="E531" i="22"/>
  <c r="D532" i="22"/>
  <c r="E532" i="22"/>
  <c r="D533" i="22"/>
  <c r="E533" i="22"/>
  <c r="D534" i="22"/>
  <c r="E534" i="22"/>
  <c r="D535" i="22"/>
  <c r="E535" i="22"/>
  <c r="D536" i="22"/>
  <c r="E536" i="22"/>
  <c r="D537" i="22"/>
  <c r="E537" i="22"/>
  <c r="D538" i="22"/>
  <c r="E538" i="22"/>
  <c r="D539" i="22"/>
  <c r="E539" i="22"/>
  <c r="D540" i="22"/>
  <c r="E540" i="22"/>
  <c r="D541" i="22"/>
  <c r="E541" i="22"/>
  <c r="D542" i="22"/>
  <c r="E542" i="22"/>
  <c r="D543" i="22"/>
  <c r="E543" i="22"/>
  <c r="D544" i="22"/>
  <c r="E544" i="22"/>
  <c r="D545" i="22"/>
  <c r="E545" i="22"/>
  <c r="D546" i="22"/>
  <c r="E546" i="22"/>
  <c r="D547" i="22"/>
  <c r="E547" i="22"/>
  <c r="D548" i="22"/>
  <c r="E548" i="22"/>
  <c r="D549" i="22"/>
  <c r="E549" i="22"/>
  <c r="D550" i="22"/>
  <c r="E550" i="22"/>
  <c r="D551" i="22"/>
  <c r="E551" i="22"/>
  <c r="D552" i="22"/>
  <c r="E552" i="22"/>
  <c r="D553" i="22"/>
  <c r="E553" i="22"/>
  <c r="D554" i="22"/>
  <c r="E554" i="22"/>
  <c r="D555" i="22"/>
  <c r="E555" i="22"/>
  <c r="D556" i="22"/>
  <c r="E556" i="22"/>
  <c r="D557" i="22"/>
  <c r="E557" i="22"/>
  <c r="D558" i="22"/>
  <c r="E558" i="22"/>
  <c r="D559" i="22"/>
  <c r="E559" i="22"/>
  <c r="D560" i="22"/>
  <c r="E560" i="22"/>
  <c r="D561" i="22"/>
  <c r="E561" i="22"/>
  <c r="D562" i="22"/>
  <c r="E562" i="22"/>
  <c r="D563" i="22"/>
  <c r="E563" i="22"/>
  <c r="D564" i="22"/>
  <c r="E564" i="22"/>
  <c r="D565" i="22"/>
  <c r="E565" i="22"/>
  <c r="D566" i="22"/>
  <c r="E566" i="22"/>
  <c r="D567" i="22"/>
  <c r="E567" i="22"/>
  <c r="D568" i="22"/>
  <c r="E568" i="22"/>
  <c r="D569" i="22"/>
  <c r="E569" i="22"/>
  <c r="D570" i="22"/>
  <c r="E570" i="22"/>
  <c r="D571" i="22"/>
  <c r="E571" i="22"/>
  <c r="D572" i="22"/>
  <c r="E572" i="22"/>
  <c r="D573" i="22"/>
  <c r="E573" i="22"/>
  <c r="D574" i="22"/>
  <c r="E574" i="22"/>
  <c r="D575" i="22"/>
  <c r="E575" i="22"/>
  <c r="D576" i="22"/>
  <c r="E576" i="22"/>
  <c r="D577" i="22"/>
  <c r="E577" i="22"/>
  <c r="D578" i="22"/>
  <c r="E578" i="22"/>
  <c r="D579" i="22"/>
  <c r="E579" i="22"/>
  <c r="D580" i="22"/>
  <c r="E580" i="22"/>
  <c r="D581" i="22"/>
  <c r="E581" i="22"/>
  <c r="D582" i="22"/>
  <c r="E582" i="22"/>
  <c r="D583" i="22"/>
  <c r="E583" i="22"/>
  <c r="D584" i="22"/>
  <c r="E584" i="22"/>
  <c r="D585" i="22"/>
  <c r="E585" i="22"/>
  <c r="D586" i="22"/>
  <c r="E586" i="22"/>
  <c r="D587" i="22"/>
  <c r="E587" i="22"/>
  <c r="D588" i="22"/>
  <c r="E588" i="22"/>
  <c r="D589" i="22"/>
  <c r="E589" i="22"/>
  <c r="D590" i="22"/>
  <c r="E590" i="22"/>
  <c r="D591" i="22"/>
  <c r="E591" i="22"/>
  <c r="D592" i="22"/>
  <c r="E592" i="22"/>
  <c r="D593" i="22"/>
  <c r="E593" i="22"/>
  <c r="D594" i="22"/>
  <c r="E594" i="22"/>
  <c r="D595" i="22"/>
  <c r="E595" i="22"/>
  <c r="D596" i="22"/>
  <c r="E596" i="22"/>
  <c r="D597" i="22"/>
  <c r="E597" i="22"/>
  <c r="D598" i="22"/>
  <c r="E598" i="22"/>
  <c r="D599" i="22"/>
  <c r="E599" i="22"/>
  <c r="D600" i="22"/>
  <c r="E600" i="22"/>
  <c r="D601" i="22"/>
  <c r="E601" i="22"/>
  <c r="D602" i="22"/>
  <c r="E602" i="22"/>
  <c r="D603" i="22"/>
  <c r="E603" i="22"/>
  <c r="D604" i="22"/>
  <c r="E604" i="22"/>
  <c r="D605" i="22"/>
  <c r="E605" i="22"/>
  <c r="D606" i="22"/>
  <c r="E606" i="22"/>
  <c r="D607" i="22"/>
  <c r="E607" i="22"/>
  <c r="D608" i="22"/>
  <c r="E608" i="22"/>
  <c r="D609" i="22"/>
  <c r="E609" i="22"/>
  <c r="D610" i="22"/>
  <c r="E610" i="22"/>
  <c r="D611" i="22"/>
  <c r="E611" i="22"/>
  <c r="D612" i="22"/>
  <c r="E612" i="22"/>
  <c r="D613" i="22"/>
  <c r="E613" i="22"/>
  <c r="D614" i="22"/>
  <c r="E614" i="22"/>
  <c r="D615" i="22"/>
  <c r="E615" i="22"/>
  <c r="D616" i="22"/>
  <c r="E616" i="22"/>
  <c r="D617" i="22"/>
  <c r="E617" i="22"/>
  <c r="D618" i="22"/>
  <c r="E618" i="22"/>
  <c r="D619" i="22"/>
  <c r="E619" i="22"/>
  <c r="D620" i="22"/>
  <c r="E620" i="22"/>
  <c r="D621" i="22"/>
  <c r="E621" i="22"/>
  <c r="D622" i="22"/>
  <c r="E622" i="22"/>
  <c r="D623" i="22"/>
  <c r="E623" i="22"/>
  <c r="D624" i="22"/>
  <c r="E624" i="22"/>
  <c r="D625" i="22"/>
  <c r="E625" i="22"/>
  <c r="D626" i="22"/>
  <c r="E626" i="22"/>
  <c r="D627" i="22"/>
  <c r="E627" i="22"/>
  <c r="D628" i="22"/>
  <c r="E628" i="22"/>
  <c r="D629" i="22"/>
  <c r="E629" i="22"/>
  <c r="D630" i="22"/>
  <c r="E630" i="22"/>
  <c r="D631" i="22"/>
  <c r="E631" i="22"/>
  <c r="D632" i="22"/>
  <c r="E632" i="22"/>
  <c r="D633" i="22"/>
  <c r="E633" i="22"/>
  <c r="D634" i="22"/>
  <c r="E634" i="22"/>
  <c r="D635" i="22"/>
  <c r="E635" i="22"/>
  <c r="D636" i="22"/>
  <c r="E636" i="22"/>
  <c r="D637" i="22"/>
  <c r="E637" i="22"/>
  <c r="D638" i="22"/>
  <c r="E638" i="22"/>
  <c r="D639" i="22"/>
  <c r="E639" i="22"/>
  <c r="D640" i="22"/>
  <c r="E640" i="22"/>
  <c r="D641" i="22"/>
  <c r="E641" i="22"/>
  <c r="D642" i="22"/>
  <c r="E642" i="22"/>
  <c r="D643" i="22"/>
  <c r="E643" i="22"/>
  <c r="D644" i="22"/>
  <c r="E644" i="22"/>
  <c r="D645" i="22"/>
  <c r="E645" i="22"/>
  <c r="D646" i="22"/>
  <c r="E646" i="22"/>
  <c r="D647" i="22"/>
  <c r="E647" i="22"/>
  <c r="D648" i="22"/>
  <c r="E648" i="22"/>
  <c r="D649" i="22"/>
  <c r="E649" i="22"/>
  <c r="D650" i="22"/>
  <c r="E650" i="22"/>
  <c r="D651" i="22"/>
  <c r="E651" i="22"/>
  <c r="D652" i="22"/>
  <c r="E652" i="22"/>
  <c r="D653" i="22"/>
  <c r="E653" i="22"/>
  <c r="D654" i="22"/>
  <c r="E654" i="22"/>
  <c r="D655" i="22"/>
  <c r="E655" i="22"/>
  <c r="D656" i="22"/>
  <c r="E656" i="22"/>
  <c r="D657" i="22"/>
  <c r="E657" i="22"/>
  <c r="D658" i="22"/>
  <c r="E658" i="22"/>
  <c r="D659" i="22"/>
  <c r="E659" i="22"/>
  <c r="D660" i="22"/>
  <c r="E660" i="22"/>
  <c r="D661" i="22"/>
  <c r="E661" i="22"/>
  <c r="D662" i="22"/>
  <c r="E662" i="22"/>
  <c r="D663" i="22"/>
  <c r="E663" i="22"/>
  <c r="D664" i="22"/>
  <c r="E664" i="22"/>
  <c r="D665" i="22"/>
  <c r="E665" i="22"/>
  <c r="D666" i="22"/>
  <c r="E666" i="22"/>
  <c r="D667" i="22"/>
  <c r="E667" i="22"/>
  <c r="D668" i="22"/>
  <c r="E668" i="22"/>
  <c r="D669" i="22"/>
  <c r="E669" i="22"/>
  <c r="D670" i="22"/>
  <c r="E670" i="22"/>
  <c r="D671" i="22"/>
  <c r="E671" i="22"/>
  <c r="D672" i="22"/>
  <c r="E672" i="22"/>
  <c r="D673" i="22"/>
  <c r="E673" i="22"/>
  <c r="D674" i="22"/>
  <c r="E674" i="22"/>
  <c r="D675" i="22"/>
  <c r="E675" i="22"/>
  <c r="D676" i="22"/>
  <c r="E676" i="22"/>
  <c r="D677" i="22"/>
  <c r="E677" i="22"/>
  <c r="D678" i="22"/>
  <c r="E678" i="22"/>
  <c r="D679" i="22"/>
  <c r="E679" i="22"/>
  <c r="D680" i="22"/>
  <c r="E680" i="22"/>
  <c r="D681" i="22"/>
  <c r="E681" i="22"/>
  <c r="D682" i="22"/>
  <c r="E682" i="22"/>
  <c r="D683" i="22"/>
  <c r="E683" i="22"/>
  <c r="D684" i="22"/>
  <c r="E684" i="22"/>
  <c r="D685" i="22"/>
  <c r="E685" i="22"/>
  <c r="D686" i="22"/>
  <c r="E686" i="22"/>
  <c r="D687" i="22"/>
  <c r="E687" i="22"/>
  <c r="D688" i="22"/>
  <c r="E688" i="22"/>
  <c r="D689" i="22"/>
  <c r="E689" i="22"/>
  <c r="D690" i="22"/>
  <c r="E690" i="22"/>
  <c r="D691" i="22"/>
  <c r="E691" i="22"/>
  <c r="D692" i="22"/>
  <c r="E692" i="22"/>
  <c r="D693" i="22"/>
  <c r="E693" i="22"/>
  <c r="D694" i="22"/>
  <c r="E694" i="22"/>
  <c r="D695" i="22"/>
  <c r="E695" i="22"/>
  <c r="D696" i="22"/>
  <c r="E696" i="22"/>
  <c r="D697" i="22"/>
  <c r="E697" i="22"/>
  <c r="D698" i="22"/>
  <c r="E698" i="22"/>
  <c r="D699" i="22"/>
  <c r="E699" i="22"/>
  <c r="D700" i="22"/>
  <c r="E700" i="22"/>
  <c r="D701" i="22"/>
  <c r="E701" i="22"/>
  <c r="D702" i="22"/>
  <c r="E702" i="22"/>
  <c r="D703" i="22"/>
  <c r="E703" i="22"/>
  <c r="D704" i="22"/>
  <c r="E704" i="22"/>
  <c r="D705" i="22"/>
  <c r="E705" i="22"/>
  <c r="D706" i="22"/>
  <c r="E706" i="22"/>
  <c r="D707" i="22"/>
  <c r="E707" i="22"/>
  <c r="D708" i="22"/>
  <c r="E708" i="22"/>
  <c r="D709" i="22"/>
  <c r="E709" i="22"/>
  <c r="D710" i="22"/>
  <c r="E710" i="22"/>
  <c r="D711" i="22"/>
  <c r="E711" i="22"/>
  <c r="D712" i="22"/>
  <c r="E712" i="22"/>
  <c r="D713" i="22"/>
  <c r="E713" i="22"/>
  <c r="D714" i="22"/>
  <c r="E714" i="22"/>
  <c r="D715" i="22"/>
  <c r="E715" i="22"/>
  <c r="D716" i="22"/>
  <c r="E716" i="22"/>
  <c r="D717" i="22"/>
  <c r="E717" i="22"/>
  <c r="D718" i="22"/>
  <c r="E718" i="22"/>
  <c r="D719" i="22"/>
  <c r="E719" i="22"/>
  <c r="D720" i="22"/>
  <c r="E720" i="22"/>
  <c r="D721" i="22"/>
  <c r="E721" i="22"/>
  <c r="D722" i="22"/>
  <c r="E722" i="22"/>
  <c r="D723" i="22"/>
  <c r="E723" i="22"/>
  <c r="D724" i="22"/>
  <c r="E724" i="22"/>
  <c r="D725" i="22"/>
  <c r="E725" i="22"/>
  <c r="D726" i="22"/>
  <c r="E726" i="22"/>
  <c r="D727" i="22"/>
  <c r="E727" i="22"/>
  <c r="D728" i="22"/>
  <c r="E728" i="22"/>
  <c r="D729" i="22"/>
  <c r="E729" i="22"/>
  <c r="D730" i="22"/>
  <c r="E730" i="22"/>
  <c r="D731" i="22"/>
  <c r="E731" i="22"/>
  <c r="D732" i="22"/>
  <c r="E732" i="22"/>
  <c r="D733" i="22"/>
  <c r="E733" i="22"/>
  <c r="D734" i="22"/>
  <c r="E734" i="22"/>
  <c r="D735" i="22"/>
  <c r="E735" i="22"/>
  <c r="D736" i="22"/>
  <c r="E736" i="22"/>
  <c r="D737" i="22"/>
  <c r="E737" i="22"/>
  <c r="D738" i="22"/>
  <c r="E738" i="22"/>
  <c r="D739" i="22"/>
  <c r="E739" i="22"/>
  <c r="D740" i="22"/>
  <c r="E740" i="22"/>
  <c r="D741" i="22"/>
  <c r="E741" i="22"/>
  <c r="D742" i="22"/>
  <c r="E742" i="22"/>
  <c r="E6" i="24" l="1"/>
  <c r="F6" i="24" s="1"/>
  <c r="G6" i="24" s="1"/>
  <c r="D10" i="24"/>
  <c r="G10" i="24"/>
  <c r="H5" i="24"/>
  <c r="H10" i="24"/>
  <c r="I5" i="24"/>
  <c r="G2" i="15" l="1"/>
  <c r="H2" i="15"/>
  <c r="G3" i="15"/>
  <c r="H3" i="15"/>
  <c r="G4" i="15"/>
  <c r="H4" i="15"/>
  <c r="G5" i="15"/>
  <c r="H5" i="15"/>
  <c r="G6" i="15"/>
  <c r="H6" i="15"/>
  <c r="G7" i="15"/>
  <c r="H7" i="15"/>
  <c r="G8" i="15"/>
  <c r="H8" i="15"/>
  <c r="G9" i="15"/>
  <c r="H9" i="15"/>
  <c r="G10" i="15"/>
  <c r="H10" i="15"/>
  <c r="G11" i="15"/>
  <c r="H11" i="15"/>
  <c r="G12" i="15"/>
  <c r="H12" i="15"/>
  <c r="G13" i="15"/>
  <c r="H13" i="15"/>
  <c r="G14" i="15"/>
  <c r="H14" i="15"/>
  <c r="G15" i="15"/>
  <c r="H15" i="15"/>
  <c r="G16" i="15"/>
  <c r="H16" i="15"/>
  <c r="G17" i="15"/>
  <c r="H17" i="15"/>
  <c r="G18" i="15"/>
  <c r="H18" i="15"/>
  <c r="G19" i="15"/>
  <c r="H19" i="15"/>
  <c r="G20" i="15"/>
  <c r="H20" i="15"/>
  <c r="G21" i="15"/>
  <c r="H21" i="15"/>
  <c r="G22" i="15"/>
  <c r="H22" i="15"/>
  <c r="G23" i="15"/>
  <c r="H23" i="15"/>
  <c r="G24" i="15"/>
  <c r="H24" i="15"/>
  <c r="G25" i="15"/>
  <c r="H25" i="15"/>
  <c r="G26" i="15"/>
  <c r="H26" i="15"/>
  <c r="G27" i="15"/>
  <c r="H27" i="15"/>
  <c r="G28" i="15"/>
  <c r="H28" i="15"/>
  <c r="G29" i="15"/>
  <c r="H29" i="15"/>
  <c r="G30" i="15"/>
  <c r="H30" i="15"/>
  <c r="G31" i="15"/>
  <c r="H31" i="15"/>
  <c r="G32" i="15"/>
  <c r="H32" i="15"/>
  <c r="G33" i="15"/>
  <c r="H33" i="15"/>
  <c r="G34" i="15"/>
  <c r="H34" i="15"/>
  <c r="G35" i="15"/>
  <c r="H35" i="15"/>
  <c r="G36" i="15"/>
  <c r="H36" i="15"/>
  <c r="G37" i="15"/>
  <c r="H37" i="15"/>
  <c r="G38" i="15"/>
  <c r="H38" i="15"/>
  <c r="G39" i="15"/>
  <c r="H39" i="15"/>
  <c r="G40" i="15"/>
  <c r="H40" i="15"/>
  <c r="G41" i="15"/>
  <c r="H41" i="15"/>
  <c r="G42" i="15"/>
  <c r="H42" i="15"/>
  <c r="G43" i="15"/>
  <c r="H43" i="15"/>
  <c r="G44" i="15"/>
  <c r="H44" i="15"/>
  <c r="G45" i="15"/>
  <c r="H45" i="15"/>
  <c r="G46" i="15"/>
  <c r="H46" i="15"/>
  <c r="G47" i="15"/>
  <c r="H47" i="15"/>
  <c r="G48" i="15"/>
  <c r="H48" i="15"/>
  <c r="G49" i="15"/>
  <c r="H49" i="15"/>
  <c r="G50" i="15"/>
  <c r="H50" i="15"/>
  <c r="G51" i="15"/>
  <c r="H51" i="15"/>
  <c r="G52" i="15"/>
  <c r="H52" i="15"/>
  <c r="G53" i="15"/>
  <c r="H53" i="15"/>
  <c r="G54" i="15"/>
  <c r="H54" i="15"/>
  <c r="G55" i="15"/>
  <c r="H55" i="15"/>
  <c r="G56" i="15"/>
  <c r="H56" i="15"/>
  <c r="G57" i="15"/>
  <c r="H57" i="15"/>
  <c r="G58" i="15"/>
  <c r="H58" i="15"/>
  <c r="G59" i="15"/>
  <c r="H59" i="15"/>
  <c r="G60" i="15"/>
  <c r="H60" i="15"/>
  <c r="G61" i="15"/>
  <c r="H61" i="15"/>
  <c r="G62" i="15"/>
  <c r="H62" i="15"/>
  <c r="G63" i="15"/>
  <c r="H63" i="15"/>
  <c r="G64" i="15"/>
  <c r="H64" i="15"/>
  <c r="G65" i="15"/>
  <c r="H65" i="15"/>
  <c r="G66" i="15"/>
  <c r="H66" i="15"/>
  <c r="G67" i="15"/>
  <c r="H67" i="15"/>
  <c r="G68" i="15"/>
  <c r="H68" i="15"/>
  <c r="G69" i="15"/>
  <c r="H69" i="15"/>
  <c r="G70" i="15"/>
  <c r="H70" i="15"/>
  <c r="G71" i="15"/>
  <c r="H71" i="15"/>
  <c r="G72" i="15"/>
  <c r="H72" i="15"/>
  <c r="G73" i="15"/>
  <c r="H73" i="15"/>
  <c r="G74" i="15"/>
  <c r="H74" i="15"/>
  <c r="G75" i="15"/>
  <c r="H75" i="15"/>
  <c r="G76" i="15"/>
  <c r="H76" i="15"/>
  <c r="G77" i="15"/>
  <c r="H77" i="15"/>
  <c r="G78" i="15"/>
  <c r="H78" i="15"/>
  <c r="G79" i="15"/>
  <c r="H79" i="15"/>
  <c r="G80" i="15"/>
  <c r="H80" i="15"/>
  <c r="G81" i="15"/>
  <c r="H81" i="15"/>
  <c r="G82" i="15"/>
  <c r="H82" i="15"/>
  <c r="G83" i="15"/>
  <c r="H83" i="15"/>
  <c r="G84" i="15"/>
  <c r="H84" i="15"/>
  <c r="G85" i="15"/>
  <c r="H85" i="15"/>
  <c r="G86" i="15"/>
  <c r="H86" i="15"/>
  <c r="G87" i="15"/>
  <c r="H87" i="15"/>
  <c r="G88" i="15"/>
  <c r="H88" i="15"/>
  <c r="G89" i="15"/>
  <c r="H89" i="15"/>
  <c r="G90" i="15"/>
  <c r="H90" i="15"/>
  <c r="G91" i="15"/>
  <c r="H91" i="15"/>
  <c r="G92" i="15"/>
  <c r="H92" i="15"/>
  <c r="G93" i="15"/>
  <c r="H93" i="15"/>
  <c r="G94" i="15"/>
  <c r="H94" i="15"/>
  <c r="G95" i="15"/>
  <c r="H95" i="15"/>
  <c r="G96" i="15"/>
  <c r="H96" i="15"/>
  <c r="G97" i="15"/>
  <c r="H97" i="15"/>
  <c r="G98" i="15"/>
  <c r="H98" i="15"/>
  <c r="G99" i="15"/>
  <c r="H99" i="15"/>
  <c r="G100" i="15"/>
  <c r="H100" i="15"/>
  <c r="G101" i="15"/>
  <c r="H101" i="15"/>
  <c r="G102" i="15"/>
  <c r="H102" i="15"/>
  <c r="G103" i="15"/>
  <c r="H103" i="15"/>
  <c r="G104" i="15"/>
  <c r="H104" i="15"/>
  <c r="G105" i="15"/>
  <c r="H105" i="15"/>
  <c r="G106" i="15"/>
  <c r="H106" i="15"/>
  <c r="G107" i="15"/>
  <c r="H107" i="15"/>
  <c r="G108" i="15"/>
  <c r="H108" i="15"/>
  <c r="G109" i="15"/>
  <c r="H109" i="15"/>
  <c r="G110" i="15"/>
  <c r="H110" i="15"/>
  <c r="G111" i="15"/>
  <c r="H111" i="15"/>
  <c r="G112" i="15"/>
  <c r="H112" i="15"/>
  <c r="G113" i="15"/>
  <c r="H113" i="15"/>
  <c r="G114" i="15"/>
  <c r="H114" i="15"/>
  <c r="G115" i="15"/>
  <c r="H115" i="15"/>
  <c r="G116" i="15"/>
  <c r="H116" i="15"/>
  <c r="G117" i="15"/>
  <c r="H117" i="15"/>
  <c r="G118" i="15"/>
  <c r="H118" i="15"/>
  <c r="G119" i="15"/>
  <c r="H119" i="15"/>
  <c r="G120" i="15"/>
  <c r="H120" i="15"/>
  <c r="G121" i="15"/>
  <c r="H121" i="15"/>
  <c r="G122" i="15"/>
  <c r="H122" i="15"/>
  <c r="G123" i="15"/>
  <c r="H123" i="15"/>
  <c r="G124" i="15"/>
  <c r="H124" i="15"/>
  <c r="G125" i="15"/>
  <c r="H125" i="15"/>
  <c r="G126" i="15"/>
  <c r="H126" i="15"/>
  <c r="G127" i="15"/>
  <c r="H127" i="15"/>
  <c r="G128" i="15"/>
  <c r="H128" i="15"/>
  <c r="G129" i="15"/>
  <c r="H129" i="15"/>
  <c r="G130" i="15"/>
  <c r="H130" i="15"/>
  <c r="G131" i="15"/>
  <c r="H131" i="15"/>
  <c r="G132" i="15"/>
  <c r="H132" i="15"/>
  <c r="G133" i="15"/>
  <c r="H133" i="15"/>
  <c r="G134" i="15"/>
  <c r="H134" i="15"/>
  <c r="G135" i="15"/>
  <c r="H135" i="15"/>
  <c r="G136" i="15"/>
  <c r="H136" i="15"/>
  <c r="G137" i="15"/>
  <c r="H137" i="15"/>
  <c r="G138" i="15"/>
  <c r="H138" i="15"/>
  <c r="G139" i="15"/>
  <c r="H139" i="15"/>
  <c r="G140" i="15"/>
  <c r="H140" i="15"/>
  <c r="G141" i="15"/>
  <c r="H141" i="15"/>
  <c r="G142" i="15"/>
  <c r="H142" i="15"/>
  <c r="G143" i="15"/>
  <c r="H143" i="15"/>
  <c r="G144" i="15"/>
  <c r="H144" i="15"/>
  <c r="G145" i="15"/>
  <c r="H145" i="15"/>
  <c r="G146" i="15"/>
  <c r="H146" i="15"/>
  <c r="G147" i="15"/>
  <c r="H147" i="15"/>
  <c r="G148" i="15"/>
  <c r="H148" i="15"/>
  <c r="G149" i="15"/>
  <c r="H149" i="15"/>
  <c r="G150" i="15"/>
  <c r="H150" i="15"/>
  <c r="G151" i="15"/>
  <c r="H151" i="15"/>
  <c r="G152" i="15"/>
  <c r="H152" i="15"/>
  <c r="G153" i="15"/>
  <c r="H153" i="15"/>
  <c r="G154" i="15"/>
  <c r="H154" i="15"/>
  <c r="G155" i="15"/>
  <c r="H155" i="15"/>
  <c r="G156" i="15"/>
  <c r="H156" i="15"/>
  <c r="G157" i="15"/>
  <c r="H157" i="15"/>
  <c r="G158" i="15"/>
  <c r="H158" i="15"/>
  <c r="G159" i="15"/>
  <c r="H159" i="15"/>
  <c r="G160" i="15"/>
  <c r="H160" i="15"/>
  <c r="G161" i="15"/>
  <c r="H161" i="15"/>
  <c r="G162" i="15"/>
  <c r="H162" i="15"/>
  <c r="G163" i="15"/>
  <c r="H163" i="15"/>
  <c r="G164" i="15"/>
  <c r="H164" i="15"/>
  <c r="G165" i="15"/>
  <c r="H165" i="15"/>
  <c r="G166" i="15"/>
  <c r="H166" i="15"/>
  <c r="G167" i="15"/>
  <c r="H167" i="15"/>
  <c r="G168" i="15"/>
  <c r="H168" i="15"/>
  <c r="G169" i="15"/>
  <c r="H169" i="15"/>
  <c r="G170" i="15"/>
  <c r="H170" i="15"/>
  <c r="G171" i="15"/>
  <c r="H171" i="15"/>
  <c r="G172" i="15"/>
  <c r="H172" i="15"/>
  <c r="G173" i="15"/>
  <c r="H173" i="15"/>
  <c r="G174" i="15"/>
  <c r="H174" i="15"/>
  <c r="G175" i="15"/>
  <c r="H175" i="15"/>
  <c r="G176" i="15"/>
  <c r="H176" i="15"/>
  <c r="G177" i="15"/>
  <c r="H177" i="15"/>
  <c r="G178" i="15"/>
  <c r="H178" i="15"/>
  <c r="G179" i="15"/>
  <c r="H179" i="15"/>
  <c r="G180" i="15"/>
  <c r="H180" i="15"/>
  <c r="G181" i="15"/>
  <c r="H181" i="15"/>
  <c r="G182" i="15"/>
  <c r="H182" i="15"/>
  <c r="G183" i="15"/>
  <c r="H183" i="15"/>
  <c r="G184" i="15"/>
  <c r="H184" i="15"/>
  <c r="G185" i="15"/>
  <c r="H185" i="15"/>
  <c r="G186" i="15"/>
  <c r="H186" i="15"/>
  <c r="G187" i="15"/>
  <c r="H187" i="15"/>
  <c r="G188" i="15"/>
  <c r="H188" i="15"/>
  <c r="G189" i="15"/>
  <c r="H189" i="15"/>
  <c r="G190" i="15"/>
  <c r="H190" i="15"/>
  <c r="G191" i="15"/>
  <c r="H191" i="15"/>
  <c r="G192" i="15"/>
  <c r="H192" i="15"/>
  <c r="G193" i="15"/>
  <c r="H193" i="15"/>
  <c r="G194" i="15"/>
  <c r="H194" i="15"/>
  <c r="G195" i="15"/>
  <c r="H195" i="15"/>
  <c r="G196" i="15"/>
  <c r="H196" i="15"/>
  <c r="G197" i="15"/>
  <c r="H197" i="15"/>
  <c r="G198" i="15"/>
  <c r="H198" i="15"/>
  <c r="G199" i="15"/>
  <c r="H199" i="15"/>
  <c r="G200" i="15"/>
  <c r="H200" i="15"/>
  <c r="G201" i="15"/>
  <c r="H201" i="15"/>
  <c r="G202" i="15"/>
  <c r="H202" i="15"/>
  <c r="G203" i="15"/>
  <c r="H203" i="15"/>
  <c r="G204" i="15"/>
  <c r="H204" i="15"/>
  <c r="G205" i="15"/>
  <c r="H205" i="15"/>
  <c r="G206" i="15"/>
  <c r="H206" i="15"/>
  <c r="G207" i="15"/>
  <c r="H207" i="15"/>
  <c r="G208" i="15"/>
  <c r="H208" i="15"/>
  <c r="G209" i="15"/>
  <c r="H209" i="15"/>
  <c r="G210" i="15"/>
  <c r="H210" i="15"/>
  <c r="G211" i="15"/>
  <c r="H211" i="15"/>
  <c r="G212" i="15"/>
  <c r="H212" i="15"/>
  <c r="G213" i="15"/>
  <c r="H213" i="15"/>
  <c r="G214" i="15"/>
  <c r="H214" i="15"/>
  <c r="G215" i="15"/>
  <c r="H215" i="15"/>
  <c r="G216" i="15"/>
  <c r="H216" i="15"/>
  <c r="G217" i="15"/>
  <c r="H217" i="15"/>
  <c r="G218" i="15"/>
  <c r="H218" i="15"/>
  <c r="G219" i="15"/>
  <c r="H219" i="15"/>
  <c r="G220" i="15"/>
  <c r="H220" i="15"/>
  <c r="G221" i="15"/>
  <c r="H221" i="15"/>
  <c r="G222" i="15"/>
  <c r="H222" i="15"/>
  <c r="G223" i="15"/>
  <c r="H223" i="15"/>
  <c r="G224" i="15"/>
  <c r="H224" i="15"/>
  <c r="G225" i="15"/>
  <c r="H225" i="15"/>
  <c r="G226" i="15"/>
  <c r="H226" i="15"/>
  <c r="G227" i="15"/>
  <c r="H227" i="15"/>
  <c r="G228" i="15"/>
  <c r="H228" i="15"/>
  <c r="G229" i="15"/>
  <c r="H229" i="15"/>
  <c r="G230" i="15"/>
  <c r="H230" i="15"/>
  <c r="G231" i="15"/>
  <c r="H231" i="15"/>
  <c r="G232" i="15"/>
  <c r="H232" i="15"/>
  <c r="G233" i="15"/>
  <c r="H233" i="15"/>
  <c r="G234" i="15"/>
  <c r="H234" i="15"/>
  <c r="G235" i="15"/>
  <c r="H235" i="15"/>
  <c r="G236" i="15"/>
  <c r="H236" i="15"/>
  <c r="G237" i="15"/>
  <c r="H237" i="15"/>
  <c r="G238" i="15"/>
  <c r="H238" i="15"/>
  <c r="G239" i="15"/>
  <c r="H239" i="15"/>
  <c r="G240" i="15"/>
  <c r="H240" i="15"/>
  <c r="G241" i="15"/>
  <c r="H241" i="15"/>
  <c r="G242" i="15"/>
  <c r="H242" i="15"/>
  <c r="G243" i="15"/>
  <c r="H243" i="15"/>
  <c r="G244" i="15"/>
  <c r="H244" i="15"/>
  <c r="G245" i="15"/>
  <c r="H245" i="15"/>
  <c r="G246" i="15"/>
  <c r="H246" i="15"/>
  <c r="G247" i="15"/>
  <c r="H247" i="15"/>
  <c r="G248" i="15"/>
  <c r="H248" i="15"/>
  <c r="G249" i="15"/>
  <c r="H249" i="15"/>
  <c r="G250" i="15"/>
  <c r="H250" i="15"/>
  <c r="G251" i="15"/>
  <c r="H251" i="15"/>
  <c r="G252" i="15"/>
  <c r="H252" i="15"/>
  <c r="G253" i="15"/>
  <c r="H253" i="15"/>
  <c r="G254" i="15"/>
  <c r="H254" i="15"/>
  <c r="G255" i="15"/>
  <c r="H255" i="15"/>
  <c r="G256" i="15"/>
  <c r="H256" i="15"/>
  <c r="G257" i="15"/>
  <c r="H257" i="15"/>
  <c r="G258" i="15"/>
  <c r="H258" i="15"/>
  <c r="G259" i="15"/>
  <c r="H259" i="15"/>
  <c r="G260" i="15"/>
  <c r="H260" i="15"/>
  <c r="G261" i="15"/>
  <c r="H261" i="15"/>
  <c r="G262" i="15"/>
  <c r="H262" i="15"/>
  <c r="G263" i="15"/>
  <c r="H263" i="15"/>
  <c r="G264" i="15"/>
  <c r="H264" i="15"/>
  <c r="G265" i="15"/>
  <c r="H265" i="15"/>
  <c r="G266" i="15"/>
  <c r="H266" i="15"/>
  <c r="G267" i="15"/>
  <c r="H267" i="15"/>
  <c r="G268" i="15"/>
  <c r="H268" i="15"/>
  <c r="G269" i="15"/>
  <c r="H269" i="15"/>
  <c r="G270" i="15"/>
  <c r="H270" i="15"/>
  <c r="G271" i="15"/>
  <c r="H271" i="15"/>
  <c r="G272" i="15"/>
  <c r="H272" i="15"/>
  <c r="G273" i="15"/>
  <c r="H273" i="15"/>
  <c r="G274" i="15"/>
  <c r="H274" i="15"/>
  <c r="G275" i="15"/>
  <c r="H275" i="15"/>
  <c r="G276" i="15"/>
  <c r="H276" i="15"/>
  <c r="G277" i="15"/>
  <c r="H277" i="15"/>
  <c r="G278" i="15"/>
  <c r="H278" i="15"/>
  <c r="G279" i="15"/>
  <c r="H279" i="15"/>
  <c r="G280" i="15"/>
  <c r="H280" i="15"/>
  <c r="G281" i="15"/>
  <c r="H281" i="15"/>
  <c r="G282" i="15"/>
  <c r="H282" i="15"/>
  <c r="G283" i="15"/>
  <c r="H283" i="15"/>
  <c r="G284" i="15"/>
  <c r="H284" i="15"/>
  <c r="G285" i="15"/>
  <c r="H285" i="15"/>
  <c r="G286" i="15"/>
  <c r="H286" i="15"/>
  <c r="G287" i="15"/>
  <c r="H287" i="15"/>
  <c r="G288" i="15"/>
  <c r="H288" i="15"/>
  <c r="G289" i="15"/>
  <c r="H289" i="15"/>
  <c r="G290" i="15"/>
  <c r="H290" i="15"/>
  <c r="G291" i="15"/>
  <c r="H291" i="15"/>
  <c r="G292" i="15"/>
  <c r="H292" i="15"/>
  <c r="G293" i="15"/>
  <c r="H293" i="15"/>
  <c r="G294" i="15"/>
  <c r="H294" i="15"/>
  <c r="G295" i="15"/>
  <c r="H295" i="15"/>
  <c r="G296" i="15"/>
  <c r="H296" i="15"/>
  <c r="G297" i="15"/>
  <c r="H297" i="15"/>
  <c r="G298" i="15"/>
  <c r="H298" i="15"/>
  <c r="G299" i="15"/>
  <c r="H299" i="15"/>
  <c r="G300" i="15"/>
  <c r="H300" i="15"/>
  <c r="G301" i="15"/>
  <c r="H301" i="15"/>
  <c r="G302" i="15"/>
  <c r="H302" i="15"/>
  <c r="G303" i="15"/>
  <c r="H303" i="15"/>
  <c r="G304" i="15"/>
  <c r="H304" i="15"/>
  <c r="G305" i="15"/>
  <c r="H305" i="15"/>
  <c r="G306" i="15"/>
  <c r="H306" i="15"/>
  <c r="G307" i="15"/>
  <c r="H307" i="15"/>
  <c r="G308" i="15"/>
  <c r="H308" i="15"/>
  <c r="G309" i="15"/>
  <c r="H309" i="15"/>
  <c r="G310" i="15"/>
  <c r="H310" i="15"/>
  <c r="G311" i="15"/>
  <c r="H311" i="15"/>
  <c r="G312" i="15"/>
  <c r="H312" i="15"/>
  <c r="G313" i="15"/>
  <c r="H313" i="15"/>
  <c r="G314" i="15"/>
  <c r="H314" i="15"/>
  <c r="G315" i="15"/>
  <c r="H315" i="15"/>
  <c r="G316" i="15"/>
  <c r="H316" i="15"/>
  <c r="G317" i="15"/>
  <c r="H317" i="15"/>
  <c r="G318" i="15"/>
  <c r="H318" i="15"/>
  <c r="G319" i="15"/>
  <c r="H319" i="15"/>
  <c r="G320" i="15"/>
  <c r="H320" i="15"/>
  <c r="G321" i="15"/>
  <c r="H321" i="15"/>
  <c r="G322" i="15"/>
  <c r="H322" i="15"/>
  <c r="G323" i="15"/>
  <c r="H323" i="15"/>
  <c r="G324" i="15"/>
  <c r="H324" i="15"/>
  <c r="G325" i="15"/>
  <c r="H325" i="15"/>
  <c r="G326" i="15"/>
  <c r="H326" i="15"/>
  <c r="G327" i="15"/>
  <c r="H327" i="15"/>
  <c r="G328" i="15"/>
  <c r="H328" i="15"/>
  <c r="G329" i="15"/>
  <c r="H329" i="15"/>
  <c r="G330" i="15"/>
  <c r="H330" i="15"/>
  <c r="G331" i="15"/>
  <c r="H331" i="15"/>
  <c r="G332" i="15"/>
  <c r="H332" i="15"/>
  <c r="G333" i="15"/>
  <c r="H333" i="15"/>
  <c r="G334" i="15"/>
  <c r="H334" i="15"/>
  <c r="G335" i="15"/>
  <c r="H335" i="15"/>
  <c r="G336" i="15"/>
  <c r="H336" i="15"/>
  <c r="G337" i="15"/>
  <c r="H337" i="15"/>
  <c r="G338" i="15"/>
  <c r="H338" i="15"/>
  <c r="G339" i="15"/>
  <c r="H339" i="15"/>
  <c r="G340" i="15"/>
  <c r="H340" i="15"/>
  <c r="G341" i="15"/>
  <c r="H341" i="15"/>
  <c r="G342" i="15"/>
  <c r="H342" i="15"/>
  <c r="G343" i="15"/>
  <c r="H343" i="15"/>
  <c r="G344" i="15"/>
  <c r="H344" i="15"/>
  <c r="G345" i="15"/>
  <c r="H345" i="15"/>
  <c r="G346" i="15"/>
  <c r="H346" i="15"/>
  <c r="G347" i="15"/>
  <c r="H347" i="15"/>
  <c r="G348" i="15"/>
  <c r="H348" i="15"/>
  <c r="G349" i="15"/>
  <c r="H349" i="15"/>
  <c r="G350" i="15"/>
  <c r="H350" i="15"/>
  <c r="G351" i="15"/>
  <c r="H351" i="15"/>
  <c r="G352" i="15"/>
  <c r="H352" i="15"/>
  <c r="G353" i="15"/>
  <c r="H353" i="15"/>
  <c r="G354" i="15"/>
  <c r="H354" i="15"/>
  <c r="G355" i="15"/>
  <c r="H355" i="15"/>
  <c r="G356" i="15"/>
  <c r="H356" i="15"/>
  <c r="G357" i="15"/>
  <c r="H357" i="15"/>
  <c r="G358" i="15"/>
  <c r="H358" i="15"/>
  <c r="G359" i="15"/>
  <c r="H359" i="15"/>
  <c r="G360" i="15"/>
  <c r="H360" i="15"/>
  <c r="G361" i="15"/>
  <c r="H361" i="15"/>
  <c r="G362" i="15"/>
  <c r="H362" i="15"/>
  <c r="G363" i="15"/>
  <c r="H363" i="15"/>
  <c r="G364" i="15"/>
  <c r="H364" i="15"/>
  <c r="G365" i="15"/>
  <c r="H365" i="15"/>
  <c r="G366" i="15"/>
  <c r="H366" i="15"/>
  <c r="G367" i="15"/>
  <c r="H367" i="15"/>
  <c r="G368" i="15"/>
  <c r="H368" i="15"/>
  <c r="G369" i="15"/>
  <c r="H369" i="15"/>
  <c r="G370" i="15"/>
  <c r="H370" i="15"/>
  <c r="G371" i="15"/>
  <c r="H371" i="15"/>
  <c r="G372" i="15"/>
  <c r="H372" i="15"/>
  <c r="G373" i="15"/>
  <c r="H373" i="15"/>
  <c r="G374" i="15"/>
  <c r="H374" i="15"/>
  <c r="G375" i="15"/>
  <c r="H375" i="15"/>
  <c r="G376" i="15"/>
  <c r="H376" i="15"/>
  <c r="G377" i="15"/>
  <c r="H377" i="15"/>
  <c r="G378" i="15"/>
  <c r="H378" i="15"/>
  <c r="G379" i="15"/>
  <c r="H379" i="15"/>
  <c r="G380" i="15"/>
  <c r="H380" i="15"/>
  <c r="G381" i="15"/>
  <c r="H381" i="15"/>
  <c r="G382" i="15"/>
  <c r="H382" i="15"/>
  <c r="G383" i="15"/>
  <c r="H383" i="15"/>
  <c r="G384" i="15"/>
  <c r="H384" i="15"/>
  <c r="G385" i="15"/>
  <c r="H385" i="15"/>
  <c r="G386" i="15"/>
  <c r="H386" i="15"/>
  <c r="G387" i="15"/>
  <c r="H387" i="15"/>
  <c r="G388" i="15"/>
  <c r="H388" i="15"/>
  <c r="G389" i="15"/>
  <c r="H389" i="15"/>
  <c r="G390" i="15"/>
  <c r="H390" i="15"/>
  <c r="G391" i="15"/>
  <c r="H391" i="15"/>
  <c r="G392" i="15"/>
  <c r="H392" i="15"/>
  <c r="G393" i="15"/>
  <c r="H393" i="15"/>
  <c r="G394" i="15"/>
  <c r="H394" i="15"/>
  <c r="G395" i="15"/>
  <c r="H395" i="15"/>
  <c r="G396" i="15"/>
  <c r="H396" i="15"/>
  <c r="G397" i="15"/>
  <c r="H397" i="15"/>
  <c r="G398" i="15"/>
  <c r="H398" i="15"/>
  <c r="G399" i="15"/>
  <c r="H399" i="15"/>
  <c r="G400" i="15"/>
  <c r="H400" i="15"/>
  <c r="G401" i="15"/>
  <c r="H401" i="15"/>
  <c r="G402" i="15"/>
  <c r="H402" i="15"/>
  <c r="G403" i="15"/>
  <c r="H403" i="15"/>
  <c r="G404" i="15"/>
  <c r="H404" i="15"/>
  <c r="G405" i="15"/>
  <c r="H405" i="15"/>
  <c r="G406" i="15"/>
  <c r="H406" i="15"/>
  <c r="G407" i="15"/>
  <c r="H407" i="15"/>
  <c r="G408" i="15"/>
  <c r="H408" i="15"/>
  <c r="G409" i="15"/>
  <c r="H409" i="15"/>
  <c r="G410" i="15"/>
  <c r="H410" i="15"/>
  <c r="G411" i="15"/>
  <c r="H411" i="15"/>
  <c r="G412" i="15"/>
  <c r="H412" i="15"/>
  <c r="G413" i="15"/>
  <c r="H413" i="15"/>
  <c r="G414" i="15"/>
  <c r="H414" i="15"/>
  <c r="G415" i="15"/>
  <c r="H415" i="15"/>
  <c r="G416" i="15"/>
  <c r="H416" i="15"/>
  <c r="G417" i="15"/>
  <c r="H417" i="15"/>
  <c r="G418" i="15"/>
  <c r="H418" i="15"/>
  <c r="G419" i="15"/>
  <c r="H419" i="15"/>
  <c r="G420" i="15"/>
  <c r="H420" i="15"/>
  <c r="G421" i="15"/>
  <c r="H421" i="15"/>
  <c r="G422" i="15"/>
  <c r="H422" i="15"/>
  <c r="G423" i="15"/>
  <c r="H423" i="15"/>
  <c r="G424" i="15"/>
  <c r="H424" i="15"/>
  <c r="G425" i="15"/>
  <c r="H425" i="15"/>
  <c r="G426" i="15"/>
  <c r="H426" i="15"/>
  <c r="G427" i="15"/>
  <c r="H427" i="15"/>
  <c r="G428" i="15"/>
  <c r="H428" i="15"/>
  <c r="G429" i="15"/>
  <c r="H429" i="15"/>
  <c r="G430" i="15"/>
  <c r="H430" i="15"/>
  <c r="G431" i="15"/>
  <c r="H431" i="15"/>
  <c r="G432" i="15"/>
  <c r="H432" i="15"/>
  <c r="G433" i="15"/>
  <c r="H433" i="15"/>
  <c r="G434" i="15"/>
  <c r="H434" i="15"/>
  <c r="G435" i="15"/>
  <c r="H435" i="15"/>
  <c r="G436" i="15"/>
  <c r="H436" i="15"/>
  <c r="G437" i="15"/>
  <c r="H437" i="15"/>
  <c r="G438" i="15"/>
  <c r="H438" i="15"/>
  <c r="G439" i="15"/>
  <c r="H439" i="15"/>
  <c r="G440" i="15"/>
  <c r="H440" i="15"/>
  <c r="G441" i="15"/>
  <c r="H441" i="15"/>
  <c r="G442" i="15"/>
  <c r="H442" i="15"/>
  <c r="G443" i="15"/>
  <c r="H443" i="15"/>
  <c r="G444" i="15"/>
  <c r="H444" i="15"/>
  <c r="G445" i="15"/>
  <c r="H445" i="15"/>
  <c r="G446" i="15"/>
  <c r="H446" i="15"/>
  <c r="G447" i="15"/>
  <c r="H447" i="15"/>
  <c r="G448" i="15"/>
  <c r="H448" i="15"/>
  <c r="G449" i="15"/>
  <c r="H449" i="15"/>
  <c r="G450" i="15"/>
  <c r="H450" i="15"/>
  <c r="G451" i="15"/>
  <c r="H451" i="15"/>
  <c r="G452" i="15"/>
  <c r="H452" i="15"/>
  <c r="G453" i="15"/>
  <c r="H453" i="15"/>
  <c r="G454" i="15"/>
  <c r="H454" i="15"/>
  <c r="G455" i="15"/>
  <c r="H455" i="15"/>
  <c r="G456" i="15"/>
  <c r="H456" i="15"/>
  <c r="G457" i="15"/>
  <c r="H457" i="15"/>
  <c r="G458" i="15"/>
  <c r="H458" i="15"/>
  <c r="G459" i="15"/>
  <c r="H459" i="15"/>
  <c r="G460" i="15"/>
  <c r="H460" i="15"/>
  <c r="G461" i="15"/>
  <c r="H461" i="15"/>
  <c r="G462" i="15"/>
  <c r="H462" i="15"/>
  <c r="G463" i="15"/>
  <c r="H463" i="15"/>
  <c r="G464" i="15"/>
  <c r="H464" i="15"/>
  <c r="G465" i="15"/>
  <c r="H465" i="15"/>
  <c r="G466" i="15"/>
  <c r="H466" i="15"/>
  <c r="G467" i="15"/>
  <c r="H467" i="15"/>
  <c r="G468" i="15"/>
  <c r="H468" i="15"/>
  <c r="G469" i="15"/>
  <c r="H469" i="15"/>
  <c r="G470" i="15"/>
  <c r="H470" i="15"/>
  <c r="G471" i="15"/>
  <c r="H471" i="15"/>
  <c r="G472" i="15"/>
  <c r="H472" i="15"/>
  <c r="G473" i="15"/>
  <c r="H473" i="15"/>
  <c r="G474" i="15"/>
  <c r="H474" i="15"/>
  <c r="G475" i="15"/>
  <c r="H475" i="15"/>
  <c r="G476" i="15"/>
  <c r="H476" i="15"/>
  <c r="G477" i="15"/>
  <c r="H477" i="15"/>
  <c r="G478" i="15"/>
  <c r="H478" i="15"/>
  <c r="G479" i="15"/>
  <c r="H479" i="15"/>
  <c r="G480" i="15"/>
  <c r="H480" i="15"/>
  <c r="G481" i="15"/>
  <c r="H481" i="15"/>
  <c r="G482" i="15"/>
  <c r="H482" i="15"/>
  <c r="G483" i="15"/>
  <c r="H483" i="15"/>
  <c r="G484" i="15"/>
  <c r="H484" i="15"/>
  <c r="G485" i="15"/>
  <c r="H485" i="15"/>
  <c r="G486" i="15"/>
  <c r="H486" i="15"/>
  <c r="G487" i="15"/>
  <c r="H487" i="15"/>
  <c r="G488" i="15"/>
  <c r="H488" i="15"/>
  <c r="G489" i="15"/>
  <c r="H489" i="15"/>
  <c r="G490" i="15"/>
  <c r="H490" i="15"/>
  <c r="G491" i="15"/>
  <c r="H491" i="15"/>
  <c r="G492" i="15"/>
  <c r="H492" i="15"/>
  <c r="G493" i="15"/>
  <c r="H493" i="15"/>
  <c r="G494" i="15"/>
  <c r="H494" i="15"/>
  <c r="G495" i="15"/>
  <c r="H495" i="15"/>
  <c r="G496" i="15"/>
  <c r="H496" i="15"/>
  <c r="G497" i="15"/>
  <c r="H497" i="15"/>
  <c r="G498" i="15"/>
  <c r="H498" i="15"/>
  <c r="G499" i="15"/>
  <c r="H499" i="15"/>
  <c r="G500" i="15"/>
  <c r="H500" i="15"/>
  <c r="G501" i="15"/>
  <c r="H501" i="15"/>
  <c r="G502" i="15"/>
  <c r="H502" i="15"/>
  <c r="G503" i="15"/>
  <c r="H503" i="15"/>
  <c r="G504" i="15"/>
  <c r="H504" i="15"/>
  <c r="G505" i="15"/>
  <c r="H505" i="15"/>
  <c r="G506" i="15"/>
  <c r="H506" i="15"/>
  <c r="G507" i="15"/>
  <c r="H507" i="15"/>
  <c r="G508" i="15"/>
  <c r="H508" i="15"/>
  <c r="G509" i="15"/>
  <c r="H509" i="15"/>
  <c r="G510" i="15"/>
  <c r="H510" i="15"/>
  <c r="G511" i="15"/>
  <c r="H511" i="15"/>
  <c r="G512" i="15"/>
  <c r="H512" i="15"/>
  <c r="G513" i="15"/>
  <c r="H513" i="15"/>
  <c r="G514" i="15"/>
  <c r="H514" i="15"/>
  <c r="G515" i="15"/>
  <c r="H515" i="15"/>
  <c r="G516" i="15"/>
  <c r="H516" i="15"/>
  <c r="G517" i="15"/>
  <c r="H517" i="15"/>
  <c r="G518" i="15"/>
  <c r="H518" i="15"/>
  <c r="G519" i="15"/>
  <c r="H519" i="15"/>
  <c r="G520" i="15"/>
  <c r="H520" i="15"/>
  <c r="G521" i="15"/>
  <c r="H521" i="15"/>
  <c r="G522" i="15"/>
  <c r="H522" i="15"/>
  <c r="G523" i="15"/>
  <c r="H523" i="15"/>
  <c r="G524" i="15"/>
  <c r="H524" i="15"/>
  <c r="G525" i="15"/>
  <c r="H525" i="15"/>
  <c r="G526" i="15"/>
  <c r="H526" i="15"/>
  <c r="G527" i="15"/>
  <c r="H527" i="15"/>
  <c r="G528" i="15"/>
  <c r="H528" i="15"/>
  <c r="G529" i="15"/>
  <c r="H529" i="15"/>
  <c r="G530" i="15"/>
  <c r="H530" i="15"/>
  <c r="G531" i="15"/>
  <c r="H531" i="15"/>
  <c r="G532" i="15"/>
  <c r="H532" i="15"/>
  <c r="G533" i="15"/>
  <c r="H533" i="15"/>
  <c r="G534" i="15"/>
  <c r="H534" i="15"/>
  <c r="G535" i="15"/>
  <c r="H535" i="15"/>
  <c r="G536" i="15"/>
  <c r="H536" i="15"/>
  <c r="G537" i="15"/>
  <c r="H537" i="15"/>
  <c r="G538" i="15"/>
  <c r="H538" i="15"/>
  <c r="G539" i="15"/>
  <c r="H539" i="15"/>
  <c r="G540" i="15"/>
  <c r="H540" i="15"/>
  <c r="G541" i="15"/>
  <c r="H541" i="15"/>
  <c r="G542" i="15"/>
  <c r="H542" i="15"/>
  <c r="G543" i="15"/>
  <c r="H543" i="15"/>
  <c r="G544" i="15"/>
  <c r="H544" i="15"/>
  <c r="G545" i="15"/>
  <c r="H545" i="15"/>
  <c r="G546" i="15"/>
  <c r="H546" i="15"/>
  <c r="G547" i="15"/>
  <c r="H547" i="15"/>
  <c r="G548" i="15"/>
  <c r="H548" i="15"/>
  <c r="G549" i="15"/>
  <c r="H549" i="15"/>
  <c r="G550" i="15"/>
  <c r="H550" i="15"/>
  <c r="G551" i="15"/>
  <c r="H551" i="15"/>
  <c r="G552" i="15"/>
  <c r="H552" i="15"/>
  <c r="G553" i="15"/>
  <c r="H553" i="15"/>
  <c r="G554" i="15"/>
  <c r="H554" i="15"/>
  <c r="G555" i="15"/>
  <c r="H555" i="15"/>
  <c r="G556" i="15"/>
  <c r="H556" i="15"/>
  <c r="G557" i="15"/>
  <c r="H557" i="15"/>
  <c r="G558" i="15"/>
  <c r="H558" i="15"/>
  <c r="G559" i="15"/>
  <c r="H559" i="15"/>
  <c r="G560" i="15"/>
  <c r="H560" i="15"/>
  <c r="G561" i="15"/>
  <c r="H561" i="15"/>
  <c r="G562" i="15"/>
  <c r="H562" i="15"/>
  <c r="G563" i="15"/>
  <c r="H563" i="15"/>
  <c r="G564" i="15"/>
  <c r="H564" i="15"/>
  <c r="G565" i="15"/>
  <c r="H565" i="15"/>
  <c r="G566" i="15"/>
  <c r="H566" i="15"/>
  <c r="G567" i="15"/>
  <c r="H567" i="15"/>
  <c r="G568" i="15"/>
  <c r="H568" i="15"/>
  <c r="G569" i="15"/>
  <c r="H569" i="15"/>
  <c r="G570" i="15"/>
  <c r="H570" i="15"/>
  <c r="G571" i="15"/>
  <c r="H571" i="15"/>
  <c r="G572" i="15"/>
  <c r="H572" i="15"/>
  <c r="G573" i="15"/>
  <c r="H573" i="15"/>
  <c r="G574" i="15"/>
  <c r="H574" i="15"/>
  <c r="G575" i="15"/>
  <c r="H575" i="15"/>
  <c r="G576" i="15"/>
  <c r="H576" i="15"/>
  <c r="G577" i="15"/>
  <c r="H577" i="15"/>
  <c r="G578" i="15"/>
  <c r="H578" i="15"/>
  <c r="G579" i="15"/>
  <c r="H579" i="15"/>
  <c r="G580" i="15"/>
  <c r="H580" i="15"/>
  <c r="G581" i="15"/>
  <c r="H581" i="15"/>
  <c r="G582" i="15"/>
  <c r="H582" i="15"/>
  <c r="G583" i="15"/>
  <c r="H583" i="15"/>
  <c r="G584" i="15"/>
  <c r="H584" i="15"/>
  <c r="G585" i="15"/>
  <c r="H585" i="15"/>
  <c r="G586" i="15"/>
  <c r="H586" i="15"/>
  <c r="G587" i="15"/>
  <c r="H587" i="15"/>
  <c r="G588" i="15"/>
  <c r="H588" i="15"/>
  <c r="G589" i="15"/>
  <c r="H589" i="15"/>
  <c r="G590" i="15"/>
  <c r="H590" i="15"/>
  <c r="G591" i="15"/>
  <c r="H591" i="15"/>
  <c r="G592" i="15"/>
  <c r="H592" i="15"/>
  <c r="G593" i="15"/>
  <c r="H593" i="15"/>
  <c r="G594" i="15"/>
  <c r="H594" i="15"/>
  <c r="G595" i="15"/>
  <c r="H595" i="15"/>
  <c r="G596" i="15"/>
  <c r="H596" i="15"/>
  <c r="G597" i="15"/>
  <c r="H597" i="15"/>
  <c r="G598" i="15"/>
  <c r="H598" i="15"/>
  <c r="G599" i="15"/>
  <c r="H599" i="15"/>
  <c r="G600" i="15"/>
  <c r="H600" i="15"/>
  <c r="G601" i="15"/>
  <c r="H601" i="15"/>
  <c r="G602" i="15"/>
  <c r="H602" i="15"/>
  <c r="G603" i="15"/>
  <c r="H603" i="15"/>
  <c r="G604" i="15"/>
  <c r="H604" i="15"/>
  <c r="G605" i="15"/>
  <c r="H605" i="15"/>
  <c r="G606" i="15"/>
  <c r="H606" i="15"/>
  <c r="G607" i="15"/>
  <c r="H607" i="15"/>
  <c r="G608" i="15"/>
  <c r="H608" i="15"/>
  <c r="G609" i="15"/>
  <c r="H609" i="15"/>
  <c r="G610" i="15"/>
  <c r="H610" i="15"/>
  <c r="G611" i="15"/>
  <c r="H611" i="15"/>
  <c r="G612" i="15"/>
  <c r="H612" i="15"/>
  <c r="G613" i="15"/>
  <c r="H613" i="15"/>
  <c r="G614" i="15"/>
  <c r="H614" i="15"/>
  <c r="G615" i="15"/>
  <c r="H615" i="15"/>
  <c r="G616" i="15"/>
  <c r="H616" i="15"/>
  <c r="G617" i="15"/>
  <c r="H617" i="15"/>
  <c r="G618" i="15"/>
  <c r="H618" i="15"/>
  <c r="G619" i="15"/>
  <c r="H619" i="15"/>
  <c r="G620" i="15"/>
  <c r="H620" i="15"/>
  <c r="G621" i="15"/>
  <c r="H621" i="15"/>
  <c r="G622" i="15"/>
  <c r="H622" i="15"/>
  <c r="G623" i="15"/>
  <c r="H623" i="15"/>
  <c r="G624" i="15"/>
  <c r="H624" i="15"/>
  <c r="G625" i="15"/>
  <c r="H625" i="15"/>
  <c r="G626" i="15"/>
  <c r="H626" i="15"/>
  <c r="G627" i="15"/>
  <c r="H627" i="15"/>
  <c r="G628" i="15"/>
  <c r="H628" i="15"/>
  <c r="G629" i="15"/>
  <c r="H629" i="15"/>
  <c r="G630" i="15"/>
  <c r="H630" i="15"/>
  <c r="G631" i="15"/>
  <c r="H631" i="15"/>
  <c r="G632" i="15"/>
  <c r="H632" i="15"/>
  <c r="G633" i="15"/>
  <c r="H633" i="15"/>
  <c r="G634" i="15"/>
  <c r="H634" i="15"/>
  <c r="G635" i="15"/>
  <c r="H635" i="15"/>
  <c r="G636" i="15"/>
  <c r="H636" i="15"/>
  <c r="G637" i="15"/>
  <c r="H637" i="15"/>
  <c r="G638" i="15"/>
  <c r="H638" i="15"/>
  <c r="G639" i="15"/>
  <c r="H639" i="15"/>
  <c r="G640" i="15"/>
  <c r="H640" i="15"/>
  <c r="G641" i="15"/>
  <c r="H641" i="15"/>
  <c r="G642" i="15"/>
  <c r="H642" i="15"/>
  <c r="G643" i="15"/>
  <c r="H643" i="15"/>
  <c r="G644" i="15"/>
  <c r="H644" i="15"/>
  <c r="G645" i="15"/>
  <c r="H645" i="15"/>
  <c r="G646" i="15"/>
  <c r="H646" i="15"/>
  <c r="G647" i="15"/>
  <c r="H647" i="15"/>
  <c r="G648" i="15"/>
  <c r="H648" i="15"/>
  <c r="G649" i="15"/>
  <c r="H649" i="15"/>
  <c r="G650" i="15"/>
  <c r="H650" i="15"/>
  <c r="G651" i="15"/>
  <c r="H651" i="15"/>
  <c r="G652" i="15"/>
  <c r="H652" i="15"/>
  <c r="G653" i="15"/>
  <c r="H653" i="15"/>
  <c r="G654" i="15"/>
  <c r="H654" i="15"/>
  <c r="G655" i="15"/>
  <c r="H655" i="15"/>
  <c r="G656" i="15"/>
  <c r="H656" i="15"/>
  <c r="G657" i="15"/>
  <c r="H657" i="15"/>
  <c r="G658" i="15"/>
  <c r="H658" i="15"/>
  <c r="G659" i="15"/>
  <c r="H659" i="15"/>
  <c r="G660" i="15"/>
  <c r="H660" i="15"/>
  <c r="G661" i="15"/>
  <c r="H661" i="15"/>
  <c r="G662" i="15"/>
  <c r="H662" i="15"/>
  <c r="G663" i="15"/>
  <c r="H663" i="15"/>
  <c r="G664" i="15"/>
  <c r="H664" i="15"/>
  <c r="G665" i="15"/>
  <c r="H665" i="15"/>
  <c r="G666" i="15"/>
  <c r="H666" i="15"/>
  <c r="G667" i="15"/>
  <c r="H667" i="15"/>
  <c r="G668" i="15"/>
  <c r="H668" i="15"/>
  <c r="G669" i="15"/>
  <c r="H669" i="15"/>
  <c r="G670" i="15"/>
  <c r="H670" i="15"/>
  <c r="G671" i="15"/>
  <c r="H671" i="15"/>
  <c r="G672" i="15"/>
  <c r="H672" i="15"/>
  <c r="G673" i="15"/>
  <c r="H673" i="15"/>
  <c r="G674" i="15"/>
  <c r="H674" i="15"/>
  <c r="G675" i="15"/>
  <c r="H675" i="15"/>
  <c r="G676" i="15"/>
  <c r="H676" i="15"/>
  <c r="G677" i="15"/>
  <c r="H677" i="15"/>
  <c r="G678" i="15"/>
  <c r="H678" i="15"/>
  <c r="G679" i="15"/>
  <c r="H679" i="15"/>
  <c r="G680" i="15"/>
  <c r="H680" i="15"/>
  <c r="G681" i="15"/>
  <c r="H681" i="15"/>
  <c r="G682" i="15"/>
  <c r="H682" i="15"/>
  <c r="G683" i="15"/>
  <c r="H683" i="15"/>
  <c r="G684" i="15"/>
  <c r="H684" i="15"/>
  <c r="G685" i="15"/>
  <c r="H685" i="15"/>
  <c r="G686" i="15"/>
  <c r="H686" i="15"/>
  <c r="G687" i="15"/>
  <c r="H687" i="15"/>
  <c r="G688" i="15"/>
  <c r="H688" i="15"/>
  <c r="G689" i="15"/>
  <c r="H689" i="15"/>
  <c r="G690" i="15"/>
  <c r="H690" i="15"/>
  <c r="G691" i="15"/>
  <c r="H691" i="15"/>
  <c r="G692" i="15"/>
  <c r="H692" i="15"/>
  <c r="G693" i="15"/>
  <c r="H693" i="15"/>
  <c r="G694" i="15"/>
  <c r="H694" i="15"/>
  <c r="G695" i="15"/>
  <c r="H695" i="15"/>
  <c r="G696" i="15"/>
  <c r="H696" i="15"/>
  <c r="G697" i="15"/>
  <c r="H697" i="15"/>
  <c r="G698" i="15"/>
  <c r="H698" i="15"/>
  <c r="G699" i="15"/>
  <c r="H699" i="15"/>
  <c r="G700" i="15"/>
  <c r="H700" i="15"/>
  <c r="G701" i="15"/>
  <c r="H701" i="15"/>
  <c r="G702" i="15"/>
  <c r="H702" i="15"/>
  <c r="G703" i="15"/>
  <c r="H703" i="15"/>
  <c r="G704" i="15"/>
  <c r="H704" i="15"/>
  <c r="G705" i="15"/>
  <c r="H705" i="15"/>
  <c r="G706" i="15"/>
  <c r="H706" i="15"/>
  <c r="G707" i="15"/>
  <c r="H707" i="15"/>
  <c r="G708" i="15"/>
  <c r="H708" i="15"/>
  <c r="G709" i="15"/>
  <c r="H709" i="15"/>
  <c r="G710" i="15"/>
  <c r="H710" i="15"/>
  <c r="G711" i="15"/>
  <c r="H711" i="15"/>
  <c r="G712" i="15"/>
  <c r="H712" i="15"/>
  <c r="G713" i="15"/>
  <c r="H713" i="15"/>
  <c r="G714" i="15"/>
  <c r="H714" i="15"/>
  <c r="G715" i="15"/>
  <c r="H715" i="15"/>
  <c r="G716" i="15"/>
  <c r="H716" i="15"/>
  <c r="G717" i="15"/>
  <c r="H717" i="15"/>
  <c r="G718" i="15"/>
  <c r="H718" i="15"/>
  <c r="G719" i="15"/>
  <c r="H719" i="15"/>
  <c r="G720" i="15"/>
  <c r="H720" i="15"/>
  <c r="G721" i="15"/>
  <c r="H721" i="15"/>
  <c r="G722" i="15"/>
  <c r="H722" i="15"/>
  <c r="G723" i="15"/>
  <c r="H723" i="15"/>
  <c r="G724" i="15"/>
  <c r="H724" i="15"/>
  <c r="G725" i="15"/>
  <c r="H725" i="15"/>
  <c r="G726" i="15"/>
  <c r="H726" i="15"/>
  <c r="G727" i="15"/>
  <c r="H727" i="15"/>
  <c r="G728" i="15"/>
  <c r="H728" i="15"/>
  <c r="G729" i="15"/>
  <c r="H729" i="15"/>
  <c r="G730" i="15"/>
  <c r="H730" i="15"/>
  <c r="G731" i="15"/>
  <c r="H731" i="15"/>
  <c r="G732" i="15"/>
  <c r="H732" i="15"/>
  <c r="G733" i="15"/>
  <c r="H733" i="15"/>
  <c r="G734" i="15"/>
  <c r="H734" i="15"/>
  <c r="G735" i="15"/>
  <c r="H735" i="15"/>
  <c r="G736" i="15"/>
  <c r="H736" i="15"/>
  <c r="G737" i="15"/>
  <c r="H737" i="15"/>
  <c r="G738" i="15"/>
  <c r="H738" i="15"/>
  <c r="G739" i="15"/>
  <c r="H739" i="15"/>
  <c r="G740" i="15"/>
  <c r="H740" i="15"/>
  <c r="G743" i="15"/>
  <c r="H743" i="15"/>
  <c r="G744" i="15"/>
  <c r="H744" i="15"/>
  <c r="AG1" i="12" l="1"/>
  <c r="AJ2" i="12"/>
  <c r="AK2" i="12"/>
  <c r="AN2" i="12"/>
  <c r="AL2" i="12" s="1" a="1"/>
  <c r="AL2" i="12" s="1"/>
  <c r="P3" i="12"/>
  <c r="R3" i="12"/>
  <c r="AJ3" i="12"/>
  <c r="AK3" i="12"/>
  <c r="AN3" i="12"/>
  <c r="AL3" i="12" s="1" a="1"/>
  <c r="AL3" i="12" s="1"/>
  <c r="P4" i="12"/>
  <c r="R4" i="12" s="1"/>
  <c r="AJ4" i="12"/>
  <c r="AK4" i="12"/>
  <c r="AN4" i="12"/>
  <c r="AL4" i="12" s="1" a="1"/>
  <c r="AL4" i="12" s="1"/>
  <c r="P5" i="12"/>
  <c r="R5" i="12" s="1"/>
  <c r="AJ5" i="12"/>
  <c r="AK5" i="12"/>
  <c r="AL5" i="12" a="1"/>
  <c r="AL5" i="12" s="1"/>
  <c r="AN5" i="12"/>
  <c r="P6" i="12"/>
  <c r="R6" i="12" s="1"/>
  <c r="AJ6" i="12"/>
  <c r="AK6" i="12"/>
  <c r="AN6" i="12"/>
  <c r="AL6" i="12" s="1" a="1"/>
  <c r="AL6" i="12" s="1"/>
  <c r="P7" i="12"/>
  <c r="R7" i="12"/>
  <c r="AJ7" i="12"/>
  <c r="AK7" i="12"/>
  <c r="AN7" i="12"/>
  <c r="AL7" i="12" s="1" a="1"/>
  <c r="AL7" i="12" s="1"/>
  <c r="P8" i="12"/>
  <c r="R8" i="12" s="1"/>
  <c r="AJ8" i="12"/>
  <c r="AK8" i="12"/>
  <c r="AN8" i="12"/>
  <c r="AL8" i="12" s="1" a="1"/>
  <c r="AL8" i="12" s="1"/>
  <c r="P9" i="12"/>
  <c r="R9" i="12" s="1"/>
  <c r="AJ9" i="12"/>
  <c r="AK9" i="12"/>
  <c r="AL9" i="12" a="1"/>
  <c r="AL9" i="12" s="1"/>
  <c r="AN9" i="12"/>
  <c r="P10" i="12"/>
  <c r="R10" i="12"/>
  <c r="AJ10" i="12"/>
  <c r="AL10" i="12" s="1" a="1"/>
  <c r="AL10" i="12" s="1"/>
  <c r="AK10" i="12"/>
  <c r="AN10" i="12"/>
  <c r="P11" i="12"/>
  <c r="R11" i="12"/>
  <c r="AJ11" i="12"/>
  <c r="AK11" i="12"/>
  <c r="AN11" i="12"/>
  <c r="AL11" i="12" s="1" a="1"/>
  <c r="AL11" i="12" s="1"/>
  <c r="P12" i="12"/>
  <c r="R12" i="12" s="1"/>
  <c r="AJ12" i="12"/>
  <c r="AK12" i="12"/>
  <c r="AL12" i="12" a="1"/>
  <c r="AL12" i="12" s="1"/>
  <c r="AN12" i="12"/>
  <c r="P13" i="12"/>
  <c r="R13" i="12" s="1"/>
  <c r="AJ13" i="12"/>
  <c r="AK13" i="12"/>
  <c r="AL13" i="12" a="1"/>
  <c r="AL13" i="12" s="1"/>
  <c r="AN13" i="12"/>
  <c r="P14" i="12"/>
  <c r="R14" i="12"/>
  <c r="AJ14" i="12"/>
  <c r="AK14" i="12"/>
  <c r="AN14" i="12"/>
  <c r="AL14" i="12" s="1" a="1"/>
  <c r="AL14" i="12" s="1"/>
  <c r="P15" i="12"/>
  <c r="R15" i="12"/>
  <c r="AJ15" i="12"/>
  <c r="AK15" i="12"/>
  <c r="AN15" i="12"/>
  <c r="AL15" i="12" s="1" a="1"/>
  <c r="AL15" i="12" s="1"/>
  <c r="P16" i="12"/>
  <c r="R16" i="12" s="1"/>
  <c r="AJ16" i="12"/>
  <c r="AK16" i="12"/>
  <c r="AN16" i="12"/>
  <c r="AL16" i="12" s="1" a="1"/>
  <c r="AL16" i="12" s="1"/>
  <c r="P17" i="12"/>
  <c r="R17" i="12"/>
  <c r="AJ17" i="12"/>
  <c r="AK17" i="12"/>
  <c r="AL17" i="12" a="1"/>
  <c r="AL17" i="12" s="1"/>
  <c r="AN17" i="12"/>
  <c r="P18" i="12"/>
  <c r="R18" i="12"/>
  <c r="AJ18" i="12"/>
  <c r="AL18" i="12" s="1" a="1"/>
  <c r="AL18" i="12" s="1"/>
  <c r="AK18" i="12"/>
  <c r="AN18" i="12"/>
  <c r="P19" i="12"/>
  <c r="R19" i="12"/>
  <c r="AJ19" i="12"/>
  <c r="AK19" i="12"/>
  <c r="AN19" i="12"/>
  <c r="P20" i="12"/>
  <c r="R20" i="12" s="1"/>
  <c r="AJ20" i="12"/>
  <c r="AK20" i="12"/>
  <c r="AL20" i="12" a="1"/>
  <c r="AL20" i="12" s="1"/>
  <c r="AN20" i="12"/>
  <c r="P21" i="12"/>
  <c r="R21" i="12" s="1"/>
  <c r="AJ21" i="12"/>
  <c r="AK21" i="12"/>
  <c r="AL21" i="12" a="1"/>
  <c r="AL21" i="12" s="1"/>
  <c r="AN21" i="12"/>
  <c r="P22" i="12"/>
  <c r="R22" i="12"/>
  <c r="AJ22" i="12"/>
  <c r="AK22" i="12"/>
  <c r="AN22" i="12"/>
  <c r="AL22" i="12" s="1" a="1"/>
  <c r="AL22" i="12" s="1"/>
  <c r="P23" i="12"/>
  <c r="R23" i="12"/>
  <c r="AJ23" i="12"/>
  <c r="AK23" i="12"/>
  <c r="AN23" i="12"/>
  <c r="AL23" i="12" s="1" a="1"/>
  <c r="AL23" i="12" s="1"/>
  <c r="P24" i="12"/>
  <c r="R24" i="12" s="1"/>
  <c r="AJ24" i="12"/>
  <c r="AK24" i="12"/>
  <c r="AN24" i="12"/>
  <c r="AL24" i="12" s="1" a="1"/>
  <c r="AL24" i="12" s="1"/>
  <c r="D25" i="12"/>
  <c r="E25" i="12"/>
  <c r="F25" i="12"/>
  <c r="G25" i="12"/>
  <c r="H25" i="12"/>
  <c r="I25" i="12"/>
  <c r="J25" i="12"/>
  <c r="K25" i="12"/>
  <c r="L25" i="12"/>
  <c r="M25" i="12"/>
  <c r="N25" i="12"/>
  <c r="O25" i="12"/>
  <c r="Q25" i="12"/>
  <c r="AJ25" i="12"/>
  <c r="AK25" i="12"/>
  <c r="AL25" i="12" a="1"/>
  <c r="AL25" i="12" s="1"/>
  <c r="AN25" i="12"/>
  <c r="D26" i="12"/>
  <c r="E26" i="12"/>
  <c r="F26" i="12"/>
  <c r="G26" i="12"/>
  <c r="H26" i="12"/>
  <c r="I26" i="12"/>
  <c r="P26" i="12" s="1"/>
  <c r="R26" i="12" s="1"/>
  <c r="J26" i="12"/>
  <c r="K26" i="12"/>
  <c r="L26" i="12"/>
  <c r="M26" i="12"/>
  <c r="N26" i="12"/>
  <c r="O26" i="12"/>
  <c r="Q26" i="12"/>
  <c r="AJ26" i="12"/>
  <c r="AK26" i="12"/>
  <c r="AN26" i="12"/>
  <c r="AL26" i="12" s="1" a="1"/>
  <c r="AL26" i="12" s="1"/>
  <c r="AJ27" i="12"/>
  <c r="AK27" i="12"/>
  <c r="AN27" i="12"/>
  <c r="AJ28" i="12"/>
  <c r="AK28" i="12"/>
  <c r="AN28" i="12"/>
  <c r="AL28" i="12" s="1" a="1"/>
  <c r="AL28" i="12" s="1"/>
  <c r="AJ29" i="12"/>
  <c r="AK29" i="12"/>
  <c r="AL29" i="12" a="1"/>
  <c r="AL29" i="12" s="1"/>
  <c r="AN29" i="12"/>
  <c r="AJ30" i="12"/>
  <c r="AK30" i="12"/>
  <c r="AL30" i="12" a="1"/>
  <c r="AL30" i="12" s="1"/>
  <c r="AN30" i="12"/>
  <c r="P31" i="12"/>
  <c r="R31" i="12" s="1"/>
  <c r="AJ31" i="12"/>
  <c r="AK31" i="12"/>
  <c r="AL31" i="12" a="1"/>
  <c r="AL31" i="12" s="1"/>
  <c r="AN31" i="12"/>
  <c r="P32" i="12"/>
  <c r="R32" i="12"/>
  <c r="AJ32" i="12"/>
  <c r="AK32" i="12"/>
  <c r="AL32" i="12"/>
  <c r="AN32" i="12"/>
  <c r="AL32" i="12" s="1" a="1"/>
  <c r="P33" i="12"/>
  <c r="R33" i="12"/>
  <c r="AJ33" i="12"/>
  <c r="AK33" i="12"/>
  <c r="AN33" i="12"/>
  <c r="AL33" i="12" s="1" a="1"/>
  <c r="AL33" i="12" s="1"/>
  <c r="P34" i="12"/>
  <c r="AJ34" i="12"/>
  <c r="AK34" i="12"/>
  <c r="AN34" i="12"/>
  <c r="AL34" i="12" s="1" a="1"/>
  <c r="AL34" i="12" s="1"/>
  <c r="P35" i="12"/>
  <c r="R35" i="12"/>
  <c r="AJ35" i="12"/>
  <c r="AK35" i="12"/>
  <c r="AL35" i="12" a="1"/>
  <c r="AL35" i="12" s="1"/>
  <c r="AN35" i="12"/>
  <c r="D36" i="12"/>
  <c r="E36" i="12"/>
  <c r="F36" i="12"/>
  <c r="G36" i="12"/>
  <c r="H36" i="12"/>
  <c r="I36" i="12"/>
  <c r="J36" i="12"/>
  <c r="K36" i="12"/>
  <c r="L36" i="12"/>
  <c r="M36" i="12"/>
  <c r="N36" i="12"/>
  <c r="O36" i="12"/>
  <c r="Q36" i="12"/>
  <c r="AJ36" i="12"/>
  <c r="AK36" i="12"/>
  <c r="AL36" i="12" a="1"/>
  <c r="AL36" i="12" s="1"/>
  <c r="AN36" i="12"/>
  <c r="D37" i="12"/>
  <c r="E37" i="12"/>
  <c r="F37" i="12"/>
  <c r="G37" i="12"/>
  <c r="H37" i="12"/>
  <c r="I37" i="12"/>
  <c r="J37" i="12"/>
  <c r="K37" i="12"/>
  <c r="L37" i="12"/>
  <c r="M37" i="12"/>
  <c r="N37" i="12"/>
  <c r="O37" i="12"/>
  <c r="Q37" i="12"/>
  <c r="AJ37" i="12"/>
  <c r="AK37" i="12"/>
  <c r="AL37" i="12" a="1"/>
  <c r="AL37" i="12" s="1"/>
  <c r="AN37" i="12"/>
  <c r="AJ38" i="12"/>
  <c r="AK38" i="12"/>
  <c r="AL38" i="12" a="1"/>
  <c r="AL38" i="12" s="1"/>
  <c r="AN38" i="12"/>
  <c r="AJ39" i="12"/>
  <c r="AK39" i="12"/>
  <c r="AN39" i="12"/>
  <c r="AJ40" i="12"/>
  <c r="AL40" i="12" s="1" a="1"/>
  <c r="AK40" i="12"/>
  <c r="AL40" i="12"/>
  <c r="AN40" i="12"/>
  <c r="AJ41" i="12"/>
  <c r="AK41" i="12"/>
  <c r="AL41" i="12" a="1"/>
  <c r="AL41" i="12" s="1"/>
  <c r="AN41" i="12"/>
  <c r="P42" i="12"/>
  <c r="R42" i="12"/>
  <c r="AJ42" i="12"/>
  <c r="AK42" i="12"/>
  <c r="AN42" i="12"/>
  <c r="AL42" i="12" s="1" a="1"/>
  <c r="AL42" i="12" s="1"/>
  <c r="P43" i="12"/>
  <c r="R43" i="12"/>
  <c r="AJ43" i="12"/>
  <c r="AK43" i="12"/>
  <c r="AN43" i="12"/>
  <c r="AL43" i="12" s="1" a="1"/>
  <c r="AL43" i="12" s="1"/>
  <c r="P44" i="12"/>
  <c r="R44" i="12" s="1"/>
  <c r="AJ44" i="12"/>
  <c r="AK44" i="12"/>
  <c r="AN44" i="12"/>
  <c r="AL44" i="12" s="1" a="1"/>
  <c r="AL44" i="12" s="1"/>
  <c r="P45" i="12"/>
  <c r="R45" i="12"/>
  <c r="AJ45" i="12"/>
  <c r="AK45" i="12"/>
  <c r="AL45" i="12" a="1"/>
  <c r="AL45" i="12" s="1"/>
  <c r="AN45" i="12"/>
  <c r="D46" i="12"/>
  <c r="E46" i="12"/>
  <c r="F46" i="12"/>
  <c r="G46" i="12"/>
  <c r="H46" i="12"/>
  <c r="I46" i="12"/>
  <c r="J46" i="12"/>
  <c r="K46" i="12"/>
  <c r="L46" i="12"/>
  <c r="M46" i="12"/>
  <c r="N46" i="12"/>
  <c r="O46" i="12"/>
  <c r="Q46" i="12"/>
  <c r="AJ46" i="12"/>
  <c r="AK46" i="12"/>
  <c r="AL46" i="12" a="1"/>
  <c r="AL46" i="12" s="1"/>
  <c r="AN46" i="12"/>
  <c r="D47" i="12"/>
  <c r="E47" i="12"/>
  <c r="F47" i="12"/>
  <c r="G47" i="12"/>
  <c r="H47" i="12"/>
  <c r="I47" i="12"/>
  <c r="J47" i="12"/>
  <c r="K47" i="12"/>
  <c r="L47" i="12"/>
  <c r="M47" i="12"/>
  <c r="N47" i="12"/>
  <c r="O47" i="12"/>
  <c r="Q47" i="12"/>
  <c r="AJ47" i="12"/>
  <c r="AK47" i="12"/>
  <c r="AL47" i="12" a="1"/>
  <c r="AL47" i="12" s="1"/>
  <c r="AN47" i="12"/>
  <c r="AJ48" i="12"/>
  <c r="AK48" i="12"/>
  <c r="AL48" i="12" a="1"/>
  <c r="AL48" i="12" s="1"/>
  <c r="AN48" i="12"/>
  <c r="AJ49" i="12"/>
  <c r="AK49" i="12"/>
  <c r="AN49" i="12"/>
  <c r="AL49" i="12" s="1" a="1"/>
  <c r="AL49" i="12" s="1"/>
  <c r="AJ50" i="12"/>
  <c r="AL50" i="12" s="1" a="1"/>
  <c r="AK50" i="12"/>
  <c r="AL50" i="12"/>
  <c r="AN50" i="12"/>
  <c r="AJ51" i="12"/>
  <c r="AK51" i="12"/>
  <c r="AL51" i="12" a="1"/>
  <c r="AL51" i="12"/>
  <c r="AN51" i="12"/>
  <c r="AJ52" i="12"/>
  <c r="AK52" i="12"/>
  <c r="AN52" i="12"/>
  <c r="AL52" i="12" s="1" a="1"/>
  <c r="AL52" i="12" s="1"/>
  <c r="AJ53" i="12"/>
  <c r="AK53" i="12"/>
  <c r="AN53" i="12"/>
  <c r="AJ54" i="12"/>
  <c r="AK54" i="12"/>
  <c r="AN54" i="12"/>
  <c r="AL54" i="12" s="1" a="1"/>
  <c r="AL54" i="12" s="1"/>
  <c r="AJ55" i="12"/>
  <c r="AK55" i="12"/>
  <c r="AL55" i="12" a="1"/>
  <c r="AL55" i="12"/>
  <c r="AN55" i="12"/>
  <c r="AJ56" i="12"/>
  <c r="AK56" i="12"/>
  <c r="AL56" i="12" a="1"/>
  <c r="AL56" i="12" s="1"/>
  <c r="AN56" i="12"/>
  <c r="AJ57" i="12"/>
  <c r="AK57" i="12"/>
  <c r="AN57" i="12"/>
  <c r="AJ58" i="12"/>
  <c r="AK58" i="12"/>
  <c r="AN58" i="12"/>
  <c r="AL58" i="12" s="1" a="1"/>
  <c r="AL58" i="12" s="1"/>
  <c r="AJ59" i="12"/>
  <c r="AK59" i="12"/>
  <c r="AL59" i="12" a="1"/>
  <c r="AL59" i="12" s="1"/>
  <c r="AN59" i="12"/>
  <c r="AJ60" i="12"/>
  <c r="AK60" i="12"/>
  <c r="AL60" i="12" a="1"/>
  <c r="AL60" i="12" s="1"/>
  <c r="AN60" i="12"/>
  <c r="AJ61" i="12"/>
  <c r="AK61" i="12"/>
  <c r="AN61" i="12"/>
  <c r="AJ62" i="12"/>
  <c r="AK62" i="12"/>
  <c r="AN62" i="12"/>
  <c r="AL62" i="12" s="1" a="1"/>
  <c r="AL62" i="12" s="1"/>
  <c r="AJ63" i="12"/>
  <c r="AK63" i="12"/>
  <c r="AL63" i="12" a="1"/>
  <c r="AL63" i="12" s="1"/>
  <c r="AN63" i="12"/>
  <c r="AJ64" i="12"/>
  <c r="AK64" i="12"/>
  <c r="AL64" i="12" a="1"/>
  <c r="AL64" i="12" s="1"/>
  <c r="AN64" i="12"/>
  <c r="AJ65" i="12"/>
  <c r="AK65" i="12"/>
  <c r="AN65" i="12"/>
  <c r="AJ66" i="12"/>
  <c r="AK66" i="12"/>
  <c r="AN66" i="12"/>
  <c r="AL66" i="12" s="1" a="1"/>
  <c r="AL66" i="12" s="1"/>
  <c r="AJ67" i="12"/>
  <c r="AK67" i="12"/>
  <c r="AL67" i="12" a="1"/>
  <c r="AL67" i="12" s="1"/>
  <c r="AN67" i="12"/>
  <c r="AJ68" i="12"/>
  <c r="AK68" i="12"/>
  <c r="AL68" i="12" a="1"/>
  <c r="AL68" i="12" s="1"/>
  <c r="AN68" i="12"/>
  <c r="AJ69" i="12"/>
  <c r="AK69" i="12"/>
  <c r="AN69" i="12"/>
  <c r="AJ70" i="12"/>
  <c r="AK70" i="12"/>
  <c r="AN70" i="12"/>
  <c r="AL70" i="12" s="1" a="1"/>
  <c r="AL70" i="12" s="1"/>
  <c r="AJ71" i="12"/>
  <c r="AK71" i="12"/>
  <c r="AL71" i="12" a="1"/>
  <c r="AL71" i="12" s="1"/>
  <c r="AN71" i="12"/>
  <c r="AJ72" i="12"/>
  <c r="AK72" i="12"/>
  <c r="AL72" i="12" a="1"/>
  <c r="AL72" i="12" s="1"/>
  <c r="AN72" i="12"/>
  <c r="AJ73" i="12"/>
  <c r="AK73" i="12"/>
  <c r="AN73" i="12"/>
  <c r="AJ74" i="12"/>
  <c r="AK74" i="12"/>
  <c r="AN74" i="12"/>
  <c r="AL74" i="12" s="1" a="1"/>
  <c r="AL74" i="12" s="1"/>
  <c r="AJ75" i="12"/>
  <c r="AK75" i="12"/>
  <c r="AL75" i="12" a="1"/>
  <c r="AL75" i="12" s="1"/>
  <c r="AN75" i="12"/>
  <c r="AJ76" i="12"/>
  <c r="AK76" i="12"/>
  <c r="AL76" i="12" a="1"/>
  <c r="AL76" i="12" s="1"/>
  <c r="AN76" i="12"/>
  <c r="AJ77" i="12"/>
  <c r="AK77" i="12"/>
  <c r="AN77" i="12"/>
  <c r="AJ78" i="12"/>
  <c r="AK78" i="12"/>
  <c r="AN78" i="12"/>
  <c r="AL78" i="12" s="1" a="1"/>
  <c r="AL78" i="12" s="1"/>
  <c r="AJ79" i="12"/>
  <c r="AK79" i="12"/>
  <c r="AL79" i="12" a="1"/>
  <c r="AL79" i="12" s="1"/>
  <c r="AN79" i="12"/>
  <c r="AJ80" i="12"/>
  <c r="AK80" i="12"/>
  <c r="AL80" i="12" a="1"/>
  <c r="AL80" i="12" s="1"/>
  <c r="AN80" i="12"/>
  <c r="AJ81" i="12"/>
  <c r="AK81" i="12"/>
  <c r="AN81" i="12"/>
  <c r="AJ82" i="12"/>
  <c r="AK82" i="12"/>
  <c r="AN82" i="12"/>
  <c r="AL82" i="12" s="1" a="1"/>
  <c r="AL82" i="12" s="1"/>
  <c r="AJ83" i="12"/>
  <c r="AK83" i="12"/>
  <c r="AL83" i="12" a="1"/>
  <c r="AL83" i="12" s="1"/>
  <c r="AN83" i="12"/>
  <c r="AJ84" i="12"/>
  <c r="AK84" i="12"/>
  <c r="AL84" i="12" a="1"/>
  <c r="AL84" i="12" s="1"/>
  <c r="AN84" i="12"/>
  <c r="AJ85" i="12"/>
  <c r="AK85" i="12"/>
  <c r="AN85" i="12"/>
  <c r="AJ86" i="12"/>
  <c r="AK86" i="12"/>
  <c r="AN86" i="12"/>
  <c r="AL86" i="12" s="1" a="1"/>
  <c r="AL86" i="12" s="1"/>
  <c r="AJ87" i="12"/>
  <c r="AK87" i="12"/>
  <c r="AL87" i="12" a="1"/>
  <c r="AL87" i="12" s="1"/>
  <c r="AN87" i="12"/>
  <c r="AJ88" i="12"/>
  <c r="AK88" i="12"/>
  <c r="AL88" i="12" a="1"/>
  <c r="AL88" i="12" s="1"/>
  <c r="AN88" i="12"/>
  <c r="AJ89" i="12"/>
  <c r="AK89" i="12"/>
  <c r="AN89" i="12"/>
  <c r="AJ90" i="12"/>
  <c r="AK90" i="12"/>
  <c r="AN90" i="12"/>
  <c r="AL90" i="12" s="1" a="1"/>
  <c r="AL90" i="12" s="1"/>
  <c r="AJ91" i="12"/>
  <c r="AK91" i="12"/>
  <c r="AL91" i="12" a="1"/>
  <c r="AL91" i="12" s="1"/>
  <c r="AN91" i="12"/>
  <c r="AJ92" i="12"/>
  <c r="AK92" i="12"/>
  <c r="AL92" i="12" a="1"/>
  <c r="AL92" i="12" s="1"/>
  <c r="AN92" i="12"/>
  <c r="AJ93" i="12"/>
  <c r="AK93" i="12"/>
  <c r="AN93" i="12"/>
  <c r="AJ94" i="12"/>
  <c r="AK94" i="12"/>
  <c r="AN94" i="12"/>
  <c r="AL94" i="12" s="1" a="1"/>
  <c r="AL94" i="12" s="1"/>
  <c r="AJ95" i="12"/>
  <c r="AK95" i="12"/>
  <c r="AL95" i="12" a="1"/>
  <c r="AL95" i="12" s="1"/>
  <c r="AN95" i="12"/>
  <c r="AJ96" i="12"/>
  <c r="AK96" i="12"/>
  <c r="AL96" i="12" a="1"/>
  <c r="AL96" i="12" s="1"/>
  <c r="AN96" i="12"/>
  <c r="AJ97" i="12"/>
  <c r="AK97" i="12"/>
  <c r="AN97" i="12"/>
  <c r="AJ98" i="12"/>
  <c r="AK98" i="12"/>
  <c r="AN98" i="12"/>
  <c r="AL98" i="12" s="1" a="1"/>
  <c r="AL98" i="12" s="1"/>
  <c r="AJ99" i="12"/>
  <c r="AK99" i="12"/>
  <c r="AL99" i="12" a="1"/>
  <c r="AL99" i="12" s="1"/>
  <c r="AN99" i="12"/>
  <c r="AJ100" i="12"/>
  <c r="AK100" i="12"/>
  <c r="AL100" i="12" a="1"/>
  <c r="AL100" i="12" s="1"/>
  <c r="AN100" i="12"/>
  <c r="AJ101" i="12"/>
  <c r="AK101" i="12"/>
  <c r="AN101" i="12"/>
  <c r="AJ102" i="12"/>
  <c r="AK102" i="12"/>
  <c r="AN102" i="12"/>
  <c r="AL102" i="12" s="1" a="1"/>
  <c r="AL102" i="12" s="1"/>
  <c r="AJ103" i="12"/>
  <c r="AK103" i="12"/>
  <c r="AL103" i="12" a="1"/>
  <c r="AL103" i="12" s="1"/>
  <c r="AN103" i="12"/>
  <c r="AJ104" i="12"/>
  <c r="AK104" i="12"/>
  <c r="AL104" i="12" a="1"/>
  <c r="AL104" i="12" s="1"/>
  <c r="AN104" i="12"/>
  <c r="AJ105" i="12"/>
  <c r="AK105" i="12"/>
  <c r="AN105" i="12"/>
  <c r="AJ106" i="12"/>
  <c r="AK106" i="12"/>
  <c r="AN106" i="12"/>
  <c r="AL106" i="12" s="1" a="1"/>
  <c r="AL106" i="12" s="1"/>
  <c r="AJ107" i="12"/>
  <c r="AK107" i="12"/>
  <c r="AL107" i="12" a="1"/>
  <c r="AL107" i="12" s="1"/>
  <c r="AN107" i="12"/>
  <c r="AJ108" i="12"/>
  <c r="AK108" i="12"/>
  <c r="AL108" i="12" a="1"/>
  <c r="AL108" i="12" s="1"/>
  <c r="AN108" i="12"/>
  <c r="AJ109" i="12"/>
  <c r="AK109" i="12"/>
  <c r="AN109" i="12"/>
  <c r="AJ110" i="12"/>
  <c r="AK110" i="12"/>
  <c r="AN110" i="12"/>
  <c r="AL110" i="12" s="1" a="1"/>
  <c r="AL110" i="12" s="1"/>
  <c r="AJ111" i="12"/>
  <c r="AK111" i="12"/>
  <c r="AL111" i="12" a="1"/>
  <c r="AL111" i="12" s="1"/>
  <c r="AN111" i="12"/>
  <c r="AJ112" i="12"/>
  <c r="AK112" i="12"/>
  <c r="AL112" i="12" a="1"/>
  <c r="AL112" i="12" s="1"/>
  <c r="AN112" i="12"/>
  <c r="AJ113" i="12"/>
  <c r="AK113" i="12"/>
  <c r="AN113" i="12"/>
  <c r="AJ114" i="12"/>
  <c r="AK114" i="12"/>
  <c r="AN114" i="12"/>
  <c r="AL114" i="12" s="1" a="1"/>
  <c r="AL114" i="12" s="1"/>
  <c r="AJ115" i="12"/>
  <c r="AK115" i="12"/>
  <c r="AL115" i="12" a="1"/>
  <c r="AL115" i="12" s="1"/>
  <c r="AN115" i="12"/>
  <c r="AJ116" i="12"/>
  <c r="AK116" i="12"/>
  <c r="AL116" i="12" a="1"/>
  <c r="AL116" i="12" s="1"/>
  <c r="AN116" i="12"/>
  <c r="AJ117" i="12"/>
  <c r="AK117" i="12"/>
  <c r="AN117" i="12"/>
  <c r="AJ118" i="12"/>
  <c r="AK118" i="12"/>
  <c r="AN118" i="12"/>
  <c r="AL118" i="12" s="1" a="1"/>
  <c r="AL118" i="12" s="1"/>
  <c r="AJ119" i="12"/>
  <c r="AK119" i="12"/>
  <c r="AL119" i="12" a="1"/>
  <c r="AL119" i="12" s="1"/>
  <c r="AN119" i="12"/>
  <c r="AJ120" i="12"/>
  <c r="AK120" i="12"/>
  <c r="AL120" i="12" a="1"/>
  <c r="AL120" i="12" s="1"/>
  <c r="AN120" i="12"/>
  <c r="AJ121" i="12"/>
  <c r="AK121" i="12"/>
  <c r="AN121" i="12"/>
  <c r="AJ122" i="12"/>
  <c r="AK122" i="12"/>
  <c r="AN122" i="12"/>
  <c r="AL122" i="12" s="1" a="1"/>
  <c r="AL122" i="12" s="1"/>
  <c r="AJ123" i="12"/>
  <c r="AK123" i="12"/>
  <c r="AL123" i="12" a="1"/>
  <c r="AL123" i="12" s="1"/>
  <c r="AN123" i="12"/>
  <c r="AJ124" i="12"/>
  <c r="AK124" i="12"/>
  <c r="AL124" i="12" a="1"/>
  <c r="AL124" i="12" s="1"/>
  <c r="AN124" i="12"/>
  <c r="AJ125" i="12"/>
  <c r="AK125" i="12"/>
  <c r="AN125" i="12"/>
  <c r="AJ126" i="12"/>
  <c r="AK126" i="12"/>
  <c r="AN126" i="12"/>
  <c r="AL126" i="12" s="1" a="1"/>
  <c r="AL126" i="12" s="1"/>
  <c r="AJ127" i="12"/>
  <c r="AK127" i="12"/>
  <c r="AL127" i="12" a="1"/>
  <c r="AL127" i="12" s="1"/>
  <c r="AN127" i="12"/>
  <c r="AJ128" i="12"/>
  <c r="AK128" i="12"/>
  <c r="AL128" i="12" a="1"/>
  <c r="AL128" i="12" s="1"/>
  <c r="AN128" i="12"/>
  <c r="AJ129" i="12"/>
  <c r="AK129" i="12"/>
  <c r="AN129" i="12"/>
  <c r="AJ130" i="12"/>
  <c r="AK130" i="12"/>
  <c r="AN130" i="12"/>
  <c r="AL130" i="12" s="1" a="1"/>
  <c r="AL130" i="12" s="1"/>
  <c r="AJ131" i="12"/>
  <c r="AK131" i="12"/>
  <c r="AL131" i="12" a="1"/>
  <c r="AL131" i="12" s="1"/>
  <c r="AN131" i="12"/>
  <c r="AJ132" i="12"/>
  <c r="AK132" i="12"/>
  <c r="AL132" i="12" a="1"/>
  <c r="AL132" i="12" s="1"/>
  <c r="AN132" i="12"/>
  <c r="AJ133" i="12"/>
  <c r="AK133" i="12"/>
  <c r="AN133" i="12"/>
  <c r="AJ134" i="12"/>
  <c r="AK134" i="12"/>
  <c r="AN134" i="12"/>
  <c r="AL134" i="12" s="1" a="1"/>
  <c r="AL134" i="12" s="1"/>
  <c r="AJ135" i="12"/>
  <c r="AK135" i="12"/>
  <c r="AL135" i="12" a="1"/>
  <c r="AL135" i="12" s="1"/>
  <c r="AN135" i="12"/>
  <c r="AJ136" i="12"/>
  <c r="AK136" i="12"/>
  <c r="AL136" i="12" a="1"/>
  <c r="AL136" i="12" s="1"/>
  <c r="AN136" i="12"/>
  <c r="AJ137" i="12"/>
  <c r="AK137" i="12"/>
  <c r="AN137" i="12"/>
  <c r="AJ138" i="12"/>
  <c r="AK138" i="12"/>
  <c r="AN138" i="12"/>
  <c r="AL138" i="12" s="1" a="1"/>
  <c r="AL138" i="12" s="1"/>
  <c r="AJ139" i="12"/>
  <c r="AK139" i="12"/>
  <c r="AL139" i="12" a="1"/>
  <c r="AL139" i="12" s="1"/>
  <c r="AN139" i="12"/>
  <c r="AJ140" i="12"/>
  <c r="AK140" i="12"/>
  <c r="AL140" i="12" a="1"/>
  <c r="AL140" i="12" s="1"/>
  <c r="AN140" i="12"/>
  <c r="AJ141" i="12"/>
  <c r="AK141" i="12"/>
  <c r="AN141" i="12"/>
  <c r="AJ142" i="12"/>
  <c r="AK142" i="12"/>
  <c r="AN142" i="12"/>
  <c r="AL142" i="12" s="1" a="1"/>
  <c r="AL142" i="12" s="1"/>
  <c r="AJ143" i="12"/>
  <c r="AK143" i="12"/>
  <c r="AL143" i="12" a="1"/>
  <c r="AL143" i="12" s="1"/>
  <c r="AN143" i="12"/>
  <c r="AJ144" i="12"/>
  <c r="AK144" i="12"/>
  <c r="AL144" i="12" a="1"/>
  <c r="AL144" i="12" s="1"/>
  <c r="AN144" i="12"/>
  <c r="AJ145" i="12"/>
  <c r="AK145" i="12"/>
  <c r="AN145" i="12"/>
  <c r="AJ146" i="12"/>
  <c r="AK146" i="12"/>
  <c r="AN146" i="12"/>
  <c r="AL146" i="12" s="1" a="1"/>
  <c r="AL146" i="12" s="1"/>
  <c r="AJ147" i="12"/>
  <c r="AK147" i="12"/>
  <c r="AL147" i="12" a="1"/>
  <c r="AL147" i="12" s="1"/>
  <c r="AN147" i="12"/>
  <c r="AJ148" i="12"/>
  <c r="AK148" i="12"/>
  <c r="AL148" i="12" a="1"/>
  <c r="AL148" i="12" s="1"/>
  <c r="AN148" i="12"/>
  <c r="AJ149" i="12"/>
  <c r="AK149" i="12"/>
  <c r="AN149" i="12"/>
  <c r="AJ150" i="12"/>
  <c r="AK150" i="12"/>
  <c r="AN150" i="12"/>
  <c r="AL150" i="12" s="1" a="1"/>
  <c r="AL150" i="12" s="1"/>
  <c r="AJ151" i="12"/>
  <c r="AK151" i="12"/>
  <c r="AL151" i="12" a="1"/>
  <c r="AL151" i="12" s="1"/>
  <c r="AN151" i="12"/>
  <c r="AJ152" i="12"/>
  <c r="AK152" i="12"/>
  <c r="AL152" i="12" a="1"/>
  <c r="AL152" i="12" s="1"/>
  <c r="AN152" i="12"/>
  <c r="AJ153" i="12"/>
  <c r="AK153" i="12"/>
  <c r="AN153" i="12"/>
  <c r="AJ154" i="12"/>
  <c r="AK154" i="12"/>
  <c r="AN154" i="12"/>
  <c r="AL154" i="12" s="1" a="1"/>
  <c r="AL154" i="12" s="1"/>
  <c r="AJ155" i="12"/>
  <c r="AK155" i="12"/>
  <c r="AL155" i="12" a="1"/>
  <c r="AL155" i="12" s="1"/>
  <c r="AN155" i="12"/>
  <c r="AJ156" i="12"/>
  <c r="AK156" i="12"/>
  <c r="AL156" i="12" a="1"/>
  <c r="AL156" i="12" s="1"/>
  <c r="AN156" i="12"/>
  <c r="AJ157" i="12"/>
  <c r="AK157" i="12"/>
  <c r="AN157" i="12"/>
  <c r="AJ158" i="12"/>
  <c r="AK158" i="12"/>
  <c r="AN158" i="12"/>
  <c r="AL158" i="12" s="1" a="1"/>
  <c r="AL158" i="12" s="1"/>
  <c r="AJ159" i="12"/>
  <c r="AK159" i="12"/>
  <c r="AL159" i="12" a="1"/>
  <c r="AL159" i="12" s="1"/>
  <c r="AN159" i="12"/>
  <c r="AJ160" i="12"/>
  <c r="AK160" i="12"/>
  <c r="AL160" i="12" a="1"/>
  <c r="AL160" i="12" s="1"/>
  <c r="AN160" i="12"/>
  <c r="AJ161" i="12"/>
  <c r="AK161" i="12"/>
  <c r="AN161" i="12"/>
  <c r="AJ162" i="12"/>
  <c r="AK162" i="12"/>
  <c r="AN162" i="12"/>
  <c r="AL162" i="12" s="1" a="1"/>
  <c r="AL162" i="12" s="1"/>
  <c r="AJ163" i="12"/>
  <c r="AK163" i="12"/>
  <c r="AL163" i="12" a="1"/>
  <c r="AL163" i="12" s="1"/>
  <c r="AN163" i="12"/>
  <c r="AJ164" i="12"/>
  <c r="AK164" i="12"/>
  <c r="AL164" i="12" a="1"/>
  <c r="AL164" i="12" s="1"/>
  <c r="AN164" i="12"/>
  <c r="AJ165" i="12"/>
  <c r="AK165" i="12"/>
  <c r="AN165" i="12"/>
  <c r="AJ166" i="12"/>
  <c r="AK166" i="12"/>
  <c r="AN166" i="12"/>
  <c r="AL166" i="12" s="1" a="1"/>
  <c r="AL166" i="12" s="1"/>
  <c r="AJ167" i="12"/>
  <c r="AK167" i="12"/>
  <c r="AL167" i="12" a="1"/>
  <c r="AL167" i="12" s="1"/>
  <c r="AN167" i="12"/>
  <c r="AJ168" i="12"/>
  <c r="AK168" i="12"/>
  <c r="AL168" i="12" a="1"/>
  <c r="AL168" i="12" s="1"/>
  <c r="AN168" i="12"/>
  <c r="AJ169" i="12"/>
  <c r="AK169" i="12"/>
  <c r="AN169" i="12"/>
  <c r="AJ170" i="12"/>
  <c r="AK170" i="12"/>
  <c r="AN170" i="12"/>
  <c r="AL170" i="12" s="1" a="1"/>
  <c r="AL170" i="12" s="1"/>
  <c r="AJ171" i="12"/>
  <c r="AK171" i="12"/>
  <c r="AL171" i="12" a="1"/>
  <c r="AL171" i="12" s="1"/>
  <c r="AN171" i="12"/>
  <c r="AJ172" i="12"/>
  <c r="AK172" i="12"/>
  <c r="AL172" i="12" a="1"/>
  <c r="AL172" i="12" s="1"/>
  <c r="AN172" i="12"/>
  <c r="AJ173" i="12"/>
  <c r="AK173" i="12"/>
  <c r="AN173" i="12"/>
  <c r="AJ174" i="12"/>
  <c r="AK174" i="12"/>
  <c r="AN174" i="12"/>
  <c r="AL174" i="12" s="1" a="1"/>
  <c r="AL174" i="12" s="1"/>
  <c r="AJ175" i="12"/>
  <c r="AK175" i="12"/>
  <c r="AL175" i="12" a="1"/>
  <c r="AL175" i="12" s="1"/>
  <c r="AN175" i="12"/>
  <c r="AJ176" i="12"/>
  <c r="AK176" i="12"/>
  <c r="AL176" i="12" a="1"/>
  <c r="AL176" i="12" s="1"/>
  <c r="AN176" i="12"/>
  <c r="AJ177" i="12"/>
  <c r="AK177" i="12"/>
  <c r="AN177" i="12"/>
  <c r="AJ178" i="12"/>
  <c r="AK178" i="12"/>
  <c r="AN178" i="12"/>
  <c r="AL178" i="12" s="1" a="1"/>
  <c r="AL178" i="12" s="1"/>
  <c r="AJ179" i="12"/>
  <c r="AK179" i="12"/>
  <c r="AL179" i="12" a="1"/>
  <c r="AL179" i="12" s="1"/>
  <c r="AN179" i="12"/>
  <c r="AJ180" i="12"/>
  <c r="AK180" i="12"/>
  <c r="AL180" i="12" a="1"/>
  <c r="AL180" i="12" s="1"/>
  <c r="AN180" i="12"/>
  <c r="AJ181" i="12"/>
  <c r="AK181" i="12"/>
  <c r="AN181" i="12"/>
  <c r="AJ182" i="12"/>
  <c r="AK182" i="12"/>
  <c r="AN182" i="12"/>
  <c r="AL182" i="12" s="1" a="1"/>
  <c r="AL182" i="12" s="1"/>
  <c r="AJ183" i="12"/>
  <c r="AK183" i="12"/>
  <c r="AL183" i="12" a="1"/>
  <c r="AL183" i="12" s="1"/>
  <c r="AN183" i="12"/>
  <c r="AJ184" i="12"/>
  <c r="AK184" i="12"/>
  <c r="AL184" i="12" a="1"/>
  <c r="AL184" i="12" s="1"/>
  <c r="AN184" i="12"/>
  <c r="AJ185" i="12"/>
  <c r="AK185" i="12"/>
  <c r="AN185" i="12"/>
  <c r="AJ186" i="12"/>
  <c r="AK186" i="12"/>
  <c r="AN186" i="12"/>
  <c r="AL186" i="12" s="1" a="1"/>
  <c r="AL186" i="12" s="1"/>
  <c r="AJ187" i="12"/>
  <c r="AK187" i="12"/>
  <c r="AL187" i="12" a="1"/>
  <c r="AL187" i="12" s="1"/>
  <c r="AN187" i="12"/>
  <c r="AJ188" i="12"/>
  <c r="AK188" i="12"/>
  <c r="AL188" i="12" a="1"/>
  <c r="AL188" i="12" s="1"/>
  <c r="AN188" i="12"/>
  <c r="AJ189" i="12"/>
  <c r="AK189" i="12"/>
  <c r="AN189" i="12"/>
  <c r="AJ190" i="12"/>
  <c r="AK190" i="12"/>
  <c r="AN190" i="12"/>
  <c r="AJ191" i="12"/>
  <c r="AK191" i="12"/>
  <c r="AL191" i="12" a="1"/>
  <c r="AL191" i="12" s="1"/>
  <c r="AN191" i="12"/>
  <c r="AJ192" i="12"/>
  <c r="AK192" i="12"/>
  <c r="AL192" i="12" a="1"/>
  <c r="AL192" i="12" s="1"/>
  <c r="AN192" i="12"/>
  <c r="AJ193" i="12"/>
  <c r="AK193" i="12"/>
  <c r="AN193" i="12"/>
  <c r="AJ194" i="12"/>
  <c r="AK194" i="12"/>
  <c r="AN194" i="12"/>
  <c r="AL194" i="12" s="1" a="1"/>
  <c r="AL194" i="12" s="1"/>
  <c r="AJ195" i="12"/>
  <c r="AK195" i="12"/>
  <c r="AL195" i="12" a="1"/>
  <c r="AL195" i="12" s="1"/>
  <c r="AN195" i="12"/>
  <c r="AJ196" i="12"/>
  <c r="AK196" i="12"/>
  <c r="AL196" i="12" a="1"/>
  <c r="AL196" i="12" s="1"/>
  <c r="AN196" i="12"/>
  <c r="AJ197" i="12"/>
  <c r="AK197" i="12"/>
  <c r="AN197" i="12"/>
  <c r="AJ198" i="12"/>
  <c r="AK198" i="12"/>
  <c r="AN198" i="12"/>
  <c r="AL198" i="12" s="1" a="1"/>
  <c r="AL198" i="12" s="1"/>
  <c r="AJ199" i="12"/>
  <c r="AK199" i="12"/>
  <c r="AL199" i="12" a="1"/>
  <c r="AL199" i="12" s="1"/>
  <c r="AN199" i="12"/>
  <c r="AJ200" i="12"/>
  <c r="AK200" i="12"/>
  <c r="AL200" i="12" a="1"/>
  <c r="AL200" i="12" s="1"/>
  <c r="AN200" i="12"/>
  <c r="AJ201" i="12"/>
  <c r="AK201" i="12"/>
  <c r="AN201" i="12"/>
  <c r="AJ202" i="12"/>
  <c r="AK202" i="12"/>
  <c r="AN202" i="12"/>
  <c r="AL202" i="12" s="1" a="1"/>
  <c r="AL202" i="12" s="1"/>
  <c r="AJ203" i="12"/>
  <c r="AK203" i="12"/>
  <c r="AL203" i="12" a="1"/>
  <c r="AL203" i="12" s="1"/>
  <c r="AN203" i="12"/>
  <c r="AJ204" i="12"/>
  <c r="AK204" i="12"/>
  <c r="AL204" i="12" a="1"/>
  <c r="AL204" i="12" s="1"/>
  <c r="AN204" i="12"/>
  <c r="AJ205" i="12"/>
  <c r="AK205" i="12"/>
  <c r="AN205" i="12"/>
  <c r="AJ206" i="12"/>
  <c r="AK206" i="12"/>
  <c r="AN206" i="12"/>
  <c r="AJ207" i="12"/>
  <c r="AK207" i="12"/>
  <c r="AL207" i="12" a="1"/>
  <c r="AL207" i="12" s="1"/>
  <c r="AN207" i="12"/>
  <c r="AJ208" i="12"/>
  <c r="AK208" i="12"/>
  <c r="AL208" i="12" a="1"/>
  <c r="AL208" i="12" s="1"/>
  <c r="AN208" i="12"/>
  <c r="AJ209" i="12"/>
  <c r="AK209" i="12"/>
  <c r="AN209" i="12"/>
  <c r="AJ210" i="12"/>
  <c r="AK210" i="12"/>
  <c r="AN210" i="12"/>
  <c r="AL210" i="12" s="1" a="1"/>
  <c r="AL210" i="12" s="1"/>
  <c r="AJ211" i="12"/>
  <c r="AK211" i="12"/>
  <c r="AL211" i="12" a="1"/>
  <c r="AL211" i="12" s="1"/>
  <c r="AN211" i="12"/>
  <c r="AJ212" i="12"/>
  <c r="AK212" i="12"/>
  <c r="AL212" i="12" a="1"/>
  <c r="AL212" i="12" s="1"/>
  <c r="AN212" i="12"/>
  <c r="AJ213" i="12"/>
  <c r="AK213" i="12"/>
  <c r="AN213" i="12"/>
  <c r="AJ214" i="12"/>
  <c r="AK214" i="12"/>
  <c r="AN214" i="12"/>
  <c r="AL214" i="12" s="1" a="1"/>
  <c r="AL214" i="12" s="1"/>
  <c r="AJ215" i="12"/>
  <c r="AK215" i="12"/>
  <c r="AL215" i="12" a="1"/>
  <c r="AL215" i="12" s="1"/>
  <c r="AN215" i="12"/>
  <c r="AJ216" i="12"/>
  <c r="AK216" i="12"/>
  <c r="AL216" i="12" a="1"/>
  <c r="AL216" i="12" s="1"/>
  <c r="AN216" i="12"/>
  <c r="AJ217" i="12"/>
  <c r="AK217" i="12"/>
  <c r="AN217" i="12"/>
  <c r="AJ218" i="12"/>
  <c r="AK218" i="12"/>
  <c r="AN218" i="12"/>
  <c r="AL218" i="12" s="1" a="1"/>
  <c r="AL218" i="12" s="1"/>
  <c r="AJ219" i="12"/>
  <c r="AK219" i="12"/>
  <c r="AL219" i="12" a="1"/>
  <c r="AL219" i="12" s="1"/>
  <c r="AN219" i="12"/>
  <c r="AJ220" i="12"/>
  <c r="AK220" i="12"/>
  <c r="AL220" i="12" a="1"/>
  <c r="AL220" i="12" s="1"/>
  <c r="AN220" i="12"/>
  <c r="AJ221" i="12"/>
  <c r="AK221" i="12"/>
  <c r="AN221" i="12"/>
  <c r="AL221" i="12" s="1" a="1"/>
  <c r="AL221" i="12" s="1"/>
  <c r="AJ222" i="12"/>
  <c r="AK222" i="12"/>
  <c r="AN222" i="12"/>
  <c r="AJ223" i="12"/>
  <c r="AK223" i="12"/>
  <c r="AL223" i="12" a="1"/>
  <c r="AL223" i="12"/>
  <c r="AN223" i="12"/>
  <c r="AJ224" i="12"/>
  <c r="AK224" i="12"/>
  <c r="AL224" i="12" a="1"/>
  <c r="AL224" i="12" s="1"/>
  <c r="AN224" i="12"/>
  <c r="AJ225" i="12"/>
  <c r="AK225" i="12"/>
  <c r="AN225" i="12"/>
  <c r="AL225" i="12" s="1" a="1"/>
  <c r="AL225" i="12" s="1"/>
  <c r="AJ226" i="12"/>
  <c r="AK226" i="12"/>
  <c r="AN226" i="12"/>
  <c r="AJ227" i="12"/>
  <c r="AK227" i="12"/>
  <c r="AL227" i="12" a="1"/>
  <c r="AL227" i="12"/>
  <c r="AN227" i="12"/>
  <c r="AJ228" i="12"/>
  <c r="AK228" i="12"/>
  <c r="AL228" i="12" a="1"/>
  <c r="AL228" i="12" s="1"/>
  <c r="AN228" i="12"/>
  <c r="AJ229" i="12"/>
  <c r="AK229" i="12"/>
  <c r="AN229" i="12"/>
  <c r="AL229" i="12" s="1" a="1"/>
  <c r="AL229" i="12" s="1"/>
  <c r="AJ230" i="12"/>
  <c r="AK230" i="12"/>
  <c r="AN230" i="12"/>
  <c r="AL230" i="12" s="1" a="1"/>
  <c r="AL230" i="12" s="1"/>
  <c r="AJ231" i="12"/>
  <c r="AK231" i="12"/>
  <c r="AL231" i="12" a="1"/>
  <c r="AL231" i="12" s="1"/>
  <c r="AN231" i="12"/>
  <c r="AJ232" i="12"/>
  <c r="AK232" i="12"/>
  <c r="AL232" i="12" a="1"/>
  <c r="AL232" i="12" s="1"/>
  <c r="AN232" i="12"/>
  <c r="AJ233" i="12"/>
  <c r="AK233" i="12"/>
  <c r="AN233" i="12"/>
  <c r="AL233" i="12" s="1" a="1"/>
  <c r="AL233" i="12" s="1"/>
  <c r="AJ234" i="12"/>
  <c r="AK234" i="12"/>
  <c r="AN234" i="12"/>
  <c r="AL234" i="12" s="1" a="1"/>
  <c r="AL234" i="12" s="1"/>
  <c r="AJ235" i="12"/>
  <c r="AK235" i="12"/>
  <c r="AL235" i="12" a="1"/>
  <c r="AL235" i="12"/>
  <c r="AN235" i="12"/>
  <c r="AJ236" i="12"/>
  <c r="AK236" i="12"/>
  <c r="AL236" i="12" a="1"/>
  <c r="AL236" i="12" s="1"/>
  <c r="AN236" i="12"/>
  <c r="AJ237" i="12"/>
  <c r="AK237" i="12"/>
  <c r="AN237" i="12"/>
  <c r="AL237" i="12" s="1" a="1"/>
  <c r="AL237" i="12" s="1"/>
  <c r="AJ238" i="12"/>
  <c r="AK238" i="12"/>
  <c r="AN238" i="12"/>
  <c r="AL238" i="12" s="1" a="1"/>
  <c r="AL238" i="12" s="1"/>
  <c r="AJ239" i="12"/>
  <c r="AK239" i="12"/>
  <c r="AL239" i="12" a="1"/>
  <c r="AL239" i="12" s="1"/>
  <c r="AN239" i="12"/>
  <c r="AJ240" i="12"/>
  <c r="AK240" i="12"/>
  <c r="AL240" i="12" a="1"/>
  <c r="AL240" i="12" s="1"/>
  <c r="AN240" i="12"/>
  <c r="AJ241" i="12"/>
  <c r="AK241" i="12"/>
  <c r="AN241" i="12"/>
  <c r="AJ242" i="12"/>
  <c r="AK242" i="12"/>
  <c r="AN242" i="12"/>
  <c r="AJ243" i="12"/>
  <c r="AK243" i="12"/>
  <c r="AL243" i="12" a="1"/>
  <c r="AL243" i="12" s="1"/>
  <c r="AN243" i="12"/>
  <c r="AJ244" i="12"/>
  <c r="AK244" i="12"/>
  <c r="AL244" i="12" a="1"/>
  <c r="AL244" i="12" s="1"/>
  <c r="AN244" i="12"/>
  <c r="AJ245" i="12"/>
  <c r="AK245" i="12"/>
  <c r="AN245" i="12"/>
  <c r="AJ246" i="12"/>
  <c r="AK246" i="12"/>
  <c r="AN246" i="12"/>
  <c r="AL246" i="12" s="1" a="1"/>
  <c r="AL246" i="12" s="1"/>
  <c r="AJ247" i="12"/>
  <c r="AK247" i="12"/>
  <c r="AL247" i="12" a="1"/>
  <c r="AL247" i="12"/>
  <c r="AN247" i="12"/>
  <c r="AJ248" i="12"/>
  <c r="AK248" i="12"/>
  <c r="AL248" i="12" a="1"/>
  <c r="AL248" i="12" s="1"/>
  <c r="AN248" i="12"/>
  <c r="AJ249" i="12"/>
  <c r="AK249" i="12"/>
  <c r="AN249" i="12"/>
  <c r="AL249" i="12" s="1" a="1"/>
  <c r="AL249" i="12" s="1"/>
  <c r="AJ250" i="12"/>
  <c r="AK250" i="12"/>
  <c r="AN250" i="12"/>
  <c r="AL250" i="12" s="1" a="1"/>
  <c r="AL250" i="12" s="1"/>
  <c r="AJ251" i="12"/>
  <c r="AK251" i="12"/>
  <c r="AL251" i="12" a="1"/>
  <c r="AL251" i="12" s="1"/>
  <c r="AN251" i="12"/>
  <c r="AJ252" i="12"/>
  <c r="AK252" i="12"/>
  <c r="AL252" i="12" a="1"/>
  <c r="AL252" i="12" s="1"/>
  <c r="AN252" i="12"/>
  <c r="AJ253" i="12"/>
  <c r="AK253" i="12"/>
  <c r="AN253" i="12"/>
  <c r="AL253" i="12" s="1" a="1"/>
  <c r="AL253" i="12" s="1"/>
  <c r="AJ254" i="12"/>
  <c r="AK254" i="12"/>
  <c r="AL254" i="12"/>
  <c r="AN254" i="12"/>
  <c r="AL254" i="12" s="1" a="1"/>
  <c r="AJ255" i="12"/>
  <c r="AK255" i="12"/>
  <c r="AL255" i="12" a="1"/>
  <c r="AL255" i="12" s="1"/>
  <c r="AN255" i="12"/>
  <c r="AJ256" i="12"/>
  <c r="AK256" i="12"/>
  <c r="AN256" i="12"/>
  <c r="AL256" i="12" s="1" a="1"/>
  <c r="AL256" i="12" s="1"/>
  <c r="AJ257" i="12"/>
  <c r="AK257" i="12"/>
  <c r="AN257" i="12"/>
  <c r="AL257" i="12" s="1" a="1"/>
  <c r="AL257" i="12" s="1"/>
  <c r="AJ258" i="12"/>
  <c r="AK258" i="12"/>
  <c r="AL258" i="12" a="1"/>
  <c r="AL258" i="12" s="1"/>
  <c r="AN258" i="12"/>
  <c r="AJ259" i="12"/>
  <c r="AK259" i="12"/>
  <c r="AL259" i="12" a="1"/>
  <c r="AL259" i="12" s="1"/>
  <c r="AN259" i="12"/>
  <c r="AJ260" i="12"/>
  <c r="AK260" i="12"/>
  <c r="AL260" i="12" a="1"/>
  <c r="AL260" i="12" s="1"/>
  <c r="AN260" i="12"/>
  <c r="AJ261" i="12"/>
  <c r="AK261" i="12"/>
  <c r="AN261" i="12"/>
  <c r="AJ262" i="12"/>
  <c r="AK262" i="12"/>
  <c r="AN262" i="12"/>
  <c r="AL262" i="12" s="1" a="1"/>
  <c r="AL262" i="12" s="1"/>
  <c r="AJ263" i="12"/>
  <c r="AK263" i="12"/>
  <c r="AL263" i="12" a="1"/>
  <c r="AL263" i="12"/>
  <c r="AN263" i="12"/>
  <c r="AJ264" i="12"/>
  <c r="AK264" i="12"/>
  <c r="AN264" i="12"/>
  <c r="AL264" i="12" s="1" a="1"/>
  <c r="AL264" i="12" s="1"/>
  <c r="AJ265" i="12"/>
  <c r="AK265" i="12"/>
  <c r="AN265" i="12"/>
  <c r="AG266" i="12"/>
  <c r="AJ266" i="12"/>
  <c r="AK266" i="12"/>
  <c r="AL266" i="12" a="1"/>
  <c r="AL266" i="12" s="1"/>
  <c r="AN266" i="12"/>
  <c r="AJ267" i="12"/>
  <c r="AK267" i="12"/>
  <c r="AL267" i="12" a="1"/>
  <c r="AL267" i="12" s="1"/>
  <c r="AN267" i="12"/>
  <c r="AJ268" i="12"/>
  <c r="AK268" i="12"/>
  <c r="AN268" i="12"/>
  <c r="AJ269" i="12"/>
  <c r="AK269" i="12"/>
  <c r="AN269" i="12"/>
  <c r="AJ270" i="12"/>
  <c r="AK270" i="12"/>
  <c r="AL270" i="12" a="1"/>
  <c r="AL270" i="12" s="1"/>
  <c r="AN270" i="12"/>
  <c r="AJ271" i="12"/>
  <c r="AK271" i="12"/>
  <c r="AL271" i="12" a="1"/>
  <c r="AL271" i="12" s="1"/>
  <c r="AN271" i="12"/>
  <c r="AJ272" i="12"/>
  <c r="AK272" i="12"/>
  <c r="AN272" i="12"/>
  <c r="AJ273" i="12"/>
  <c r="AK273" i="12"/>
  <c r="AN273" i="12"/>
  <c r="AL273" i="12" s="1" a="1"/>
  <c r="AL273" i="12" s="1"/>
  <c r="AJ274" i="12"/>
  <c r="AK274" i="12"/>
  <c r="AL274" i="12" a="1"/>
  <c r="AL274" i="12" s="1"/>
  <c r="AN274" i="12"/>
  <c r="AJ275" i="12"/>
  <c r="AK275" i="12"/>
  <c r="AL275" i="12" a="1"/>
  <c r="AL275" i="12" s="1"/>
  <c r="AN275" i="12"/>
  <c r="AJ276" i="12"/>
  <c r="AK276" i="12"/>
  <c r="AN276" i="12"/>
  <c r="AJ277" i="12"/>
  <c r="AK277" i="12"/>
  <c r="AL277" i="12" a="1"/>
  <c r="AL277" i="12" s="1"/>
  <c r="AN277" i="12"/>
  <c r="AJ278" i="12"/>
  <c r="AK278" i="12"/>
  <c r="AL278" i="12" a="1"/>
  <c r="AL278" i="12"/>
  <c r="AN278" i="12"/>
  <c r="AJ279" i="12"/>
  <c r="AL279" i="12" s="1" a="1"/>
  <c r="AL279" i="12" s="1"/>
  <c r="AK279" i="12"/>
  <c r="AN279" i="12"/>
  <c r="AJ280" i="12"/>
  <c r="AK280" i="12"/>
  <c r="AN280" i="12"/>
  <c r="AL280" i="12" s="1" a="1"/>
  <c r="AL280" i="12" s="1"/>
  <c r="AJ281" i="12"/>
  <c r="AK281" i="12"/>
  <c r="AN281" i="12"/>
  <c r="AJ282" i="12"/>
  <c r="AK282" i="12"/>
  <c r="AL282" i="12" a="1"/>
  <c r="AL282" i="12" s="1"/>
  <c r="AN282" i="12"/>
  <c r="AJ283" i="12"/>
  <c r="AK283" i="12"/>
  <c r="AN283" i="12"/>
  <c r="AL283" i="12" s="1" a="1"/>
  <c r="AL283" i="12" s="1"/>
  <c r="AJ284" i="12"/>
  <c r="AK284" i="12"/>
  <c r="AN284" i="12"/>
  <c r="AL284" i="12" s="1" a="1"/>
  <c r="AL284" i="12" s="1"/>
  <c r="AJ285" i="12"/>
  <c r="AK285" i="12"/>
  <c r="AN285" i="12"/>
  <c r="AL285" i="12" s="1" a="1"/>
  <c r="AL285" i="12" s="1"/>
  <c r="AJ286" i="12"/>
  <c r="AK286" i="12"/>
  <c r="AL286" i="12" a="1"/>
  <c r="AL286" i="12" s="1"/>
  <c r="AN286" i="12"/>
  <c r="AJ287" i="12"/>
  <c r="AK287" i="12"/>
  <c r="AL287" i="12" a="1"/>
  <c r="AL287" i="12" s="1"/>
  <c r="AN287" i="12"/>
  <c r="AJ288" i="12"/>
  <c r="AK288" i="12"/>
  <c r="AN288" i="12"/>
  <c r="AL288" i="12" s="1" a="1"/>
  <c r="AL288" i="12" s="1"/>
  <c r="AJ289" i="12"/>
  <c r="AK289" i="12"/>
  <c r="AN289" i="12"/>
  <c r="AJ290" i="12"/>
  <c r="AK290" i="12"/>
  <c r="AL290" i="12" a="1"/>
  <c r="AL290" i="12" s="1"/>
  <c r="AN290" i="12"/>
  <c r="AJ291" i="12"/>
  <c r="AK291" i="12"/>
  <c r="AN291" i="12"/>
  <c r="AL291" i="12" s="1" a="1"/>
  <c r="AL291" i="12" s="1"/>
  <c r="AJ292" i="12"/>
  <c r="AK292" i="12"/>
  <c r="AN292" i="12"/>
  <c r="AL292" i="12" s="1" a="1"/>
  <c r="AL292" i="12" s="1"/>
  <c r="AJ293" i="12"/>
  <c r="AK293" i="12"/>
  <c r="AN293" i="12"/>
  <c r="AL293" i="12" s="1" a="1"/>
  <c r="AL293" i="12" s="1"/>
  <c r="AJ294" i="12"/>
  <c r="AK294" i="12"/>
  <c r="AL294" i="12" a="1"/>
  <c r="AL294" i="12" s="1"/>
  <c r="AN294" i="12"/>
  <c r="AJ295" i="12"/>
  <c r="AK295" i="12"/>
  <c r="AL295" i="12" a="1"/>
  <c r="AL295" i="12" s="1"/>
  <c r="AN295" i="12"/>
  <c r="AJ296" i="12"/>
  <c r="AK296" i="12"/>
  <c r="AN296" i="12"/>
  <c r="AL296" i="12" s="1" a="1"/>
  <c r="AL296" i="12" s="1"/>
  <c r="AJ297" i="12"/>
  <c r="AK297" i="12"/>
  <c r="AL297" i="12"/>
  <c r="AN297" i="12"/>
  <c r="AL297" i="12" s="1" a="1"/>
  <c r="AJ298" i="12"/>
  <c r="AK298" i="12"/>
  <c r="AL298" i="12" a="1"/>
  <c r="AL298" i="12" s="1"/>
  <c r="AN298" i="12"/>
  <c r="AJ299" i="12"/>
  <c r="AK299" i="12"/>
  <c r="AL299" i="12" a="1"/>
  <c r="AL299" i="12" s="1"/>
  <c r="AN299" i="12"/>
  <c r="AJ300" i="12"/>
  <c r="AK300" i="12"/>
  <c r="AN300" i="12"/>
  <c r="AL300" i="12" s="1" a="1"/>
  <c r="AL300" i="12" s="1"/>
  <c r="AJ301" i="12"/>
  <c r="AK301" i="12"/>
  <c r="AL301" i="12" a="1"/>
  <c r="AL301" i="12" s="1"/>
  <c r="AN301" i="12"/>
  <c r="AJ302" i="12"/>
  <c r="AK302" i="12"/>
  <c r="AL302" i="12" a="1"/>
  <c r="AL302" i="12" s="1"/>
  <c r="AN302" i="12"/>
  <c r="AJ303" i="12"/>
  <c r="AL303" i="12" s="1" a="1"/>
  <c r="AL303" i="12" s="1"/>
  <c r="AK303" i="12"/>
  <c r="AN303" i="12"/>
  <c r="AJ304" i="12"/>
  <c r="AK304" i="12"/>
  <c r="AN304" i="12"/>
  <c r="AJ305" i="12"/>
  <c r="AK305" i="12"/>
  <c r="AN305" i="12"/>
  <c r="AL305" i="12" s="1" a="1"/>
  <c r="AL305" i="12" s="1"/>
  <c r="AJ306" i="12"/>
  <c r="AK306" i="12"/>
  <c r="AL306" i="12" a="1"/>
  <c r="AL306" i="12" s="1"/>
  <c r="AN306" i="12"/>
  <c r="AJ307" i="12"/>
  <c r="AK307" i="12"/>
  <c r="AN307" i="12"/>
  <c r="AL307" i="12" s="1" a="1"/>
  <c r="AL307" i="12" s="1"/>
  <c r="AJ308" i="12"/>
  <c r="AK308" i="12"/>
  <c r="AN308" i="12"/>
  <c r="AJ309" i="12"/>
  <c r="AK309" i="12"/>
  <c r="AN309" i="12"/>
  <c r="AL309" i="12" s="1" a="1"/>
  <c r="AL309" i="12" s="1"/>
  <c r="AJ310" i="12"/>
  <c r="AK310" i="12"/>
  <c r="AL310" i="12" a="1"/>
  <c r="AL310" i="12"/>
  <c r="AN310" i="12"/>
  <c r="AJ311" i="12"/>
  <c r="AK311" i="12"/>
  <c r="AL311" i="12" a="1"/>
  <c r="AL311" i="12" s="1"/>
  <c r="AN311" i="12"/>
  <c r="AJ312" i="12"/>
  <c r="AK312" i="12"/>
  <c r="AN312" i="12"/>
  <c r="AJ313" i="12"/>
  <c r="AK313" i="12"/>
  <c r="AN313" i="12"/>
  <c r="AL313" i="12" s="1" a="1"/>
  <c r="AL313" i="12" s="1"/>
  <c r="AJ314" i="12"/>
  <c r="AK314" i="12"/>
  <c r="AL314" i="12" a="1"/>
  <c r="AL314" i="12" s="1"/>
  <c r="AN314" i="12"/>
  <c r="AJ315" i="12"/>
  <c r="AK315" i="12"/>
  <c r="AL315" i="12" a="1"/>
  <c r="AL315" i="12" s="1"/>
  <c r="AN315" i="12"/>
  <c r="AJ316" i="12"/>
  <c r="AK316" i="12"/>
  <c r="AN316" i="12"/>
  <c r="AL316" i="12" s="1" a="1"/>
  <c r="AL316" i="12" s="1"/>
  <c r="AJ317" i="12"/>
  <c r="AK317" i="12"/>
  <c r="AL317" i="12" a="1"/>
  <c r="AL317" i="12" s="1"/>
  <c r="AN317" i="12"/>
  <c r="AJ318" i="12"/>
  <c r="AK318" i="12"/>
  <c r="AL318" i="12" a="1"/>
  <c r="AL318" i="12" s="1"/>
  <c r="AN318" i="12"/>
  <c r="AJ319" i="12"/>
  <c r="AL319" i="12" s="1" a="1"/>
  <c r="AL319" i="12" s="1"/>
  <c r="AK319" i="12"/>
  <c r="AN319" i="12"/>
  <c r="AJ320" i="12"/>
  <c r="AK320" i="12"/>
  <c r="AN320" i="12"/>
  <c r="AL320" i="12" s="1" a="1"/>
  <c r="AL320" i="12" s="1"/>
  <c r="AJ321" i="12"/>
  <c r="AK321" i="12"/>
  <c r="AN321" i="12"/>
  <c r="AL321" i="12" s="1" a="1"/>
  <c r="AL321" i="12" s="1"/>
  <c r="AJ322" i="12"/>
  <c r="AK322" i="12"/>
  <c r="AL322" i="12" a="1"/>
  <c r="AL322" i="12" s="1"/>
  <c r="AN322" i="12"/>
  <c r="AJ323" i="12"/>
  <c r="AK323" i="12"/>
  <c r="AL323" i="12" a="1"/>
  <c r="AL323" i="12" s="1"/>
  <c r="AN323" i="12"/>
  <c r="AJ324" i="12"/>
  <c r="AK324" i="12"/>
  <c r="AN324" i="12"/>
  <c r="AJ325" i="12"/>
  <c r="AK325" i="12"/>
  <c r="AN325" i="12"/>
  <c r="AL325" i="12" s="1" a="1"/>
  <c r="AL325" i="12" s="1"/>
  <c r="AG326" i="12"/>
  <c r="AJ326" i="12"/>
  <c r="AK326" i="12"/>
  <c r="AN326" i="12"/>
  <c r="AL326" i="12" s="1" a="1"/>
  <c r="AL326" i="12" s="1"/>
  <c r="AJ327" i="12"/>
  <c r="AK327" i="12"/>
  <c r="AN327" i="12"/>
  <c r="AL327" i="12" s="1" a="1"/>
  <c r="AL327" i="12" s="1"/>
  <c r="AJ328" i="12"/>
  <c r="AK328" i="12"/>
  <c r="AL328" i="12" a="1"/>
  <c r="AL328" i="12" s="1"/>
  <c r="AN328" i="12"/>
  <c r="AJ329" i="12"/>
  <c r="AK329" i="12"/>
  <c r="AL329" i="12" a="1"/>
  <c r="AL329" i="12" s="1"/>
  <c r="AN329" i="12"/>
  <c r="AJ330" i="12"/>
  <c r="AK330" i="12"/>
  <c r="AN330" i="12"/>
  <c r="AL330" i="12" s="1" a="1"/>
  <c r="AL330" i="12" s="1"/>
  <c r="AJ331" i="12"/>
  <c r="AK331" i="12"/>
  <c r="AN331" i="12"/>
  <c r="AL331" i="12" s="1" a="1"/>
  <c r="AL331" i="12" s="1"/>
  <c r="AJ332" i="12"/>
  <c r="AK332" i="12"/>
  <c r="AL332" i="12" a="1"/>
  <c r="AL332" i="12"/>
  <c r="AN332" i="12"/>
  <c r="AJ333" i="12"/>
  <c r="AK333" i="12"/>
  <c r="AN333" i="12"/>
  <c r="AL333" i="12" s="1" a="1"/>
  <c r="AL333" i="12" s="1"/>
  <c r="AJ334" i="12"/>
  <c r="AK334" i="12"/>
  <c r="AN334" i="12"/>
  <c r="AL334" i="12" s="1" a="1"/>
  <c r="AL334" i="12" s="1"/>
  <c r="AJ335" i="12"/>
  <c r="AK335" i="12"/>
  <c r="AN335" i="12"/>
  <c r="AL335" i="12" s="1" a="1"/>
  <c r="AL335" i="12" s="1"/>
  <c r="AJ336" i="12"/>
  <c r="AK336" i="12"/>
  <c r="AL336" i="12" a="1"/>
  <c r="AL336" i="12" s="1"/>
  <c r="AN336" i="12"/>
  <c r="AJ337" i="12"/>
  <c r="AK337" i="12"/>
  <c r="AL337" i="12" a="1"/>
  <c r="AL337" i="12" s="1"/>
  <c r="AN337" i="12"/>
  <c r="AJ338" i="12"/>
  <c r="AK338" i="12"/>
  <c r="AN338" i="12"/>
  <c r="AL338" i="12" s="1" a="1"/>
  <c r="AL338" i="12" s="1"/>
  <c r="AJ339" i="12"/>
  <c r="AK339" i="12"/>
  <c r="AN339" i="12"/>
  <c r="AL339" i="12" s="1" a="1"/>
  <c r="AL339" i="12" s="1"/>
  <c r="AJ340" i="12"/>
  <c r="AK340" i="12"/>
  <c r="AL340" i="12" a="1"/>
  <c r="AL340" i="12"/>
  <c r="AN340" i="12"/>
  <c r="AJ341" i="12"/>
  <c r="AK341" i="12"/>
  <c r="AN341" i="12"/>
  <c r="AL341" i="12" s="1" a="1"/>
  <c r="AL341" i="12" s="1"/>
  <c r="AJ342" i="12"/>
  <c r="AK342" i="12"/>
  <c r="AN342" i="12"/>
  <c r="AL342" i="12" s="1" a="1"/>
  <c r="AL342" i="12" s="1"/>
  <c r="AJ343" i="12"/>
  <c r="AK343" i="12"/>
  <c r="AN343" i="12"/>
  <c r="AL343" i="12" s="1" a="1"/>
  <c r="AL343" i="12" s="1"/>
  <c r="AJ344" i="12"/>
  <c r="AK344" i="12"/>
  <c r="AL344" i="12" a="1"/>
  <c r="AL344" i="12" s="1"/>
  <c r="AN344" i="12"/>
  <c r="AJ345" i="12"/>
  <c r="AK345" i="12"/>
  <c r="AL345" i="12" a="1"/>
  <c r="AL345" i="12" s="1"/>
  <c r="AN345" i="12"/>
  <c r="AJ346" i="12"/>
  <c r="AK346" i="12"/>
  <c r="AN346" i="12"/>
  <c r="AL346" i="12" s="1" a="1"/>
  <c r="AL346" i="12" s="1"/>
  <c r="AJ347" i="12"/>
  <c r="AK347" i="12"/>
  <c r="AN347" i="12"/>
  <c r="AL347" i="12" s="1" a="1"/>
  <c r="AL347" i="12" s="1"/>
  <c r="AJ348" i="12"/>
  <c r="AK348" i="12"/>
  <c r="AL348" i="12" a="1"/>
  <c r="AL348" i="12"/>
  <c r="AN348" i="12"/>
  <c r="AJ349" i="12"/>
  <c r="AK349" i="12"/>
  <c r="AN349" i="12"/>
  <c r="AL349" i="12" s="1" a="1"/>
  <c r="AL349" i="12" s="1"/>
  <c r="AJ350" i="12"/>
  <c r="AK350" i="12"/>
  <c r="AN350" i="12"/>
  <c r="AL350" i="12" s="1" a="1"/>
  <c r="AL350" i="12" s="1"/>
  <c r="AJ351" i="12"/>
  <c r="AK351" i="12"/>
  <c r="AN351" i="12"/>
  <c r="AL351" i="12" s="1" a="1"/>
  <c r="AL351" i="12" s="1"/>
  <c r="AJ352" i="12"/>
  <c r="AK352" i="12"/>
  <c r="AL352" i="12" a="1"/>
  <c r="AL352" i="12" s="1"/>
  <c r="AN352" i="12"/>
  <c r="AJ353" i="12"/>
  <c r="AK353" i="12"/>
  <c r="AL353" i="12" a="1"/>
  <c r="AL353" i="12" s="1"/>
  <c r="AN353" i="12"/>
  <c r="AJ354" i="12"/>
  <c r="AK354" i="12"/>
  <c r="AN354" i="12"/>
  <c r="AL354" i="12" s="1" a="1"/>
  <c r="AL354" i="12" s="1"/>
  <c r="AJ355" i="12"/>
  <c r="AK355" i="12"/>
  <c r="AN355" i="12"/>
  <c r="AL355" i="12" s="1" a="1"/>
  <c r="AL355" i="12" s="1"/>
  <c r="AJ356" i="12"/>
  <c r="AK356" i="12"/>
  <c r="AL356" i="12" a="1"/>
  <c r="AL356" i="12"/>
  <c r="AN356" i="12"/>
  <c r="AJ357" i="12"/>
  <c r="AK357" i="12"/>
  <c r="AN357" i="12"/>
  <c r="AL357" i="12" s="1" a="1"/>
  <c r="AL357" i="12" s="1"/>
  <c r="AJ358" i="12"/>
  <c r="AK358" i="12"/>
  <c r="AN358" i="12"/>
  <c r="AL358" i="12" s="1" a="1"/>
  <c r="AL358" i="12" s="1"/>
  <c r="AJ359" i="12"/>
  <c r="AK359" i="12"/>
  <c r="AN359" i="12"/>
  <c r="AL359" i="12" s="1" a="1"/>
  <c r="AL359" i="12" s="1"/>
  <c r="AJ360" i="12"/>
  <c r="AK360" i="12"/>
  <c r="AL360" i="12" a="1"/>
  <c r="AL360" i="12" s="1"/>
  <c r="AN360" i="12"/>
  <c r="AJ361" i="12"/>
  <c r="AK361" i="12"/>
  <c r="AL361" i="12" a="1"/>
  <c r="AL361" i="12" s="1"/>
  <c r="AN361" i="12"/>
  <c r="AJ362" i="12"/>
  <c r="AK362" i="12"/>
  <c r="AN362" i="12"/>
  <c r="AL362" i="12" s="1" a="1"/>
  <c r="AL362" i="12" s="1"/>
  <c r="AJ363" i="12"/>
  <c r="AK363" i="12"/>
  <c r="AN363" i="12"/>
  <c r="AL363" i="12" s="1" a="1"/>
  <c r="AL363" i="12" s="1"/>
  <c r="AJ364" i="12"/>
  <c r="AK364" i="12"/>
  <c r="AL364" i="12" a="1"/>
  <c r="AL364" i="12"/>
  <c r="AN364" i="12"/>
  <c r="AJ365" i="12"/>
  <c r="AK365" i="12"/>
  <c r="AN365" i="12"/>
  <c r="AL365" i="12" s="1" a="1"/>
  <c r="AL365" i="12" s="1"/>
  <c r="AJ366" i="12"/>
  <c r="AK366" i="12"/>
  <c r="AN366" i="12"/>
  <c r="AL366" i="12" s="1" a="1"/>
  <c r="AL366" i="12" s="1"/>
  <c r="AJ367" i="12"/>
  <c r="AK367" i="12"/>
  <c r="AN367" i="12"/>
  <c r="AL367" i="12" s="1" a="1"/>
  <c r="AL367" i="12" s="1"/>
  <c r="AJ368" i="12"/>
  <c r="AK368" i="12"/>
  <c r="AL368" i="12" a="1"/>
  <c r="AL368" i="12" s="1"/>
  <c r="AN368" i="12"/>
  <c r="AJ369" i="12"/>
  <c r="AK369" i="12"/>
  <c r="AL369" i="12" a="1"/>
  <c r="AL369" i="12" s="1"/>
  <c r="AN369" i="12"/>
  <c r="AJ370" i="12"/>
  <c r="AK370" i="12"/>
  <c r="AN370" i="12"/>
  <c r="AL370" i="12" s="1" a="1"/>
  <c r="AL370" i="12" s="1"/>
  <c r="AJ371" i="12"/>
  <c r="AK371" i="12"/>
  <c r="AN371" i="12"/>
  <c r="AL371" i="12" s="1" a="1"/>
  <c r="AL371" i="12" s="1"/>
  <c r="AJ372" i="12"/>
  <c r="AK372" i="12"/>
  <c r="AL372" i="12" a="1"/>
  <c r="AL372" i="12"/>
  <c r="AN372" i="12"/>
  <c r="AJ373" i="12"/>
  <c r="AK373" i="12"/>
  <c r="AN373" i="12"/>
  <c r="AL373" i="12" s="1" a="1"/>
  <c r="AL373" i="12" s="1"/>
  <c r="G3" i="10"/>
  <c r="H3" i="10" s="1"/>
  <c r="M3" i="10"/>
  <c r="G4" i="10"/>
  <c r="I4" i="10" s="1"/>
  <c r="H4" i="10"/>
  <c r="M4" i="10"/>
  <c r="G5" i="10"/>
  <c r="M5" i="10"/>
  <c r="G6" i="10"/>
  <c r="I6" i="10" s="1"/>
  <c r="H6" i="10"/>
  <c r="M6" i="10"/>
  <c r="G7" i="10"/>
  <c r="M7" i="10"/>
  <c r="G8" i="10"/>
  <c r="I8" i="10" s="1"/>
  <c r="H8" i="10"/>
  <c r="M8" i="10"/>
  <c r="G9" i="10"/>
  <c r="M9" i="10"/>
  <c r="G10" i="10"/>
  <c r="I10" i="10" s="1"/>
  <c r="H10" i="10"/>
  <c r="M10" i="10"/>
  <c r="G11" i="10"/>
  <c r="M11" i="10"/>
  <c r="G12" i="10"/>
  <c r="I12" i="10" s="1"/>
  <c r="H12" i="10"/>
  <c r="M12" i="10"/>
  <c r="G13" i="10"/>
  <c r="M13" i="10"/>
  <c r="G14" i="10"/>
  <c r="I14" i="10" s="1"/>
  <c r="H14" i="10"/>
  <c r="M14" i="10"/>
  <c r="G15" i="10"/>
  <c r="M15" i="10"/>
  <c r="G16" i="10"/>
  <c r="I16" i="10" s="1"/>
  <c r="H16" i="10"/>
  <c r="M16" i="10"/>
  <c r="G17" i="10"/>
  <c r="M17" i="10"/>
  <c r="G18" i="10"/>
  <c r="I18" i="10" s="1"/>
  <c r="H18" i="10"/>
  <c r="M18" i="10"/>
  <c r="G19" i="10"/>
  <c r="M19" i="10"/>
  <c r="G20" i="10"/>
  <c r="I20" i="10" s="1"/>
  <c r="H20" i="10"/>
  <c r="M20" i="10"/>
  <c r="G21" i="10"/>
  <c r="M21" i="10"/>
  <c r="G22" i="10"/>
  <c r="I22" i="10" s="1"/>
  <c r="H22" i="10"/>
  <c r="M22" i="10"/>
  <c r="G23" i="10"/>
  <c r="M23" i="10"/>
  <c r="G24" i="10"/>
  <c r="I24" i="10" s="1"/>
  <c r="H24" i="10"/>
  <c r="M24" i="10"/>
  <c r="G25" i="10"/>
  <c r="M25" i="10"/>
  <c r="G26" i="10"/>
  <c r="I26" i="10" s="1"/>
  <c r="H26" i="10"/>
  <c r="M26" i="10"/>
  <c r="G27" i="10"/>
  <c r="M27" i="10"/>
  <c r="G28" i="10"/>
  <c r="I28" i="10" s="1"/>
  <c r="H28" i="10"/>
  <c r="M28" i="10"/>
  <c r="G29" i="10"/>
  <c r="M29" i="10"/>
  <c r="G30" i="10"/>
  <c r="I30" i="10" s="1"/>
  <c r="H30" i="10"/>
  <c r="M30" i="10"/>
  <c r="G31" i="10"/>
  <c r="M31" i="10"/>
  <c r="G32" i="10"/>
  <c r="I32" i="10" s="1"/>
  <c r="H32" i="10"/>
  <c r="M32" i="10"/>
  <c r="G33" i="10"/>
  <c r="M33" i="10"/>
  <c r="G34" i="10"/>
  <c r="I34" i="10" s="1"/>
  <c r="H34" i="10"/>
  <c r="M34" i="10"/>
  <c r="G35" i="10"/>
  <c r="M35" i="10"/>
  <c r="G36" i="10"/>
  <c r="I36" i="10" s="1"/>
  <c r="H36" i="10"/>
  <c r="M36" i="10"/>
  <c r="G37" i="10"/>
  <c r="M37" i="10"/>
  <c r="G38" i="10"/>
  <c r="I38" i="10" s="1"/>
  <c r="H38" i="10"/>
  <c r="M38" i="10"/>
  <c r="G39" i="10"/>
  <c r="M39" i="10"/>
  <c r="G40" i="10"/>
  <c r="I40" i="10" s="1"/>
  <c r="H40" i="10"/>
  <c r="M40" i="10"/>
  <c r="G41" i="10"/>
  <c r="M41" i="10"/>
  <c r="G42" i="10"/>
  <c r="I42" i="10" s="1"/>
  <c r="H42" i="10"/>
  <c r="M42" i="10"/>
  <c r="G43" i="10"/>
  <c r="M43" i="10"/>
  <c r="G44" i="10"/>
  <c r="I44" i="10" s="1"/>
  <c r="H44" i="10"/>
  <c r="M44" i="10"/>
  <c r="G45" i="10"/>
  <c r="M45" i="10"/>
  <c r="G46" i="10"/>
  <c r="I46" i="10" s="1"/>
  <c r="H46" i="10"/>
  <c r="M46" i="10"/>
  <c r="G47" i="10"/>
  <c r="M47" i="10"/>
  <c r="G48" i="10"/>
  <c r="I48" i="10" s="1"/>
  <c r="H48" i="10"/>
  <c r="M48" i="10"/>
  <c r="G49" i="10"/>
  <c r="M49" i="10"/>
  <c r="G50" i="10"/>
  <c r="I50" i="10" s="1"/>
  <c r="H50" i="10"/>
  <c r="M50" i="10"/>
  <c r="G51" i="10"/>
  <c r="M51" i="10"/>
  <c r="G52" i="10"/>
  <c r="I52" i="10" s="1"/>
  <c r="H52" i="10"/>
  <c r="M52" i="10"/>
  <c r="G53" i="10"/>
  <c r="M53" i="10"/>
  <c r="G54" i="10"/>
  <c r="I54" i="10" s="1"/>
  <c r="H54" i="10"/>
  <c r="M54" i="10"/>
  <c r="G55" i="10"/>
  <c r="M55" i="10"/>
  <c r="G56" i="10"/>
  <c r="I56" i="10" s="1"/>
  <c r="H56" i="10"/>
  <c r="M56" i="10"/>
  <c r="G57" i="10"/>
  <c r="M57" i="10"/>
  <c r="G58" i="10"/>
  <c r="I58" i="10" s="1"/>
  <c r="H58" i="10"/>
  <c r="M58" i="10"/>
  <c r="G59" i="10"/>
  <c r="M59" i="10"/>
  <c r="G60" i="10"/>
  <c r="I60" i="10" s="1"/>
  <c r="H60" i="10"/>
  <c r="M60" i="10"/>
  <c r="G61" i="10"/>
  <c r="M61" i="10"/>
  <c r="G62" i="10"/>
  <c r="I62" i="10" s="1"/>
  <c r="H62" i="10"/>
  <c r="M62" i="10"/>
  <c r="G63" i="10"/>
  <c r="M63" i="10"/>
  <c r="G64" i="10"/>
  <c r="I64" i="10" s="1"/>
  <c r="H64" i="10"/>
  <c r="M64" i="10"/>
  <c r="G65" i="10"/>
  <c r="M65" i="10"/>
  <c r="G66" i="10"/>
  <c r="I66" i="10" s="1"/>
  <c r="H66" i="10"/>
  <c r="M66" i="10"/>
  <c r="G67" i="10"/>
  <c r="M67" i="10"/>
  <c r="G68" i="10"/>
  <c r="I68" i="10" s="1"/>
  <c r="H68" i="10"/>
  <c r="M68" i="10"/>
  <c r="G69" i="10"/>
  <c r="M69" i="10"/>
  <c r="G70" i="10"/>
  <c r="I70" i="10" s="1"/>
  <c r="H70" i="10"/>
  <c r="M70" i="10"/>
  <c r="G71" i="10"/>
  <c r="M71" i="10"/>
  <c r="G72" i="10"/>
  <c r="I72" i="10" s="1"/>
  <c r="H72" i="10"/>
  <c r="M72" i="10"/>
  <c r="G73" i="10"/>
  <c r="M73" i="10"/>
  <c r="G74" i="10"/>
  <c r="I74" i="10" s="1"/>
  <c r="H74" i="10"/>
  <c r="M74" i="10"/>
  <c r="G75" i="10"/>
  <c r="M75" i="10"/>
  <c r="G76" i="10"/>
  <c r="I76" i="10" s="1"/>
  <c r="H76" i="10"/>
  <c r="M76" i="10"/>
  <c r="G77" i="10"/>
  <c r="M77" i="10"/>
  <c r="G78" i="10"/>
  <c r="I78" i="10" s="1"/>
  <c r="H78" i="10"/>
  <c r="M78" i="10"/>
  <c r="G79" i="10"/>
  <c r="M79" i="10"/>
  <c r="G80" i="10"/>
  <c r="I80" i="10" s="1"/>
  <c r="H80" i="10"/>
  <c r="M80" i="10"/>
  <c r="G81" i="10"/>
  <c r="M81" i="10"/>
  <c r="G82" i="10"/>
  <c r="I82" i="10" s="1"/>
  <c r="H82" i="10"/>
  <c r="M82" i="10"/>
  <c r="G83" i="10"/>
  <c r="M83" i="10"/>
  <c r="G84" i="10"/>
  <c r="I84" i="10" s="1"/>
  <c r="H84" i="10"/>
  <c r="M84" i="10"/>
  <c r="G85" i="10"/>
  <c r="M85" i="10"/>
  <c r="G86" i="10"/>
  <c r="I86" i="10" s="1"/>
  <c r="H86" i="10"/>
  <c r="M86" i="10"/>
  <c r="G87" i="10"/>
  <c r="M87" i="10"/>
  <c r="G88" i="10"/>
  <c r="I88" i="10" s="1"/>
  <c r="H88" i="10"/>
  <c r="M88" i="10"/>
  <c r="G89" i="10"/>
  <c r="M89" i="10"/>
  <c r="G90" i="10"/>
  <c r="I90" i="10" s="1"/>
  <c r="H90" i="10"/>
  <c r="M90" i="10"/>
  <c r="G91" i="10"/>
  <c r="M91" i="10"/>
  <c r="G92" i="10"/>
  <c r="I92" i="10" s="1"/>
  <c r="H92" i="10"/>
  <c r="M92" i="10"/>
  <c r="G93" i="10"/>
  <c r="M93" i="10"/>
  <c r="G94" i="10"/>
  <c r="I94" i="10" s="1"/>
  <c r="H94" i="10"/>
  <c r="M94" i="10"/>
  <c r="G95" i="10"/>
  <c r="M95" i="10"/>
  <c r="G96" i="10"/>
  <c r="I96" i="10" s="1"/>
  <c r="H96" i="10"/>
  <c r="M96" i="10"/>
  <c r="G97" i="10"/>
  <c r="M97" i="10"/>
  <c r="G98" i="10"/>
  <c r="I98" i="10" s="1"/>
  <c r="H98" i="10"/>
  <c r="M98" i="10"/>
  <c r="G99" i="10"/>
  <c r="M99" i="10"/>
  <c r="G100" i="10"/>
  <c r="I100" i="10" s="1"/>
  <c r="H100" i="10"/>
  <c r="M100" i="10"/>
  <c r="G101" i="10"/>
  <c r="M101" i="10"/>
  <c r="G102" i="10"/>
  <c r="I102" i="10" s="1"/>
  <c r="H102" i="10"/>
  <c r="M102" i="10"/>
  <c r="G103" i="10"/>
  <c r="M103" i="10"/>
  <c r="G104" i="10"/>
  <c r="I104" i="10" s="1"/>
  <c r="H104" i="10"/>
  <c r="M104" i="10"/>
  <c r="G105" i="10"/>
  <c r="M105" i="10"/>
  <c r="G106" i="10"/>
  <c r="I106" i="10" s="1"/>
  <c r="H106" i="10"/>
  <c r="M106" i="10"/>
  <c r="G107" i="10"/>
  <c r="M107" i="10"/>
  <c r="G108" i="10"/>
  <c r="I108" i="10" s="1"/>
  <c r="H108" i="10"/>
  <c r="M108" i="10"/>
  <c r="G109" i="10"/>
  <c r="H109" i="10" s="1"/>
  <c r="M109" i="10"/>
  <c r="G110" i="10"/>
  <c r="I110" i="10" s="1"/>
  <c r="H110" i="10"/>
  <c r="M110" i="10"/>
  <c r="G111" i="10"/>
  <c r="M111" i="10"/>
  <c r="G112" i="10"/>
  <c r="I112" i="10" s="1"/>
  <c r="H112" i="10"/>
  <c r="M112" i="10"/>
  <c r="G113" i="10"/>
  <c r="H113" i="10" s="1"/>
  <c r="M113" i="10"/>
  <c r="G114" i="10"/>
  <c r="I114" i="10" s="1"/>
  <c r="H114" i="10"/>
  <c r="M114" i="10"/>
  <c r="G115" i="10"/>
  <c r="H115" i="10" s="1"/>
  <c r="M115" i="10"/>
  <c r="G116" i="10"/>
  <c r="I116" i="10" s="1"/>
  <c r="H116" i="10"/>
  <c r="M116" i="10"/>
  <c r="G117" i="10"/>
  <c r="H117" i="10" s="1"/>
  <c r="M117" i="10"/>
  <c r="G118" i="10"/>
  <c r="I118" i="10" s="1"/>
  <c r="H118" i="10"/>
  <c r="M118" i="10"/>
  <c r="G119" i="10"/>
  <c r="M119" i="10"/>
  <c r="G120" i="10"/>
  <c r="I120" i="10" s="1"/>
  <c r="H120" i="10"/>
  <c r="M120" i="10"/>
  <c r="G121" i="10"/>
  <c r="H121" i="10" s="1"/>
  <c r="M121" i="10"/>
  <c r="G122" i="10"/>
  <c r="I122" i="10" s="1"/>
  <c r="H122" i="10"/>
  <c r="M122" i="10"/>
  <c r="G123" i="10"/>
  <c r="H123" i="10" s="1"/>
  <c r="M123" i="10"/>
  <c r="G124" i="10"/>
  <c r="I124" i="10" s="1"/>
  <c r="H124" i="10"/>
  <c r="M124" i="10"/>
  <c r="G125" i="10"/>
  <c r="H125" i="10" s="1"/>
  <c r="M125" i="10"/>
  <c r="G126" i="10"/>
  <c r="I126" i="10" s="1"/>
  <c r="H126" i="10"/>
  <c r="M126" i="10"/>
  <c r="G127" i="10"/>
  <c r="M127" i="10"/>
  <c r="G128" i="10"/>
  <c r="I128" i="10" s="1"/>
  <c r="H128" i="10"/>
  <c r="M128" i="10"/>
  <c r="G129" i="10"/>
  <c r="H129" i="10" s="1"/>
  <c r="M129" i="10"/>
  <c r="G130" i="10"/>
  <c r="I130" i="10" s="1"/>
  <c r="H130" i="10"/>
  <c r="M130" i="10"/>
  <c r="G131" i="10"/>
  <c r="H131" i="10" s="1"/>
  <c r="M131" i="10"/>
  <c r="G132" i="10"/>
  <c r="I132" i="10" s="1"/>
  <c r="H132" i="10"/>
  <c r="M132" i="10"/>
  <c r="G133" i="10"/>
  <c r="H133" i="10" s="1"/>
  <c r="M133" i="10"/>
  <c r="G134" i="10"/>
  <c r="I134" i="10" s="1"/>
  <c r="H134" i="10"/>
  <c r="M134" i="10"/>
  <c r="G135" i="10"/>
  <c r="M135" i="10"/>
  <c r="G136" i="10"/>
  <c r="I136" i="10" s="1"/>
  <c r="H136" i="10"/>
  <c r="M136" i="10"/>
  <c r="G137" i="10"/>
  <c r="H137" i="10" s="1"/>
  <c r="M137" i="10"/>
  <c r="G138" i="10"/>
  <c r="I138" i="10" s="1"/>
  <c r="H138" i="10"/>
  <c r="M138" i="10"/>
  <c r="G139" i="10"/>
  <c r="H139" i="10" s="1"/>
  <c r="M139" i="10"/>
  <c r="G140" i="10"/>
  <c r="I140" i="10" s="1"/>
  <c r="H140" i="10"/>
  <c r="M140" i="10"/>
  <c r="G141" i="10"/>
  <c r="H141" i="10" s="1"/>
  <c r="M141" i="10"/>
  <c r="G142" i="10"/>
  <c r="I142" i="10" s="1"/>
  <c r="H142" i="10"/>
  <c r="M142" i="10"/>
  <c r="G143" i="10"/>
  <c r="M143" i="10"/>
  <c r="G144" i="10"/>
  <c r="I144" i="10" s="1"/>
  <c r="H144" i="10"/>
  <c r="M144" i="10"/>
  <c r="G145" i="10"/>
  <c r="H145" i="10" s="1"/>
  <c r="M145" i="10"/>
  <c r="G146" i="10"/>
  <c r="I146" i="10" s="1"/>
  <c r="H146" i="10"/>
  <c r="M146" i="10"/>
  <c r="G147" i="10"/>
  <c r="H147" i="10" s="1"/>
  <c r="M147" i="10"/>
  <c r="G148" i="10"/>
  <c r="I148" i="10" s="1"/>
  <c r="H148" i="10"/>
  <c r="M148" i="10"/>
  <c r="G149" i="10"/>
  <c r="M149" i="10"/>
  <c r="G150" i="10"/>
  <c r="I150" i="10" s="1"/>
  <c r="H150" i="10"/>
  <c r="M150" i="10"/>
  <c r="G151" i="10"/>
  <c r="M151" i="10"/>
  <c r="G152" i="10"/>
  <c r="I152" i="10" s="1"/>
  <c r="H152" i="10"/>
  <c r="M152" i="10"/>
  <c r="G153" i="10"/>
  <c r="H153" i="10" s="1"/>
  <c r="M153" i="10"/>
  <c r="G154" i="10"/>
  <c r="I154" i="10" s="1"/>
  <c r="H154" i="10"/>
  <c r="M154" i="10"/>
  <c r="G155" i="10"/>
  <c r="M155" i="10"/>
  <c r="G156" i="10"/>
  <c r="I156" i="10" s="1"/>
  <c r="H156" i="10"/>
  <c r="M156" i="10"/>
  <c r="G157" i="10"/>
  <c r="M157" i="10"/>
  <c r="G158" i="10"/>
  <c r="I158" i="10" s="1"/>
  <c r="H158" i="10"/>
  <c r="M158" i="10"/>
  <c r="G159" i="10"/>
  <c r="M159" i="10"/>
  <c r="G160" i="10"/>
  <c r="I160" i="10" s="1"/>
  <c r="H160" i="10"/>
  <c r="M160" i="10"/>
  <c r="G161" i="10"/>
  <c r="H161" i="10" s="1"/>
  <c r="M161" i="10"/>
  <c r="G162" i="10"/>
  <c r="I162" i="10" s="1"/>
  <c r="H162" i="10"/>
  <c r="M162" i="10"/>
  <c r="G163" i="10"/>
  <c r="M163" i="10"/>
  <c r="G164" i="10"/>
  <c r="I164" i="10" s="1"/>
  <c r="H164" i="10"/>
  <c r="M164" i="10"/>
  <c r="G165" i="10"/>
  <c r="M165" i="10"/>
  <c r="G166" i="10"/>
  <c r="I166" i="10" s="1"/>
  <c r="H166" i="10"/>
  <c r="M166" i="10"/>
  <c r="G167" i="10"/>
  <c r="H167" i="10" s="1"/>
  <c r="I167" i="10"/>
  <c r="M167" i="10"/>
  <c r="G168" i="10"/>
  <c r="H168" i="10" s="1"/>
  <c r="I168" i="10"/>
  <c r="M168" i="10"/>
  <c r="G169" i="10"/>
  <c r="H169" i="10" s="1"/>
  <c r="I169" i="10"/>
  <c r="M169" i="10"/>
  <c r="G170" i="10"/>
  <c r="H170" i="10"/>
  <c r="I170" i="10"/>
  <c r="M170" i="10"/>
  <c r="G171" i="10"/>
  <c r="H171" i="10" s="1"/>
  <c r="I171" i="10"/>
  <c r="M171" i="10"/>
  <c r="G172" i="10"/>
  <c r="H172" i="10" s="1"/>
  <c r="I172" i="10"/>
  <c r="M172" i="10"/>
  <c r="G173" i="10"/>
  <c r="H173" i="10" s="1"/>
  <c r="I173" i="10"/>
  <c r="M173" i="10"/>
  <c r="G174" i="10"/>
  <c r="H174" i="10" s="1"/>
  <c r="I174" i="10"/>
  <c r="M174" i="10"/>
  <c r="G175" i="10"/>
  <c r="H175" i="10" s="1"/>
  <c r="M175" i="10"/>
  <c r="G176" i="10"/>
  <c r="H176" i="10" s="1"/>
  <c r="I176" i="10"/>
  <c r="M176" i="10"/>
  <c r="G177" i="10"/>
  <c r="H177" i="10" s="1"/>
  <c r="M177" i="10"/>
  <c r="G178" i="10"/>
  <c r="H178" i="10" s="1"/>
  <c r="M178" i="10"/>
  <c r="G179" i="10"/>
  <c r="M179" i="10"/>
  <c r="G180" i="10"/>
  <c r="H180" i="10" s="1"/>
  <c r="I180" i="10"/>
  <c r="M180" i="10"/>
  <c r="G181" i="10"/>
  <c r="H181" i="10" s="1"/>
  <c r="I181" i="10"/>
  <c r="M181" i="10"/>
  <c r="G182" i="10"/>
  <c r="H182" i="10" s="1"/>
  <c r="I182" i="10"/>
  <c r="M182" i="10"/>
  <c r="G183" i="10"/>
  <c r="H183" i="10" s="1"/>
  <c r="M183" i="10"/>
  <c r="G184" i="10"/>
  <c r="H184" i="10" s="1"/>
  <c r="I184" i="10"/>
  <c r="M184" i="10"/>
  <c r="G185" i="10"/>
  <c r="H185" i="10" s="1"/>
  <c r="M185" i="10"/>
  <c r="G186" i="10"/>
  <c r="H186" i="10" s="1"/>
  <c r="M186" i="10"/>
  <c r="G187" i="10"/>
  <c r="M187" i="10"/>
  <c r="G188" i="10"/>
  <c r="H188" i="10" s="1"/>
  <c r="I188" i="10"/>
  <c r="M188" i="10"/>
  <c r="G189" i="10"/>
  <c r="H189" i="10" s="1"/>
  <c r="I189" i="10"/>
  <c r="M189" i="10"/>
  <c r="G190" i="10"/>
  <c r="H190" i="10" s="1"/>
  <c r="I190" i="10"/>
  <c r="M190" i="10"/>
  <c r="G191" i="10"/>
  <c r="H191" i="10" s="1"/>
  <c r="M191" i="10"/>
  <c r="G192" i="10"/>
  <c r="H192" i="10" s="1"/>
  <c r="I192" i="10"/>
  <c r="M192" i="10"/>
  <c r="G193" i="10"/>
  <c r="H193" i="10" s="1"/>
  <c r="M193" i="10"/>
  <c r="G194" i="10"/>
  <c r="H194" i="10" s="1"/>
  <c r="M194" i="10"/>
  <c r="G195" i="10"/>
  <c r="M195" i="10"/>
  <c r="G196" i="10"/>
  <c r="H196" i="10" s="1"/>
  <c r="I196" i="10"/>
  <c r="M196" i="10"/>
  <c r="G197" i="10"/>
  <c r="H197" i="10" s="1"/>
  <c r="I197" i="10"/>
  <c r="M197" i="10"/>
  <c r="G198" i="10"/>
  <c r="H198" i="10" s="1"/>
  <c r="I198" i="10"/>
  <c r="M198" i="10"/>
  <c r="G199" i="10"/>
  <c r="H199" i="10" s="1"/>
  <c r="M199" i="10"/>
  <c r="G200" i="10"/>
  <c r="H200" i="10" s="1"/>
  <c r="I200" i="10"/>
  <c r="M200" i="10"/>
  <c r="G201" i="10"/>
  <c r="H201" i="10" s="1"/>
  <c r="M201" i="10"/>
  <c r="G202" i="10"/>
  <c r="H202" i="10" s="1"/>
  <c r="M202" i="10"/>
  <c r="G203" i="10"/>
  <c r="M203" i="10"/>
  <c r="G204" i="10"/>
  <c r="H204" i="10" s="1"/>
  <c r="I204" i="10"/>
  <c r="M204" i="10"/>
  <c r="G205" i="10"/>
  <c r="H205" i="10" s="1"/>
  <c r="I205" i="10"/>
  <c r="M205" i="10"/>
  <c r="G206" i="10"/>
  <c r="H206" i="10" s="1"/>
  <c r="I206" i="10"/>
  <c r="M206" i="10"/>
  <c r="G207" i="10"/>
  <c r="H207" i="10" s="1"/>
  <c r="M207" i="10"/>
  <c r="G208" i="10"/>
  <c r="H208" i="10" s="1"/>
  <c r="I208" i="10"/>
  <c r="M208" i="10"/>
  <c r="G209" i="10"/>
  <c r="H209" i="10" s="1"/>
  <c r="M209" i="10"/>
  <c r="G210" i="10"/>
  <c r="H210" i="10" s="1"/>
  <c r="M210" i="10"/>
  <c r="G211" i="10"/>
  <c r="M211" i="10"/>
  <c r="G212" i="10"/>
  <c r="H212" i="10" s="1"/>
  <c r="I212" i="10"/>
  <c r="M212" i="10"/>
  <c r="G213" i="10"/>
  <c r="H213" i="10" s="1"/>
  <c r="I213" i="10"/>
  <c r="M213" i="10"/>
  <c r="G214" i="10"/>
  <c r="H214" i="10" s="1"/>
  <c r="I214" i="10"/>
  <c r="M214" i="10"/>
  <c r="G215" i="10"/>
  <c r="H215" i="10" s="1"/>
  <c r="M215" i="10"/>
  <c r="G216" i="10"/>
  <c r="H216" i="10" s="1"/>
  <c r="I216" i="10"/>
  <c r="M216" i="10"/>
  <c r="G217" i="10"/>
  <c r="H217" i="10" s="1"/>
  <c r="M217" i="10"/>
  <c r="G218" i="10"/>
  <c r="H218" i="10" s="1"/>
  <c r="M218" i="10"/>
  <c r="G219" i="10"/>
  <c r="M219" i="10"/>
  <c r="G220" i="10"/>
  <c r="H220" i="10" s="1"/>
  <c r="I220" i="10"/>
  <c r="M220" i="10"/>
  <c r="G221" i="10"/>
  <c r="H221" i="10" s="1"/>
  <c r="I221" i="10"/>
  <c r="M221" i="10"/>
  <c r="G222" i="10"/>
  <c r="H222" i="10" s="1"/>
  <c r="I222" i="10"/>
  <c r="M222" i="10"/>
  <c r="G223" i="10"/>
  <c r="H223" i="10" s="1"/>
  <c r="M223" i="10"/>
  <c r="G224" i="10"/>
  <c r="H224" i="10" s="1"/>
  <c r="I224" i="10"/>
  <c r="M224" i="10"/>
  <c r="G225" i="10"/>
  <c r="H225" i="10" s="1"/>
  <c r="M225" i="10"/>
  <c r="G226" i="10"/>
  <c r="H226" i="10" s="1"/>
  <c r="M226" i="10"/>
  <c r="G227" i="10"/>
  <c r="M227" i="10"/>
  <c r="G228" i="10"/>
  <c r="H228" i="10" s="1"/>
  <c r="I228" i="10"/>
  <c r="M228" i="10"/>
  <c r="G229" i="10"/>
  <c r="H229" i="10" s="1"/>
  <c r="I229" i="10"/>
  <c r="M229" i="10"/>
  <c r="G230" i="10"/>
  <c r="H230" i="10" s="1"/>
  <c r="I230" i="10"/>
  <c r="M230" i="10"/>
  <c r="G231" i="10"/>
  <c r="H231" i="10" s="1"/>
  <c r="M231" i="10"/>
  <c r="G232" i="10"/>
  <c r="H232" i="10" s="1"/>
  <c r="I232" i="10"/>
  <c r="M232" i="10"/>
  <c r="G233" i="10"/>
  <c r="H233" i="10" s="1"/>
  <c r="M233" i="10"/>
  <c r="G234" i="10"/>
  <c r="H234" i="10" s="1"/>
  <c r="M234" i="10"/>
  <c r="G235" i="10"/>
  <c r="M235" i="10"/>
  <c r="G236" i="10"/>
  <c r="H236" i="10" s="1"/>
  <c r="I236" i="10"/>
  <c r="M236" i="10"/>
  <c r="G237" i="10"/>
  <c r="H237" i="10" s="1"/>
  <c r="I237" i="10"/>
  <c r="M237" i="10"/>
  <c r="G238" i="10"/>
  <c r="H238" i="10" s="1"/>
  <c r="I238" i="10"/>
  <c r="M238" i="10"/>
  <c r="G239" i="10"/>
  <c r="H239" i="10" s="1"/>
  <c r="M239" i="10"/>
  <c r="G240" i="10"/>
  <c r="H240" i="10" s="1"/>
  <c r="I240" i="10"/>
  <c r="M240" i="10"/>
  <c r="G241" i="10"/>
  <c r="H241" i="10" s="1"/>
  <c r="M241" i="10"/>
  <c r="G242" i="10"/>
  <c r="H242" i="10" s="1"/>
  <c r="M242" i="10"/>
  <c r="G243" i="10"/>
  <c r="M243" i="10"/>
  <c r="G244" i="10"/>
  <c r="H244" i="10" s="1"/>
  <c r="I244" i="10"/>
  <c r="M244" i="10"/>
  <c r="G245" i="10"/>
  <c r="H245" i="10" s="1"/>
  <c r="I245" i="10"/>
  <c r="M245" i="10"/>
  <c r="G246" i="10"/>
  <c r="H246" i="10" s="1"/>
  <c r="I246" i="10"/>
  <c r="M246" i="10"/>
  <c r="G247" i="10"/>
  <c r="H247" i="10" s="1"/>
  <c r="M247" i="10"/>
  <c r="G248" i="10"/>
  <c r="H248" i="10" s="1"/>
  <c r="I248" i="10"/>
  <c r="M248" i="10"/>
  <c r="G249" i="10"/>
  <c r="H249" i="10" s="1"/>
  <c r="M249" i="10"/>
  <c r="G250" i="10"/>
  <c r="H250" i="10" s="1"/>
  <c r="M250" i="10"/>
  <c r="G251" i="10"/>
  <c r="M251" i="10"/>
  <c r="G252" i="10"/>
  <c r="H252" i="10" s="1"/>
  <c r="I252" i="10"/>
  <c r="M252" i="10"/>
  <c r="G253" i="10"/>
  <c r="H253" i="10" s="1"/>
  <c r="I253" i="10"/>
  <c r="M253" i="10"/>
  <c r="G254" i="10"/>
  <c r="H254" i="10" s="1"/>
  <c r="I254" i="10"/>
  <c r="M254" i="10"/>
  <c r="G255" i="10"/>
  <c r="H255" i="10" s="1"/>
  <c r="M255" i="10"/>
  <c r="G256" i="10"/>
  <c r="H256" i="10" s="1"/>
  <c r="I256" i="10"/>
  <c r="M256" i="10"/>
  <c r="G257" i="10"/>
  <c r="H257" i="10" s="1"/>
  <c r="M257" i="10"/>
  <c r="G258" i="10"/>
  <c r="H258" i="10" s="1"/>
  <c r="M258" i="10"/>
  <c r="G259" i="10"/>
  <c r="M259" i="10"/>
  <c r="G260" i="10"/>
  <c r="H260" i="10" s="1"/>
  <c r="I260" i="10"/>
  <c r="M260" i="10"/>
  <c r="G261" i="10"/>
  <c r="H261" i="10" s="1"/>
  <c r="I261" i="10"/>
  <c r="M261" i="10"/>
  <c r="G262" i="10"/>
  <c r="H262" i="10" s="1"/>
  <c r="I262" i="10"/>
  <c r="M262" i="10"/>
  <c r="G263" i="10"/>
  <c r="H263" i="10" s="1"/>
  <c r="M263" i="10"/>
  <c r="G264" i="10"/>
  <c r="H264" i="10" s="1"/>
  <c r="I264" i="10"/>
  <c r="M264" i="10"/>
  <c r="G265" i="10"/>
  <c r="H265" i="10" s="1"/>
  <c r="M265" i="10"/>
  <c r="G266" i="10"/>
  <c r="H266" i="10" s="1"/>
  <c r="M266" i="10"/>
  <c r="G267" i="10"/>
  <c r="M267" i="10"/>
  <c r="G268" i="10"/>
  <c r="H268" i="10" s="1"/>
  <c r="I268" i="10"/>
  <c r="M268" i="10"/>
  <c r="G269" i="10"/>
  <c r="H269" i="10" s="1"/>
  <c r="I269" i="10"/>
  <c r="M269" i="10"/>
  <c r="G270" i="10"/>
  <c r="H270" i="10" s="1"/>
  <c r="I270" i="10"/>
  <c r="M270" i="10"/>
  <c r="G271" i="10"/>
  <c r="H271" i="10" s="1"/>
  <c r="M271" i="10"/>
  <c r="G272" i="10"/>
  <c r="H272" i="10" s="1"/>
  <c r="I272" i="10"/>
  <c r="M272" i="10"/>
  <c r="G273" i="10"/>
  <c r="H273" i="10" s="1"/>
  <c r="M273" i="10"/>
  <c r="G274" i="10"/>
  <c r="H274" i="10" s="1"/>
  <c r="M274" i="10"/>
  <c r="G275" i="10"/>
  <c r="M275" i="10"/>
  <c r="G276" i="10"/>
  <c r="H276" i="10" s="1"/>
  <c r="I276" i="10"/>
  <c r="M276" i="10"/>
  <c r="G277" i="10"/>
  <c r="H277" i="10" s="1"/>
  <c r="I277" i="10"/>
  <c r="M277" i="10"/>
  <c r="G278" i="10"/>
  <c r="H278" i="10" s="1"/>
  <c r="I278" i="10"/>
  <c r="M278" i="10"/>
  <c r="G279" i="10"/>
  <c r="H279" i="10" s="1"/>
  <c r="M279" i="10"/>
  <c r="G280" i="10"/>
  <c r="H280" i="10" s="1"/>
  <c r="I280" i="10"/>
  <c r="M280" i="10"/>
  <c r="G281" i="10"/>
  <c r="H281" i="10" s="1"/>
  <c r="M281" i="10"/>
  <c r="G282" i="10"/>
  <c r="H282" i="10" s="1"/>
  <c r="M282" i="10"/>
  <c r="G283" i="10"/>
  <c r="M283" i="10"/>
  <c r="G284" i="10"/>
  <c r="H284" i="10" s="1"/>
  <c r="I284" i="10"/>
  <c r="M284" i="10"/>
  <c r="G285" i="10"/>
  <c r="H285" i="10" s="1"/>
  <c r="I285" i="10"/>
  <c r="M285" i="10"/>
  <c r="G286" i="10"/>
  <c r="H286" i="10" s="1"/>
  <c r="I286" i="10"/>
  <c r="M286" i="10"/>
  <c r="G287" i="10"/>
  <c r="H287" i="10" s="1"/>
  <c r="M287" i="10"/>
  <c r="G288" i="10"/>
  <c r="H288" i="10" s="1"/>
  <c r="I288" i="10"/>
  <c r="M288" i="10"/>
  <c r="G289" i="10"/>
  <c r="H289" i="10" s="1"/>
  <c r="M289" i="10"/>
  <c r="G290" i="10"/>
  <c r="H290" i="10" s="1"/>
  <c r="M290" i="10"/>
  <c r="G291" i="10"/>
  <c r="M291" i="10"/>
  <c r="G292" i="10"/>
  <c r="H292" i="10" s="1"/>
  <c r="I292" i="10"/>
  <c r="M292" i="10"/>
  <c r="G293" i="10"/>
  <c r="H293" i="10" s="1"/>
  <c r="I293" i="10"/>
  <c r="M293" i="10"/>
  <c r="G294" i="10"/>
  <c r="H294" i="10" s="1"/>
  <c r="I294" i="10"/>
  <c r="M294" i="10"/>
  <c r="G295" i="10"/>
  <c r="H295" i="10" s="1"/>
  <c r="M295" i="10"/>
  <c r="G296" i="10"/>
  <c r="H296" i="10" s="1"/>
  <c r="I296" i="10"/>
  <c r="M296" i="10"/>
  <c r="G297" i="10"/>
  <c r="H297" i="10" s="1"/>
  <c r="M297" i="10"/>
  <c r="G298" i="10"/>
  <c r="H298" i="10" s="1"/>
  <c r="M298" i="10"/>
  <c r="G299" i="10"/>
  <c r="M299" i="10"/>
  <c r="G300" i="10"/>
  <c r="H300" i="10" s="1"/>
  <c r="I300" i="10"/>
  <c r="M300" i="10"/>
  <c r="G301" i="10"/>
  <c r="H301" i="10" s="1"/>
  <c r="I301" i="10"/>
  <c r="M301" i="10"/>
  <c r="G302" i="10"/>
  <c r="H302" i="10" s="1"/>
  <c r="I302" i="10"/>
  <c r="M302" i="10"/>
  <c r="G303" i="10"/>
  <c r="H303" i="10" s="1"/>
  <c r="M303" i="10"/>
  <c r="G304" i="10"/>
  <c r="H304" i="10" s="1"/>
  <c r="I304" i="10"/>
  <c r="M304" i="10"/>
  <c r="G305" i="10"/>
  <c r="H305" i="10" s="1"/>
  <c r="M305" i="10"/>
  <c r="G306" i="10"/>
  <c r="H306" i="10" s="1"/>
  <c r="M306" i="10"/>
  <c r="G307" i="10"/>
  <c r="M307" i="10"/>
  <c r="G308" i="10"/>
  <c r="H308" i="10" s="1"/>
  <c r="I308" i="10"/>
  <c r="M308" i="10"/>
  <c r="G309" i="10"/>
  <c r="H309" i="10" s="1"/>
  <c r="I309" i="10"/>
  <c r="M309" i="10"/>
  <c r="G310" i="10"/>
  <c r="H310" i="10" s="1"/>
  <c r="I310" i="10"/>
  <c r="M310" i="10"/>
  <c r="G311" i="10"/>
  <c r="H311" i="10" s="1"/>
  <c r="M311" i="10"/>
  <c r="G312" i="10"/>
  <c r="H312" i="10" s="1"/>
  <c r="I312" i="10"/>
  <c r="M312" i="10"/>
  <c r="G313" i="10"/>
  <c r="H313" i="10" s="1"/>
  <c r="M313" i="10"/>
  <c r="G314" i="10"/>
  <c r="H314" i="10" s="1"/>
  <c r="M314" i="10"/>
  <c r="G315" i="10"/>
  <c r="M315" i="10"/>
  <c r="G316" i="10"/>
  <c r="H316" i="10" s="1"/>
  <c r="I316" i="10"/>
  <c r="M316" i="10"/>
  <c r="G317" i="10"/>
  <c r="H317" i="10" s="1"/>
  <c r="I317" i="10"/>
  <c r="M317" i="10"/>
  <c r="G318" i="10"/>
  <c r="H318" i="10" s="1"/>
  <c r="I318" i="10"/>
  <c r="M318" i="10"/>
  <c r="G319" i="10"/>
  <c r="H319" i="10" s="1"/>
  <c r="M319" i="10"/>
  <c r="G320" i="10"/>
  <c r="H320" i="10" s="1"/>
  <c r="I320" i="10"/>
  <c r="M320" i="10"/>
  <c r="G321" i="10"/>
  <c r="H321" i="10" s="1"/>
  <c r="I321" i="10"/>
  <c r="M321" i="10"/>
  <c r="G322" i="10"/>
  <c r="H322" i="10"/>
  <c r="I322" i="10"/>
  <c r="M322" i="10"/>
  <c r="G323" i="10"/>
  <c r="H323" i="10" s="1"/>
  <c r="I323" i="10"/>
  <c r="M323" i="10"/>
  <c r="G324" i="10"/>
  <c r="H324" i="10"/>
  <c r="I324" i="10"/>
  <c r="M324" i="10"/>
  <c r="G325" i="10"/>
  <c r="H325" i="10" s="1"/>
  <c r="I325" i="10"/>
  <c r="M325" i="10"/>
  <c r="G326" i="10"/>
  <c r="H326" i="10"/>
  <c r="I326" i="10"/>
  <c r="M326" i="10"/>
  <c r="G327" i="10"/>
  <c r="H327" i="10" s="1"/>
  <c r="I327" i="10"/>
  <c r="M327" i="10"/>
  <c r="G328" i="10"/>
  <c r="H328" i="10"/>
  <c r="I328" i="10"/>
  <c r="M328" i="10"/>
  <c r="G329" i="10"/>
  <c r="H329" i="10" s="1"/>
  <c r="I329" i="10"/>
  <c r="M329" i="10"/>
  <c r="G330" i="10"/>
  <c r="H330" i="10"/>
  <c r="I330" i="10"/>
  <c r="M330" i="10"/>
  <c r="G331" i="10"/>
  <c r="H331" i="10" s="1"/>
  <c r="I331" i="10"/>
  <c r="M331" i="10"/>
  <c r="G332" i="10"/>
  <c r="H332" i="10"/>
  <c r="I332" i="10"/>
  <c r="M332" i="10"/>
  <c r="G333" i="10"/>
  <c r="H333" i="10" s="1"/>
  <c r="I333" i="10"/>
  <c r="M333" i="10"/>
  <c r="G334" i="10"/>
  <c r="H334" i="10"/>
  <c r="I334" i="10"/>
  <c r="M334" i="10"/>
  <c r="G335" i="10"/>
  <c r="H335" i="10" s="1"/>
  <c r="I335" i="10"/>
  <c r="M335" i="10"/>
  <c r="G336" i="10"/>
  <c r="H336" i="10"/>
  <c r="I336" i="10"/>
  <c r="M336" i="10"/>
  <c r="G337" i="10"/>
  <c r="H337" i="10" s="1"/>
  <c r="I337" i="10"/>
  <c r="M337" i="10"/>
  <c r="G338" i="10"/>
  <c r="H338" i="10"/>
  <c r="I338" i="10"/>
  <c r="M338" i="10"/>
  <c r="G339" i="10"/>
  <c r="H339" i="10" s="1"/>
  <c r="I339" i="10"/>
  <c r="M339" i="10"/>
  <c r="G340" i="10"/>
  <c r="H340" i="10"/>
  <c r="I340" i="10"/>
  <c r="M340" i="10"/>
  <c r="G341" i="10"/>
  <c r="H341" i="10" s="1"/>
  <c r="I341" i="10"/>
  <c r="M341" i="10"/>
  <c r="G342" i="10"/>
  <c r="H342" i="10"/>
  <c r="I342" i="10"/>
  <c r="M342" i="10"/>
  <c r="G343" i="10"/>
  <c r="H343" i="10" s="1"/>
  <c r="I343" i="10"/>
  <c r="M343" i="10"/>
  <c r="G344" i="10"/>
  <c r="H344" i="10"/>
  <c r="I344" i="10"/>
  <c r="M344" i="10"/>
  <c r="G345" i="10"/>
  <c r="H345" i="10" s="1"/>
  <c r="I345" i="10"/>
  <c r="M345" i="10"/>
  <c r="G346" i="10"/>
  <c r="H346" i="10"/>
  <c r="I346" i="10"/>
  <c r="M346" i="10"/>
  <c r="G347" i="10"/>
  <c r="H347" i="10" s="1"/>
  <c r="I347" i="10"/>
  <c r="M347" i="10"/>
  <c r="G348" i="10"/>
  <c r="H348" i="10"/>
  <c r="I348" i="10"/>
  <c r="M348" i="10"/>
  <c r="G349" i="10"/>
  <c r="H349" i="10" s="1"/>
  <c r="I349" i="10"/>
  <c r="M349" i="10"/>
  <c r="G350" i="10"/>
  <c r="H350" i="10"/>
  <c r="I350" i="10"/>
  <c r="M350" i="10"/>
  <c r="G351" i="10"/>
  <c r="H351" i="10" s="1"/>
  <c r="I351" i="10"/>
  <c r="M351" i="10"/>
  <c r="G352" i="10"/>
  <c r="H352" i="10"/>
  <c r="I352" i="10"/>
  <c r="M352" i="10"/>
  <c r="G353" i="10"/>
  <c r="H353" i="10" s="1"/>
  <c r="I353" i="10"/>
  <c r="M353" i="10"/>
  <c r="G354" i="10"/>
  <c r="H354" i="10"/>
  <c r="I354" i="10"/>
  <c r="M354" i="10"/>
  <c r="G355" i="10"/>
  <c r="H355" i="10" s="1"/>
  <c r="I355" i="10"/>
  <c r="M355" i="10"/>
  <c r="G356" i="10"/>
  <c r="H356" i="10"/>
  <c r="I356" i="10"/>
  <c r="M356" i="10"/>
  <c r="G357" i="10"/>
  <c r="H357" i="10" s="1"/>
  <c r="I357" i="10"/>
  <c r="M357" i="10"/>
  <c r="G358" i="10"/>
  <c r="H358" i="10"/>
  <c r="I358" i="10"/>
  <c r="M358" i="10"/>
  <c r="G359" i="10"/>
  <c r="H359" i="10" s="1"/>
  <c r="I359" i="10"/>
  <c r="M359" i="10"/>
  <c r="G360" i="10"/>
  <c r="H360" i="10"/>
  <c r="I360" i="10"/>
  <c r="M360" i="10"/>
  <c r="G361" i="10"/>
  <c r="H361" i="10" s="1"/>
  <c r="I361" i="10"/>
  <c r="M361" i="10"/>
  <c r="G362" i="10"/>
  <c r="H362" i="10"/>
  <c r="I362" i="10"/>
  <c r="M362" i="10"/>
  <c r="G363" i="10"/>
  <c r="H363" i="10" s="1"/>
  <c r="I363" i="10"/>
  <c r="M363" i="10"/>
  <c r="G364" i="10"/>
  <c r="H364" i="10"/>
  <c r="I364" i="10"/>
  <c r="M364" i="10"/>
  <c r="G365" i="10"/>
  <c r="H365" i="10" s="1"/>
  <c r="I365" i="10"/>
  <c r="M365" i="10"/>
  <c r="G366" i="10"/>
  <c r="H366" i="10"/>
  <c r="I366" i="10"/>
  <c r="M366" i="10"/>
  <c r="G367" i="10"/>
  <c r="H367" i="10" s="1"/>
  <c r="I367" i="10"/>
  <c r="M367" i="10"/>
  <c r="G368" i="10"/>
  <c r="H368" i="10"/>
  <c r="I368" i="10"/>
  <c r="M368" i="10"/>
  <c r="G369" i="10"/>
  <c r="H369" i="10" s="1"/>
  <c r="I369" i="10"/>
  <c r="M369" i="10"/>
  <c r="G370" i="10"/>
  <c r="H370" i="10"/>
  <c r="I370" i="10"/>
  <c r="M370" i="10"/>
  <c r="G371" i="10"/>
  <c r="H371" i="10" s="1"/>
  <c r="I371" i="10"/>
  <c r="M371" i="10"/>
  <c r="G372" i="10"/>
  <c r="H372" i="10"/>
  <c r="I372" i="10"/>
  <c r="M372" i="10"/>
  <c r="G373" i="10"/>
  <c r="H373" i="10" s="1"/>
  <c r="I373" i="10"/>
  <c r="M373" i="10"/>
  <c r="G374" i="10"/>
  <c r="H374" i="10"/>
  <c r="I374" i="10"/>
  <c r="M374" i="10"/>
  <c r="G375" i="10"/>
  <c r="H375" i="10" s="1"/>
  <c r="I375" i="10"/>
  <c r="M375" i="10"/>
  <c r="G376" i="10"/>
  <c r="H376" i="10"/>
  <c r="I376" i="10"/>
  <c r="M376" i="10"/>
  <c r="G377" i="10"/>
  <c r="H377" i="10" s="1"/>
  <c r="I377" i="10"/>
  <c r="M377" i="10"/>
  <c r="G378" i="10"/>
  <c r="H378" i="10"/>
  <c r="I378" i="10"/>
  <c r="M378" i="10"/>
  <c r="G379" i="10"/>
  <c r="H379" i="10" s="1"/>
  <c r="I379" i="10"/>
  <c r="M379" i="10"/>
  <c r="G380" i="10"/>
  <c r="H380" i="10"/>
  <c r="I380" i="10"/>
  <c r="M380" i="10"/>
  <c r="G381" i="10"/>
  <c r="H381" i="10" s="1"/>
  <c r="I381" i="10"/>
  <c r="M381" i="10"/>
  <c r="G382" i="10"/>
  <c r="H382" i="10"/>
  <c r="I382" i="10"/>
  <c r="M382" i="10"/>
  <c r="G383" i="10"/>
  <c r="H383" i="10" s="1"/>
  <c r="I383" i="10"/>
  <c r="M383" i="10"/>
  <c r="G384" i="10"/>
  <c r="H384" i="10"/>
  <c r="I384" i="10"/>
  <c r="M384" i="10"/>
  <c r="G385" i="10"/>
  <c r="H385" i="10" s="1"/>
  <c r="I385" i="10"/>
  <c r="M385" i="10"/>
  <c r="G386" i="10"/>
  <c r="H386" i="10"/>
  <c r="I386" i="10"/>
  <c r="M386" i="10"/>
  <c r="G387" i="10"/>
  <c r="H387" i="10" s="1"/>
  <c r="I387" i="10"/>
  <c r="M387" i="10"/>
  <c r="G388" i="10"/>
  <c r="H388" i="10"/>
  <c r="I388" i="10"/>
  <c r="M388" i="10"/>
  <c r="G389" i="10"/>
  <c r="H389" i="10" s="1"/>
  <c r="I389" i="10"/>
  <c r="M389" i="10"/>
  <c r="G390" i="10"/>
  <c r="H390" i="10"/>
  <c r="I390" i="10"/>
  <c r="M390" i="10"/>
  <c r="G391" i="10"/>
  <c r="H391" i="10" s="1"/>
  <c r="I391" i="10"/>
  <c r="M391" i="10"/>
  <c r="G392" i="10"/>
  <c r="H392" i="10"/>
  <c r="I392" i="10"/>
  <c r="M392" i="10"/>
  <c r="G393" i="10"/>
  <c r="H393" i="10" s="1"/>
  <c r="I393" i="10"/>
  <c r="M393" i="10"/>
  <c r="G394" i="10"/>
  <c r="H394" i="10"/>
  <c r="I394" i="10"/>
  <c r="M394" i="10"/>
  <c r="G395" i="10"/>
  <c r="H395" i="10" s="1"/>
  <c r="I395" i="10"/>
  <c r="M395" i="10"/>
  <c r="G396" i="10"/>
  <c r="H396" i="10"/>
  <c r="I396" i="10"/>
  <c r="M396" i="10"/>
  <c r="G397" i="10"/>
  <c r="H397" i="10" s="1"/>
  <c r="I397" i="10"/>
  <c r="M397" i="10"/>
  <c r="G398" i="10"/>
  <c r="H398" i="10"/>
  <c r="I398" i="10"/>
  <c r="M398" i="10"/>
  <c r="G399" i="10"/>
  <c r="H399" i="10" s="1"/>
  <c r="I399" i="10"/>
  <c r="M399" i="10"/>
  <c r="G400" i="10"/>
  <c r="H400" i="10"/>
  <c r="I400" i="10"/>
  <c r="M400" i="10"/>
  <c r="G401" i="10"/>
  <c r="H401" i="10" s="1"/>
  <c r="M401" i="10"/>
  <c r="G402" i="10"/>
  <c r="H402" i="10"/>
  <c r="I402" i="10"/>
  <c r="M402" i="10"/>
  <c r="G403" i="10"/>
  <c r="H403" i="10" s="1"/>
  <c r="M403" i="10"/>
  <c r="G404" i="10"/>
  <c r="H404" i="10"/>
  <c r="I404" i="10"/>
  <c r="M404" i="10"/>
  <c r="G405" i="10"/>
  <c r="H405" i="10" s="1"/>
  <c r="I405" i="10"/>
  <c r="M405" i="10"/>
  <c r="G406" i="10"/>
  <c r="H406" i="10"/>
  <c r="I406" i="10"/>
  <c r="M406" i="10"/>
  <c r="G407" i="10"/>
  <c r="H407" i="10" s="1"/>
  <c r="M407" i="10"/>
  <c r="G408" i="10"/>
  <c r="H408" i="10"/>
  <c r="I408" i="10"/>
  <c r="M408" i="10"/>
  <c r="G409" i="10"/>
  <c r="H409" i="10" s="1"/>
  <c r="I409" i="10"/>
  <c r="M409" i="10"/>
  <c r="G410" i="10"/>
  <c r="H410" i="10"/>
  <c r="I410" i="10"/>
  <c r="M410" i="10"/>
  <c r="G411" i="10"/>
  <c r="H411" i="10" s="1"/>
  <c r="M411" i="10"/>
  <c r="G412" i="10"/>
  <c r="H412" i="10"/>
  <c r="I412" i="10"/>
  <c r="M412" i="10"/>
  <c r="G413" i="10"/>
  <c r="H413" i="10" s="1"/>
  <c r="M413" i="10"/>
  <c r="G414" i="10"/>
  <c r="H414" i="10"/>
  <c r="I414" i="10"/>
  <c r="M414" i="10"/>
  <c r="G415" i="10"/>
  <c r="H415" i="10" s="1"/>
  <c r="I415" i="10"/>
  <c r="M415" i="10"/>
  <c r="G416" i="10"/>
  <c r="H416" i="10"/>
  <c r="I416" i="10"/>
  <c r="M416" i="10"/>
  <c r="G417" i="10"/>
  <c r="H417" i="10" s="1"/>
  <c r="M417" i="10"/>
  <c r="G418" i="10"/>
  <c r="H418" i="10"/>
  <c r="I418" i="10"/>
  <c r="M418" i="10"/>
  <c r="G419" i="10"/>
  <c r="H419" i="10" s="1"/>
  <c r="M419" i="10"/>
  <c r="G420" i="10"/>
  <c r="H420" i="10"/>
  <c r="I420" i="10"/>
  <c r="M420" i="10"/>
  <c r="G421" i="10"/>
  <c r="H421" i="10" s="1"/>
  <c r="I421" i="10"/>
  <c r="M421" i="10"/>
  <c r="G422" i="10"/>
  <c r="H422" i="10"/>
  <c r="I422" i="10"/>
  <c r="M422" i="10"/>
  <c r="G423" i="10"/>
  <c r="H423" i="10" s="1"/>
  <c r="M423" i="10"/>
  <c r="G424" i="10"/>
  <c r="H424" i="10"/>
  <c r="I424" i="10"/>
  <c r="M424" i="10"/>
  <c r="G425" i="10"/>
  <c r="H425" i="10" s="1"/>
  <c r="I425" i="10"/>
  <c r="M425" i="10"/>
  <c r="G426" i="10"/>
  <c r="H426" i="10"/>
  <c r="I426" i="10"/>
  <c r="M426" i="10"/>
  <c r="G427" i="10"/>
  <c r="H427" i="10" s="1"/>
  <c r="I427" i="10"/>
  <c r="M427" i="10"/>
  <c r="G428" i="10"/>
  <c r="H428" i="10"/>
  <c r="I428" i="10"/>
  <c r="M428" i="10"/>
  <c r="G429" i="10"/>
  <c r="H429" i="10" s="1"/>
  <c r="M429" i="10"/>
  <c r="G430" i="10"/>
  <c r="H430" i="10"/>
  <c r="I430" i="10"/>
  <c r="M430" i="10"/>
  <c r="G431" i="10"/>
  <c r="H431" i="10" s="1"/>
  <c r="I431" i="10"/>
  <c r="M431" i="10"/>
  <c r="G432" i="10"/>
  <c r="H432" i="10"/>
  <c r="I432" i="10"/>
  <c r="M432" i="10"/>
  <c r="G433" i="10"/>
  <c r="H433" i="10" s="1"/>
  <c r="M433" i="10"/>
  <c r="G434" i="10"/>
  <c r="H434" i="10"/>
  <c r="I434" i="10"/>
  <c r="M434" i="10"/>
  <c r="G435" i="10"/>
  <c r="H435" i="10" s="1"/>
  <c r="M435" i="10"/>
  <c r="G436" i="10"/>
  <c r="H436" i="10"/>
  <c r="I436" i="10"/>
  <c r="M436" i="10"/>
  <c r="G437" i="10"/>
  <c r="H437" i="10" s="1"/>
  <c r="I437" i="10"/>
  <c r="M437" i="10"/>
  <c r="G438" i="10"/>
  <c r="H438" i="10"/>
  <c r="I438" i="10"/>
  <c r="M438" i="10"/>
  <c r="G439" i="10"/>
  <c r="H439" i="10" s="1"/>
  <c r="M439" i="10"/>
  <c r="G440" i="10"/>
  <c r="H440" i="10"/>
  <c r="I440" i="10"/>
  <c r="M440" i="10"/>
  <c r="G441" i="10"/>
  <c r="H441" i="10" s="1"/>
  <c r="I441" i="10"/>
  <c r="M441" i="10"/>
  <c r="G442" i="10"/>
  <c r="H442" i="10"/>
  <c r="I442" i="10"/>
  <c r="M442" i="10"/>
  <c r="G443" i="10"/>
  <c r="H443" i="10" s="1"/>
  <c r="I443" i="10"/>
  <c r="M443" i="10"/>
  <c r="G444" i="10"/>
  <c r="H444" i="10"/>
  <c r="I444" i="10"/>
  <c r="M444" i="10"/>
  <c r="G445" i="10"/>
  <c r="H445" i="10" s="1"/>
  <c r="M445" i="10"/>
  <c r="G446" i="10"/>
  <c r="H446" i="10"/>
  <c r="I446" i="10"/>
  <c r="M446" i="10"/>
  <c r="G447" i="10"/>
  <c r="H447" i="10" s="1"/>
  <c r="I447" i="10"/>
  <c r="M447" i="10"/>
  <c r="G448" i="10"/>
  <c r="H448" i="10"/>
  <c r="I448" i="10"/>
  <c r="M448" i="10"/>
  <c r="G449" i="10"/>
  <c r="H449" i="10" s="1"/>
  <c r="M449" i="10"/>
  <c r="G450" i="10"/>
  <c r="H450" i="10"/>
  <c r="I450" i="10"/>
  <c r="M450" i="10"/>
  <c r="G451" i="10"/>
  <c r="H451" i="10" s="1"/>
  <c r="M451" i="10"/>
  <c r="G452" i="10"/>
  <c r="H452" i="10"/>
  <c r="I452" i="10"/>
  <c r="M452" i="10"/>
  <c r="G453" i="10"/>
  <c r="H453" i="10" s="1"/>
  <c r="I453" i="10"/>
  <c r="M453" i="10"/>
  <c r="G454" i="10"/>
  <c r="H454" i="10"/>
  <c r="I454" i="10"/>
  <c r="M454" i="10"/>
  <c r="G455" i="10"/>
  <c r="H455" i="10" s="1"/>
  <c r="M455" i="10"/>
  <c r="G456" i="10"/>
  <c r="H456" i="10"/>
  <c r="I456" i="10"/>
  <c r="M456" i="10"/>
  <c r="G457" i="10"/>
  <c r="H457" i="10" s="1"/>
  <c r="I457" i="10"/>
  <c r="M457" i="10"/>
  <c r="G458" i="10"/>
  <c r="H458" i="10"/>
  <c r="I458" i="10"/>
  <c r="M458" i="10"/>
  <c r="G459" i="10"/>
  <c r="H459" i="10" s="1"/>
  <c r="I459" i="10"/>
  <c r="M459" i="10"/>
  <c r="G460" i="10"/>
  <c r="H460" i="10"/>
  <c r="I460" i="10"/>
  <c r="M460" i="10"/>
  <c r="G461" i="10"/>
  <c r="H461" i="10" s="1"/>
  <c r="M461" i="10"/>
  <c r="G462" i="10"/>
  <c r="H462" i="10"/>
  <c r="I462" i="10"/>
  <c r="M462" i="10"/>
  <c r="G463" i="10"/>
  <c r="H463" i="10" s="1"/>
  <c r="I463" i="10"/>
  <c r="M463" i="10"/>
  <c r="G464" i="10"/>
  <c r="H464" i="10"/>
  <c r="I464" i="10"/>
  <c r="M464" i="10"/>
  <c r="G465" i="10"/>
  <c r="H465" i="10" s="1"/>
  <c r="M465" i="10"/>
  <c r="G466" i="10"/>
  <c r="H466" i="10"/>
  <c r="I466" i="10"/>
  <c r="M466" i="10"/>
  <c r="G467" i="10"/>
  <c r="H467" i="10" s="1"/>
  <c r="M467" i="10"/>
  <c r="G468" i="10"/>
  <c r="H468" i="10"/>
  <c r="I468" i="10"/>
  <c r="M468" i="10"/>
  <c r="G469" i="10"/>
  <c r="H469" i="10" s="1"/>
  <c r="I469" i="10"/>
  <c r="M469" i="10"/>
  <c r="G470" i="10"/>
  <c r="H470" i="10"/>
  <c r="I470" i="10"/>
  <c r="M470" i="10"/>
  <c r="G471" i="10"/>
  <c r="H471" i="10" s="1"/>
  <c r="M471" i="10"/>
  <c r="G472" i="10"/>
  <c r="H472" i="10"/>
  <c r="I472" i="10"/>
  <c r="M472" i="10"/>
  <c r="G473" i="10"/>
  <c r="H473" i="10" s="1"/>
  <c r="I473" i="10"/>
  <c r="M473" i="10"/>
  <c r="G474" i="10"/>
  <c r="H474" i="10"/>
  <c r="I474" i="10"/>
  <c r="M474" i="10"/>
  <c r="G475" i="10"/>
  <c r="H475" i="10" s="1"/>
  <c r="I475" i="10"/>
  <c r="M475" i="10"/>
  <c r="G476" i="10"/>
  <c r="H476" i="10"/>
  <c r="I476" i="10"/>
  <c r="M476" i="10"/>
  <c r="G477" i="10"/>
  <c r="H477" i="10" s="1"/>
  <c r="M477" i="10"/>
  <c r="G478" i="10"/>
  <c r="H478" i="10"/>
  <c r="I478" i="10"/>
  <c r="M478" i="10"/>
  <c r="G479" i="10"/>
  <c r="H479" i="10" s="1"/>
  <c r="I479" i="10"/>
  <c r="M479" i="10"/>
  <c r="G480" i="10"/>
  <c r="H480" i="10"/>
  <c r="I480" i="10"/>
  <c r="M480" i="10"/>
  <c r="G481" i="10"/>
  <c r="H481" i="10" s="1"/>
  <c r="M481" i="10"/>
  <c r="G482" i="10"/>
  <c r="H482" i="10"/>
  <c r="I482" i="10"/>
  <c r="M482" i="10"/>
  <c r="G483" i="10"/>
  <c r="H483" i="10" s="1"/>
  <c r="M483" i="10"/>
  <c r="G484" i="10"/>
  <c r="H484" i="10"/>
  <c r="I484" i="10"/>
  <c r="M484" i="10"/>
  <c r="G485" i="10"/>
  <c r="H485" i="10" s="1"/>
  <c r="I485" i="10"/>
  <c r="M485" i="10"/>
  <c r="G486" i="10"/>
  <c r="H486" i="10"/>
  <c r="I486" i="10"/>
  <c r="M486" i="10"/>
  <c r="G487" i="10"/>
  <c r="H487" i="10" s="1"/>
  <c r="M487" i="10"/>
  <c r="G488" i="10"/>
  <c r="H488" i="10"/>
  <c r="I488" i="10"/>
  <c r="M488" i="10"/>
  <c r="G489" i="10"/>
  <c r="H489" i="10" s="1"/>
  <c r="I489" i="10"/>
  <c r="M489" i="10"/>
  <c r="G490" i="10"/>
  <c r="H490" i="10"/>
  <c r="I490" i="10"/>
  <c r="M490" i="10"/>
  <c r="G491" i="10"/>
  <c r="H491" i="10" s="1"/>
  <c r="I491" i="10"/>
  <c r="M491" i="10"/>
  <c r="G492" i="10"/>
  <c r="H492" i="10"/>
  <c r="I492" i="10"/>
  <c r="M492" i="10"/>
  <c r="G493" i="10"/>
  <c r="H493" i="10" s="1"/>
  <c r="M493" i="10"/>
  <c r="G494" i="10"/>
  <c r="H494" i="10"/>
  <c r="I494" i="10"/>
  <c r="M494" i="10"/>
  <c r="G495" i="10"/>
  <c r="H495" i="10" s="1"/>
  <c r="I495" i="10"/>
  <c r="M495" i="10"/>
  <c r="G496" i="10"/>
  <c r="H496" i="10"/>
  <c r="I496" i="10"/>
  <c r="M496" i="10"/>
  <c r="G497" i="10"/>
  <c r="H497" i="10" s="1"/>
  <c r="M497" i="10"/>
  <c r="G498" i="10"/>
  <c r="H498" i="10"/>
  <c r="I498" i="10"/>
  <c r="M498" i="10"/>
  <c r="G499" i="10"/>
  <c r="H499" i="10" s="1"/>
  <c r="M499" i="10"/>
  <c r="G500" i="10"/>
  <c r="H500" i="10"/>
  <c r="I500" i="10"/>
  <c r="M500" i="10"/>
  <c r="G501" i="10"/>
  <c r="H501" i="10" s="1"/>
  <c r="I501" i="10"/>
  <c r="M501" i="10"/>
  <c r="G502" i="10"/>
  <c r="H502" i="10"/>
  <c r="I502" i="10"/>
  <c r="M502" i="10"/>
  <c r="G503" i="10"/>
  <c r="H503" i="10" s="1"/>
  <c r="M503" i="10"/>
  <c r="G504" i="10"/>
  <c r="H504" i="10"/>
  <c r="I504" i="10"/>
  <c r="M504" i="10"/>
  <c r="G505" i="10"/>
  <c r="H505" i="10" s="1"/>
  <c r="I505" i="10"/>
  <c r="M505" i="10"/>
  <c r="G506" i="10"/>
  <c r="H506" i="10"/>
  <c r="I506" i="10"/>
  <c r="M506" i="10"/>
  <c r="G507" i="10"/>
  <c r="H507" i="10" s="1"/>
  <c r="I507" i="10"/>
  <c r="M507" i="10"/>
  <c r="G508" i="10"/>
  <c r="H508" i="10"/>
  <c r="I508" i="10"/>
  <c r="M508" i="10"/>
  <c r="G509" i="10"/>
  <c r="H509" i="10" s="1"/>
  <c r="M509" i="10"/>
  <c r="G510" i="10"/>
  <c r="H510" i="10"/>
  <c r="I510" i="10"/>
  <c r="M510" i="10"/>
  <c r="G511" i="10"/>
  <c r="H511" i="10" s="1"/>
  <c r="I511" i="10"/>
  <c r="M511" i="10"/>
  <c r="G512" i="10"/>
  <c r="H512" i="10"/>
  <c r="I512" i="10"/>
  <c r="M512" i="10"/>
  <c r="G513" i="10"/>
  <c r="H513" i="10" s="1"/>
  <c r="M513" i="10"/>
  <c r="G514" i="10"/>
  <c r="H514" i="10"/>
  <c r="I514" i="10"/>
  <c r="M514" i="10"/>
  <c r="G515" i="10"/>
  <c r="H515" i="10" s="1"/>
  <c r="M515" i="10"/>
  <c r="G516" i="10"/>
  <c r="H516" i="10"/>
  <c r="I516" i="10"/>
  <c r="M516" i="10"/>
  <c r="G517" i="10"/>
  <c r="H517" i="10" s="1"/>
  <c r="I517" i="10"/>
  <c r="M517" i="10"/>
  <c r="G518" i="10"/>
  <c r="H518" i="10"/>
  <c r="I518" i="10"/>
  <c r="M518" i="10"/>
  <c r="G519" i="10"/>
  <c r="H519" i="10" s="1"/>
  <c r="M519" i="10"/>
  <c r="G520" i="10"/>
  <c r="H520" i="10"/>
  <c r="I520" i="10"/>
  <c r="M520" i="10"/>
  <c r="G521" i="10"/>
  <c r="H521" i="10" s="1"/>
  <c r="I521" i="10"/>
  <c r="M521" i="10"/>
  <c r="G522" i="10"/>
  <c r="H522" i="10"/>
  <c r="I522" i="10"/>
  <c r="M522" i="10"/>
  <c r="G523" i="10"/>
  <c r="H523" i="10" s="1"/>
  <c r="I523" i="10"/>
  <c r="M523" i="10"/>
  <c r="G524" i="10"/>
  <c r="H524" i="10"/>
  <c r="I524" i="10"/>
  <c r="M524" i="10"/>
  <c r="G525" i="10"/>
  <c r="H525" i="10" s="1"/>
  <c r="M525" i="10"/>
  <c r="G526" i="10"/>
  <c r="H526" i="10"/>
  <c r="I526" i="10"/>
  <c r="M526" i="10"/>
  <c r="G527" i="10"/>
  <c r="H527" i="10" s="1"/>
  <c r="I527" i="10"/>
  <c r="M527" i="10"/>
  <c r="G528" i="10"/>
  <c r="H528" i="10"/>
  <c r="I528" i="10"/>
  <c r="M528" i="10"/>
  <c r="G529" i="10"/>
  <c r="H529" i="10" s="1"/>
  <c r="M529" i="10"/>
  <c r="G530" i="10"/>
  <c r="H530" i="10"/>
  <c r="I530" i="10"/>
  <c r="M530" i="10"/>
  <c r="G531" i="10"/>
  <c r="H531" i="10" s="1"/>
  <c r="M531" i="10"/>
  <c r="G532" i="10"/>
  <c r="H532" i="10"/>
  <c r="I532" i="10"/>
  <c r="M532" i="10"/>
  <c r="G533" i="10"/>
  <c r="H533" i="10" s="1"/>
  <c r="I533" i="10"/>
  <c r="M533" i="10"/>
  <c r="G534" i="10"/>
  <c r="H534" i="10"/>
  <c r="I534" i="10"/>
  <c r="M534" i="10"/>
  <c r="G535" i="10"/>
  <c r="H535" i="10" s="1"/>
  <c r="M535" i="10"/>
  <c r="G536" i="10"/>
  <c r="H536" i="10"/>
  <c r="I536" i="10"/>
  <c r="M536" i="10"/>
  <c r="G537" i="10"/>
  <c r="H537" i="10" s="1"/>
  <c r="I537" i="10"/>
  <c r="M537" i="10"/>
  <c r="G538" i="10"/>
  <c r="H538" i="10"/>
  <c r="I538" i="10"/>
  <c r="M538" i="10"/>
  <c r="G539" i="10"/>
  <c r="H539" i="10" s="1"/>
  <c r="I539" i="10"/>
  <c r="M539" i="10"/>
  <c r="G540" i="10"/>
  <c r="H540" i="10"/>
  <c r="I540" i="10"/>
  <c r="M540" i="10"/>
  <c r="G541" i="10"/>
  <c r="H541" i="10" s="1"/>
  <c r="M541" i="10"/>
  <c r="G542" i="10"/>
  <c r="H542" i="10"/>
  <c r="I542" i="10"/>
  <c r="M542" i="10"/>
  <c r="G543" i="10"/>
  <c r="H543" i="10" s="1"/>
  <c r="I543" i="10"/>
  <c r="M543" i="10"/>
  <c r="G544" i="10"/>
  <c r="H544" i="10"/>
  <c r="I544" i="10"/>
  <c r="M544" i="10"/>
  <c r="G545" i="10"/>
  <c r="H545" i="10" s="1"/>
  <c r="M545" i="10"/>
  <c r="G546" i="10"/>
  <c r="H546" i="10"/>
  <c r="I546" i="10"/>
  <c r="M546" i="10"/>
  <c r="G547" i="10"/>
  <c r="H547" i="10" s="1"/>
  <c r="M547" i="10"/>
  <c r="G548" i="10"/>
  <c r="H548" i="10"/>
  <c r="I548" i="10"/>
  <c r="M548" i="10"/>
  <c r="G549" i="10"/>
  <c r="H549" i="10" s="1"/>
  <c r="I549" i="10"/>
  <c r="M549" i="10"/>
  <c r="G550" i="10"/>
  <c r="H550" i="10"/>
  <c r="I550" i="10"/>
  <c r="M550" i="10"/>
  <c r="G551" i="10"/>
  <c r="H551" i="10" s="1"/>
  <c r="M551" i="10"/>
  <c r="G552" i="10"/>
  <c r="H552" i="10"/>
  <c r="I552" i="10"/>
  <c r="M552" i="10"/>
  <c r="G553" i="10"/>
  <c r="H553" i="10" s="1"/>
  <c r="I553" i="10"/>
  <c r="M553" i="10"/>
  <c r="G554" i="10"/>
  <c r="H554" i="10"/>
  <c r="I554" i="10"/>
  <c r="M554" i="10"/>
  <c r="G555" i="10"/>
  <c r="H555" i="10" s="1"/>
  <c r="I555" i="10"/>
  <c r="M555" i="10"/>
  <c r="G556" i="10"/>
  <c r="H556" i="10"/>
  <c r="I556" i="10"/>
  <c r="M556" i="10"/>
  <c r="G557" i="10"/>
  <c r="H557" i="10" s="1"/>
  <c r="M557" i="10"/>
  <c r="G558" i="10"/>
  <c r="H558" i="10"/>
  <c r="I558" i="10"/>
  <c r="M558" i="10"/>
  <c r="G559" i="10"/>
  <c r="H559" i="10" s="1"/>
  <c r="I559" i="10"/>
  <c r="M559" i="10"/>
  <c r="G560" i="10"/>
  <c r="H560" i="10"/>
  <c r="I560" i="10"/>
  <c r="M560" i="10"/>
  <c r="G561" i="10"/>
  <c r="H561" i="10" s="1"/>
  <c r="M561" i="10"/>
  <c r="G562" i="10"/>
  <c r="H562" i="10"/>
  <c r="I562" i="10"/>
  <c r="M562" i="10"/>
  <c r="G563" i="10"/>
  <c r="H563" i="10" s="1"/>
  <c r="M563" i="10"/>
  <c r="G564" i="10"/>
  <c r="H564" i="10"/>
  <c r="I564" i="10"/>
  <c r="M564" i="10"/>
  <c r="G565" i="10"/>
  <c r="H565" i="10" s="1"/>
  <c r="I565" i="10"/>
  <c r="M565" i="10"/>
  <c r="G566" i="10"/>
  <c r="H566" i="10"/>
  <c r="I566" i="10"/>
  <c r="M566" i="10"/>
  <c r="G567" i="10"/>
  <c r="H567" i="10" s="1"/>
  <c r="M567" i="10"/>
  <c r="G568" i="10"/>
  <c r="H568" i="10"/>
  <c r="I568" i="10"/>
  <c r="M568" i="10"/>
  <c r="G569" i="10"/>
  <c r="H569" i="10" s="1"/>
  <c r="I569" i="10"/>
  <c r="M569" i="10"/>
  <c r="G570" i="10"/>
  <c r="H570" i="10"/>
  <c r="I570" i="10"/>
  <c r="M570" i="10"/>
  <c r="G571" i="10"/>
  <c r="H571" i="10" s="1"/>
  <c r="I571" i="10"/>
  <c r="M571" i="10"/>
  <c r="G572" i="10"/>
  <c r="H572" i="10"/>
  <c r="I572" i="10"/>
  <c r="M572" i="10"/>
  <c r="G573" i="10"/>
  <c r="H573" i="10" s="1"/>
  <c r="M573" i="10"/>
  <c r="G574" i="10"/>
  <c r="H574" i="10"/>
  <c r="I574" i="10"/>
  <c r="M574" i="10"/>
  <c r="G575" i="10"/>
  <c r="H575" i="10" s="1"/>
  <c r="I575" i="10"/>
  <c r="M575" i="10"/>
  <c r="G576" i="10"/>
  <c r="H576" i="10"/>
  <c r="I576" i="10"/>
  <c r="M576" i="10"/>
  <c r="G577" i="10"/>
  <c r="H577" i="10" s="1"/>
  <c r="I577" i="10"/>
  <c r="M577" i="10"/>
  <c r="G578" i="10"/>
  <c r="H578" i="10"/>
  <c r="I578" i="10"/>
  <c r="M578" i="10"/>
  <c r="G579" i="10"/>
  <c r="H579" i="10" s="1"/>
  <c r="M579" i="10"/>
  <c r="G580" i="10"/>
  <c r="H580" i="10"/>
  <c r="I580" i="10"/>
  <c r="M580" i="10"/>
  <c r="G581" i="10"/>
  <c r="H581" i="10" s="1"/>
  <c r="I581" i="10"/>
  <c r="M581" i="10"/>
  <c r="G582" i="10"/>
  <c r="H582" i="10"/>
  <c r="I582" i="10"/>
  <c r="M582" i="10"/>
  <c r="G583" i="10"/>
  <c r="H583" i="10" s="1"/>
  <c r="M583" i="10"/>
  <c r="G584" i="10"/>
  <c r="H584" i="10"/>
  <c r="I584" i="10"/>
  <c r="M584" i="10"/>
  <c r="G585" i="10"/>
  <c r="H585" i="10" s="1"/>
  <c r="I585" i="10"/>
  <c r="M585" i="10"/>
  <c r="G586" i="10"/>
  <c r="H586" i="10"/>
  <c r="I586" i="10"/>
  <c r="M586" i="10"/>
  <c r="G587" i="10"/>
  <c r="H587" i="10" s="1"/>
  <c r="I587" i="10"/>
  <c r="M587" i="10"/>
  <c r="G588" i="10"/>
  <c r="H588" i="10"/>
  <c r="I588" i="10"/>
  <c r="M588" i="10"/>
  <c r="G589" i="10"/>
  <c r="H589" i="10" s="1"/>
  <c r="M589" i="10"/>
  <c r="G590" i="10"/>
  <c r="H590" i="10"/>
  <c r="I590" i="10"/>
  <c r="M590" i="10"/>
  <c r="G591" i="10"/>
  <c r="H591" i="10" s="1"/>
  <c r="I591" i="10"/>
  <c r="M591" i="10"/>
  <c r="G592" i="10"/>
  <c r="H592" i="10"/>
  <c r="I592" i="10"/>
  <c r="M592" i="10"/>
  <c r="G593" i="10"/>
  <c r="H593" i="10" s="1"/>
  <c r="I593" i="10"/>
  <c r="M593" i="10"/>
  <c r="G594" i="10"/>
  <c r="H594" i="10"/>
  <c r="I594" i="10"/>
  <c r="M594" i="10"/>
  <c r="G595" i="10"/>
  <c r="H595" i="10" s="1"/>
  <c r="M595" i="10"/>
  <c r="G596" i="10"/>
  <c r="H596" i="10"/>
  <c r="I596" i="10"/>
  <c r="M596" i="10"/>
  <c r="G597" i="10"/>
  <c r="H597" i="10" s="1"/>
  <c r="I597" i="10"/>
  <c r="M597" i="10"/>
  <c r="G598" i="10"/>
  <c r="H598" i="10"/>
  <c r="I598" i="10"/>
  <c r="M598" i="10"/>
  <c r="G599" i="10"/>
  <c r="H599" i="10" s="1"/>
  <c r="M599" i="10"/>
  <c r="G600" i="10"/>
  <c r="H600" i="10"/>
  <c r="I600" i="10"/>
  <c r="M600" i="10"/>
  <c r="G601" i="10"/>
  <c r="H601" i="10" s="1"/>
  <c r="I601" i="10"/>
  <c r="M601" i="10"/>
  <c r="G602" i="10"/>
  <c r="H602" i="10"/>
  <c r="I602" i="10"/>
  <c r="M602" i="10"/>
  <c r="G603" i="10"/>
  <c r="H603" i="10" s="1"/>
  <c r="I603" i="10"/>
  <c r="M603" i="10"/>
  <c r="G604" i="10"/>
  <c r="H604" i="10"/>
  <c r="I604" i="10"/>
  <c r="M604" i="10"/>
  <c r="G605" i="10"/>
  <c r="H605" i="10" s="1"/>
  <c r="M605" i="10"/>
  <c r="G606" i="10"/>
  <c r="H606" i="10"/>
  <c r="I606" i="10"/>
  <c r="M606" i="10"/>
  <c r="G607" i="10"/>
  <c r="H607" i="10" s="1"/>
  <c r="I607" i="10"/>
  <c r="M607" i="10"/>
  <c r="G608" i="10"/>
  <c r="H608" i="10"/>
  <c r="I608" i="10"/>
  <c r="M608" i="10"/>
  <c r="G609" i="10"/>
  <c r="H609" i="10" s="1"/>
  <c r="I609" i="10"/>
  <c r="M609" i="10"/>
  <c r="G610" i="10"/>
  <c r="H610" i="10"/>
  <c r="I610" i="10"/>
  <c r="M610" i="10"/>
  <c r="G611" i="10"/>
  <c r="H611" i="10" s="1"/>
  <c r="M611" i="10"/>
  <c r="G612" i="10"/>
  <c r="H612" i="10"/>
  <c r="I612" i="10"/>
  <c r="M612" i="10"/>
  <c r="G613" i="10"/>
  <c r="H613" i="10" s="1"/>
  <c r="I613" i="10"/>
  <c r="M613" i="10"/>
  <c r="G614" i="10"/>
  <c r="H614" i="10"/>
  <c r="I614" i="10"/>
  <c r="M614" i="10"/>
  <c r="G615" i="10"/>
  <c r="H615" i="10" s="1"/>
  <c r="M615" i="10"/>
  <c r="G616" i="10"/>
  <c r="H616" i="10"/>
  <c r="I616" i="10"/>
  <c r="M616" i="10"/>
  <c r="G617" i="10"/>
  <c r="H617" i="10" s="1"/>
  <c r="I617" i="10"/>
  <c r="M617" i="10"/>
  <c r="G618" i="10"/>
  <c r="H618" i="10"/>
  <c r="I618" i="10"/>
  <c r="M618" i="10"/>
  <c r="G619" i="10"/>
  <c r="H619" i="10" s="1"/>
  <c r="I619" i="10"/>
  <c r="M619" i="10"/>
  <c r="G620" i="10"/>
  <c r="H620" i="10"/>
  <c r="I620" i="10"/>
  <c r="M620" i="10"/>
  <c r="G621" i="10"/>
  <c r="H621" i="10" s="1"/>
  <c r="M621" i="10"/>
  <c r="G622" i="10"/>
  <c r="H622" i="10"/>
  <c r="I622" i="10"/>
  <c r="M622" i="10"/>
  <c r="G623" i="10"/>
  <c r="I623" i="10" s="1"/>
  <c r="H623" i="10"/>
  <c r="M623" i="10"/>
  <c r="G624" i="10"/>
  <c r="H624" i="10"/>
  <c r="I624" i="10"/>
  <c r="M624" i="10"/>
  <c r="G625" i="10"/>
  <c r="I625" i="10" s="1"/>
  <c r="H625" i="10"/>
  <c r="M625" i="10"/>
  <c r="G626" i="10"/>
  <c r="H626" i="10"/>
  <c r="I626" i="10"/>
  <c r="M626" i="10"/>
  <c r="G627" i="10"/>
  <c r="I627" i="10" s="1"/>
  <c r="H627" i="10"/>
  <c r="M627" i="10"/>
  <c r="G628" i="10"/>
  <c r="H628" i="10"/>
  <c r="I628" i="10"/>
  <c r="M628" i="10"/>
  <c r="G629" i="10"/>
  <c r="I629" i="10" s="1"/>
  <c r="H629" i="10"/>
  <c r="M629" i="10"/>
  <c r="G630" i="10"/>
  <c r="H630" i="10"/>
  <c r="I630" i="10"/>
  <c r="M630" i="10"/>
  <c r="G631" i="10"/>
  <c r="I631" i="10" s="1"/>
  <c r="H631" i="10"/>
  <c r="M631" i="10"/>
  <c r="G632" i="10"/>
  <c r="H632" i="10"/>
  <c r="I632" i="10"/>
  <c r="M632" i="10"/>
  <c r="G633" i="10"/>
  <c r="I633" i="10" s="1"/>
  <c r="H633" i="10"/>
  <c r="M633" i="10"/>
  <c r="G634" i="10"/>
  <c r="H634" i="10"/>
  <c r="I634" i="10"/>
  <c r="M634" i="10"/>
  <c r="G635" i="10"/>
  <c r="I635" i="10" s="1"/>
  <c r="H635" i="10"/>
  <c r="M635" i="10"/>
  <c r="G636" i="10"/>
  <c r="H636" i="10"/>
  <c r="I636" i="10"/>
  <c r="M636" i="10"/>
  <c r="G637" i="10"/>
  <c r="I637" i="10" s="1"/>
  <c r="H637" i="10"/>
  <c r="M637" i="10"/>
  <c r="G638" i="10"/>
  <c r="H638" i="10"/>
  <c r="I638" i="10"/>
  <c r="M638" i="10"/>
  <c r="G639" i="10"/>
  <c r="I639" i="10" s="1"/>
  <c r="H639" i="10"/>
  <c r="M639" i="10"/>
  <c r="G640" i="10"/>
  <c r="H640" i="10"/>
  <c r="I640" i="10"/>
  <c r="M640" i="10"/>
  <c r="G641" i="10"/>
  <c r="I641" i="10" s="1"/>
  <c r="H641" i="10"/>
  <c r="M641" i="10"/>
  <c r="G642" i="10"/>
  <c r="H642" i="10"/>
  <c r="I642" i="10"/>
  <c r="M642" i="10"/>
  <c r="G643" i="10"/>
  <c r="I643" i="10" s="1"/>
  <c r="H643" i="10"/>
  <c r="M643" i="10"/>
  <c r="G644" i="10"/>
  <c r="H644" i="10"/>
  <c r="I644" i="10"/>
  <c r="M644" i="10"/>
  <c r="G645" i="10"/>
  <c r="I645" i="10" s="1"/>
  <c r="H645" i="10"/>
  <c r="M645" i="10"/>
  <c r="G646" i="10"/>
  <c r="H646" i="10"/>
  <c r="I646" i="10"/>
  <c r="M646" i="10"/>
  <c r="G647" i="10"/>
  <c r="I647" i="10" s="1"/>
  <c r="H647" i="10"/>
  <c r="M647" i="10"/>
  <c r="G648" i="10"/>
  <c r="H648" i="10"/>
  <c r="I648" i="10"/>
  <c r="M648" i="10"/>
  <c r="G649" i="10"/>
  <c r="I649" i="10" s="1"/>
  <c r="H649" i="10"/>
  <c r="M649" i="10"/>
  <c r="G650" i="10"/>
  <c r="H650" i="10"/>
  <c r="I650" i="10"/>
  <c r="M650" i="10"/>
  <c r="G651" i="10"/>
  <c r="I651" i="10" s="1"/>
  <c r="H651" i="10"/>
  <c r="M651" i="10"/>
  <c r="G652" i="10"/>
  <c r="H652" i="10"/>
  <c r="I652" i="10"/>
  <c r="M652" i="10"/>
  <c r="G653" i="10"/>
  <c r="I653" i="10" s="1"/>
  <c r="H653" i="10"/>
  <c r="M653" i="10"/>
  <c r="G654" i="10"/>
  <c r="H654" i="10"/>
  <c r="I654" i="10"/>
  <c r="M654" i="10"/>
  <c r="G655" i="10"/>
  <c r="I655" i="10" s="1"/>
  <c r="H655" i="10"/>
  <c r="M655" i="10"/>
  <c r="G656" i="10"/>
  <c r="H656" i="10"/>
  <c r="I656" i="10"/>
  <c r="M656" i="10"/>
  <c r="G657" i="10"/>
  <c r="I657" i="10" s="1"/>
  <c r="H657" i="10"/>
  <c r="M657" i="10"/>
  <c r="G658" i="10"/>
  <c r="H658" i="10"/>
  <c r="I658" i="10"/>
  <c r="M658" i="10"/>
  <c r="G659" i="10"/>
  <c r="I659" i="10" s="1"/>
  <c r="H659" i="10"/>
  <c r="M659" i="10"/>
  <c r="G660" i="10"/>
  <c r="H660" i="10"/>
  <c r="I660" i="10"/>
  <c r="M660" i="10"/>
  <c r="G661" i="10"/>
  <c r="I661" i="10" s="1"/>
  <c r="H661" i="10"/>
  <c r="M661" i="10"/>
  <c r="G662" i="10"/>
  <c r="H662" i="10"/>
  <c r="I662" i="10"/>
  <c r="M662" i="10"/>
  <c r="G663" i="10"/>
  <c r="I663" i="10" s="1"/>
  <c r="H663" i="10"/>
  <c r="M663" i="10"/>
  <c r="G664" i="10"/>
  <c r="H664" i="10"/>
  <c r="I664" i="10"/>
  <c r="M664" i="10"/>
  <c r="G665" i="10"/>
  <c r="I665" i="10" s="1"/>
  <c r="H665" i="10"/>
  <c r="M665" i="10"/>
  <c r="G666" i="10"/>
  <c r="H666" i="10"/>
  <c r="I666" i="10"/>
  <c r="M666" i="10"/>
  <c r="G667" i="10"/>
  <c r="I667" i="10" s="1"/>
  <c r="H667" i="10"/>
  <c r="M667" i="10"/>
  <c r="G668" i="10"/>
  <c r="H668" i="10"/>
  <c r="I668" i="10"/>
  <c r="M668" i="10"/>
  <c r="G669" i="10"/>
  <c r="I669" i="10" s="1"/>
  <c r="H669" i="10"/>
  <c r="M669" i="10"/>
  <c r="G670" i="10"/>
  <c r="H670" i="10"/>
  <c r="I670" i="10"/>
  <c r="M670" i="10"/>
  <c r="G671" i="10"/>
  <c r="I671" i="10" s="1"/>
  <c r="H671" i="10"/>
  <c r="M671" i="10"/>
  <c r="G672" i="10"/>
  <c r="H672" i="10"/>
  <c r="I672" i="10"/>
  <c r="M672" i="10"/>
  <c r="G673" i="10"/>
  <c r="I673" i="10" s="1"/>
  <c r="H673" i="10"/>
  <c r="M673" i="10"/>
  <c r="G674" i="10"/>
  <c r="H674" i="10"/>
  <c r="I674" i="10"/>
  <c r="M674" i="10"/>
  <c r="G675" i="10"/>
  <c r="I675" i="10" s="1"/>
  <c r="H675" i="10"/>
  <c r="M675" i="10"/>
  <c r="G676" i="10"/>
  <c r="H676" i="10"/>
  <c r="I676" i="10"/>
  <c r="M676" i="10"/>
  <c r="G677" i="10"/>
  <c r="I677" i="10" s="1"/>
  <c r="H677" i="10"/>
  <c r="M677" i="10"/>
  <c r="G678" i="10"/>
  <c r="H678" i="10"/>
  <c r="I678" i="10"/>
  <c r="M678" i="10"/>
  <c r="G679" i="10"/>
  <c r="I679" i="10" s="1"/>
  <c r="H679" i="10"/>
  <c r="M679" i="10"/>
  <c r="G680" i="10"/>
  <c r="H680" i="10"/>
  <c r="I680" i="10"/>
  <c r="M680" i="10"/>
  <c r="G681" i="10"/>
  <c r="I681" i="10" s="1"/>
  <c r="H681" i="10"/>
  <c r="M681" i="10"/>
  <c r="G682" i="10"/>
  <c r="H682" i="10"/>
  <c r="I682" i="10"/>
  <c r="M682" i="10"/>
  <c r="G683" i="10"/>
  <c r="I683" i="10" s="1"/>
  <c r="H683" i="10"/>
  <c r="M683" i="10"/>
  <c r="G684" i="10"/>
  <c r="H684" i="10"/>
  <c r="I684" i="10"/>
  <c r="M684" i="10"/>
  <c r="G685" i="10"/>
  <c r="I685" i="10" s="1"/>
  <c r="H685" i="10"/>
  <c r="M685" i="10"/>
  <c r="G686" i="10"/>
  <c r="H686" i="10"/>
  <c r="I686" i="10"/>
  <c r="M686" i="10"/>
  <c r="G687" i="10"/>
  <c r="I687" i="10" s="1"/>
  <c r="H687" i="10"/>
  <c r="M687" i="10"/>
  <c r="G688" i="10"/>
  <c r="H688" i="10"/>
  <c r="I688" i="10"/>
  <c r="M688" i="10"/>
  <c r="G689" i="10"/>
  <c r="I689" i="10" s="1"/>
  <c r="H689" i="10"/>
  <c r="M689" i="10"/>
  <c r="G690" i="10"/>
  <c r="H690" i="10"/>
  <c r="I690" i="10"/>
  <c r="M690" i="10"/>
  <c r="G691" i="10"/>
  <c r="I691" i="10" s="1"/>
  <c r="H691" i="10"/>
  <c r="M691" i="10"/>
  <c r="G692" i="10"/>
  <c r="H692" i="10"/>
  <c r="I692" i="10"/>
  <c r="M692" i="10"/>
  <c r="G693" i="10"/>
  <c r="I693" i="10" s="1"/>
  <c r="H693" i="10"/>
  <c r="M693" i="10"/>
  <c r="G694" i="10"/>
  <c r="H694" i="10"/>
  <c r="I694" i="10"/>
  <c r="M694" i="10"/>
  <c r="G695" i="10"/>
  <c r="I695" i="10" s="1"/>
  <c r="H695" i="10"/>
  <c r="M695" i="10"/>
  <c r="G696" i="10"/>
  <c r="H696" i="10"/>
  <c r="I696" i="10"/>
  <c r="M696" i="10"/>
  <c r="G697" i="10"/>
  <c r="I697" i="10" s="1"/>
  <c r="H697" i="10"/>
  <c r="M697" i="10"/>
  <c r="G698" i="10"/>
  <c r="H698" i="10"/>
  <c r="I698" i="10"/>
  <c r="M698" i="10"/>
  <c r="G699" i="10"/>
  <c r="I699" i="10" s="1"/>
  <c r="H699" i="10"/>
  <c r="M699" i="10"/>
  <c r="G700" i="10"/>
  <c r="H700" i="10"/>
  <c r="I700" i="10"/>
  <c r="M700" i="10"/>
  <c r="G701" i="10"/>
  <c r="I701" i="10" s="1"/>
  <c r="H701" i="10"/>
  <c r="M701" i="10"/>
  <c r="G702" i="10"/>
  <c r="H702" i="10"/>
  <c r="I702" i="10"/>
  <c r="M702" i="10"/>
  <c r="G703" i="10"/>
  <c r="I703" i="10" s="1"/>
  <c r="H703" i="10"/>
  <c r="M703" i="10"/>
  <c r="G704" i="10"/>
  <c r="H704" i="10"/>
  <c r="I704" i="10"/>
  <c r="M704" i="10"/>
  <c r="G705" i="10"/>
  <c r="I705" i="10" s="1"/>
  <c r="H705" i="10"/>
  <c r="M705" i="10"/>
  <c r="G706" i="10"/>
  <c r="H706" i="10"/>
  <c r="I706" i="10"/>
  <c r="M706" i="10"/>
  <c r="G707" i="10"/>
  <c r="I707" i="10" s="1"/>
  <c r="H707" i="10"/>
  <c r="M707" i="10"/>
  <c r="G708" i="10"/>
  <c r="H708" i="10"/>
  <c r="I708" i="10"/>
  <c r="M708" i="10"/>
  <c r="G709" i="10"/>
  <c r="I709" i="10" s="1"/>
  <c r="H709" i="10"/>
  <c r="M709" i="10"/>
  <c r="G710" i="10"/>
  <c r="H710" i="10"/>
  <c r="I710" i="10"/>
  <c r="M710" i="10"/>
  <c r="G711" i="10"/>
  <c r="I711" i="10" s="1"/>
  <c r="H711" i="10"/>
  <c r="M711" i="10"/>
  <c r="G712" i="10"/>
  <c r="H712" i="10"/>
  <c r="I712" i="10"/>
  <c r="M712" i="10"/>
  <c r="G713" i="10"/>
  <c r="I713" i="10" s="1"/>
  <c r="H713" i="10"/>
  <c r="M713" i="10"/>
  <c r="G714" i="10"/>
  <c r="H714" i="10"/>
  <c r="I714" i="10"/>
  <c r="M714" i="10"/>
  <c r="G715" i="10"/>
  <c r="I715" i="10" s="1"/>
  <c r="H715" i="10"/>
  <c r="M715" i="10"/>
  <c r="G716" i="10"/>
  <c r="H716" i="10"/>
  <c r="I716" i="10"/>
  <c r="M716" i="10"/>
  <c r="G717" i="10"/>
  <c r="I717" i="10" s="1"/>
  <c r="H717" i="10"/>
  <c r="M717" i="10"/>
  <c r="G718" i="10"/>
  <c r="H718" i="10"/>
  <c r="I718" i="10"/>
  <c r="M718" i="10"/>
  <c r="G719" i="10"/>
  <c r="I719" i="10" s="1"/>
  <c r="H719" i="10"/>
  <c r="M719" i="10"/>
  <c r="G720" i="10"/>
  <c r="H720" i="10"/>
  <c r="I720" i="10"/>
  <c r="M720" i="10"/>
  <c r="G721" i="10"/>
  <c r="I721" i="10" s="1"/>
  <c r="H721" i="10"/>
  <c r="M721" i="10"/>
  <c r="G722" i="10"/>
  <c r="H722" i="10"/>
  <c r="I722" i="10"/>
  <c r="M722" i="10"/>
  <c r="G723" i="10"/>
  <c r="I723" i="10" s="1"/>
  <c r="H723" i="10"/>
  <c r="M723" i="10"/>
  <c r="G724" i="10"/>
  <c r="H724" i="10"/>
  <c r="I724" i="10"/>
  <c r="M724" i="10"/>
  <c r="G725" i="10"/>
  <c r="I725" i="10" s="1"/>
  <c r="H725" i="10"/>
  <c r="M725" i="10"/>
  <c r="G726" i="10"/>
  <c r="H726" i="10"/>
  <c r="I726" i="10"/>
  <c r="M726" i="10"/>
  <c r="G727" i="10"/>
  <c r="I727" i="10" s="1"/>
  <c r="H727" i="10"/>
  <c r="M727" i="10"/>
  <c r="G728" i="10"/>
  <c r="H728" i="10"/>
  <c r="I728" i="10"/>
  <c r="M728" i="10"/>
  <c r="G729" i="10"/>
  <c r="I729" i="10" s="1"/>
  <c r="H729" i="10"/>
  <c r="M729" i="10"/>
  <c r="G730" i="10"/>
  <c r="H730" i="10"/>
  <c r="I730" i="10"/>
  <c r="M730" i="10"/>
  <c r="G731" i="10"/>
  <c r="I731" i="10" s="1"/>
  <c r="H731" i="10"/>
  <c r="M731" i="10"/>
  <c r="G732" i="10"/>
  <c r="H732" i="10"/>
  <c r="I732" i="10"/>
  <c r="M732" i="10"/>
  <c r="G733" i="10"/>
  <c r="I733" i="10" s="1"/>
  <c r="H733" i="10"/>
  <c r="M733" i="10"/>
  <c r="G734" i="10"/>
  <c r="H734" i="10"/>
  <c r="I734" i="10"/>
  <c r="M734" i="10"/>
  <c r="G735" i="10"/>
  <c r="I735" i="10" s="1"/>
  <c r="H735" i="10"/>
  <c r="M735" i="10"/>
  <c r="G736" i="10"/>
  <c r="H736" i="10"/>
  <c r="I736" i="10"/>
  <c r="M736" i="10"/>
  <c r="G737" i="10"/>
  <c r="I737" i="10" s="1"/>
  <c r="H737" i="10"/>
  <c r="M737" i="10"/>
  <c r="G738" i="10"/>
  <c r="H738" i="10"/>
  <c r="I738" i="10"/>
  <c r="M738" i="10"/>
  <c r="G739" i="10"/>
  <c r="I739" i="10" s="1"/>
  <c r="H739" i="10"/>
  <c r="M739" i="10"/>
  <c r="G740" i="10"/>
  <c r="H740" i="10"/>
  <c r="I740" i="10"/>
  <c r="M740" i="10"/>
  <c r="G741" i="10"/>
  <c r="I741" i="10" s="1"/>
  <c r="H741" i="10"/>
  <c r="M741" i="10"/>
  <c r="G742" i="10"/>
  <c r="H742" i="10"/>
  <c r="I742" i="10"/>
  <c r="M742" i="10"/>
  <c r="G743" i="10"/>
  <c r="I743" i="10" s="1"/>
  <c r="H743" i="10"/>
  <c r="M743" i="10"/>
  <c r="F2" i="9"/>
  <c r="F3" i="9"/>
  <c r="F4" i="9"/>
  <c r="F5" i="9"/>
  <c r="F6" i="9"/>
  <c r="F7" i="9"/>
  <c r="F9" i="9"/>
  <c r="F10" i="9"/>
  <c r="F11" i="9"/>
  <c r="F12" i="9"/>
  <c r="F13" i="9"/>
  <c r="F14" i="9"/>
  <c r="F15" i="9"/>
  <c r="F16" i="9"/>
  <c r="F17" i="9"/>
  <c r="F18" i="9"/>
  <c r="F19" i="9"/>
  <c r="F20" i="9"/>
  <c r="F21" i="9"/>
  <c r="F22" i="9"/>
  <c r="F23" i="9"/>
  <c r="F24" i="9"/>
  <c r="F25" i="9"/>
  <c r="F27" i="9"/>
  <c r="F28" i="9"/>
  <c r="F29" i="9"/>
  <c r="F30" i="9"/>
  <c r="F31" i="9"/>
  <c r="F32" i="9"/>
  <c r="F33" i="9"/>
  <c r="F34" i="9"/>
  <c r="F35" i="9"/>
  <c r="F36" i="9"/>
  <c r="F38" i="9"/>
  <c r="F39" i="9"/>
  <c r="F40" i="9"/>
  <c r="F41"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4" i="9"/>
  <c r="F105" i="9"/>
  <c r="F106" i="9"/>
  <c r="F107" i="9"/>
  <c r="F108" i="9"/>
  <c r="F109" i="9"/>
  <c r="F110" i="9"/>
  <c r="F111" i="9"/>
  <c r="F113" i="9"/>
  <c r="F114" i="9"/>
  <c r="F115" i="9"/>
  <c r="F116" i="9"/>
  <c r="F117" i="9"/>
  <c r="F118" i="9"/>
  <c r="F119" i="9"/>
  <c r="F120" i="9"/>
  <c r="F121" i="9"/>
  <c r="F123" i="9"/>
  <c r="F124" i="9"/>
  <c r="F125" i="9"/>
  <c r="F126" i="9"/>
  <c r="F127" i="9"/>
  <c r="F128" i="9"/>
  <c r="F129" i="9"/>
  <c r="F130" i="9"/>
  <c r="F131" i="9"/>
  <c r="F132" i="9"/>
  <c r="F133" i="9"/>
  <c r="F134" i="9"/>
  <c r="F135" i="9"/>
  <c r="F136" i="9"/>
  <c r="F137" i="9"/>
  <c r="F138" i="9"/>
  <c r="F139" i="9"/>
  <c r="F140" i="9"/>
  <c r="F141" i="9"/>
  <c r="F143" i="9"/>
  <c r="F144" i="9"/>
  <c r="F145" i="9"/>
  <c r="F146" i="9"/>
  <c r="F147" i="9"/>
  <c r="F148"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90" i="9"/>
  <c r="F191" i="9"/>
  <c r="F192" i="9"/>
  <c r="F193" i="9"/>
  <c r="F194" i="9"/>
  <c r="F195" i="9"/>
  <c r="F196" i="9"/>
  <c r="F197"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4" i="9"/>
  <c r="F355" i="9"/>
  <c r="F356" i="9"/>
  <c r="F357" i="9"/>
  <c r="F358" i="9"/>
  <c r="F359" i="9"/>
  <c r="F360"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8" i="9"/>
  <c r="F419" i="9"/>
  <c r="F420" i="9"/>
  <c r="F421" i="9"/>
  <c r="F422" i="9"/>
  <c r="F423" i="9"/>
  <c r="F424" i="9"/>
  <c r="F425" i="9"/>
  <c r="F426" i="9"/>
  <c r="F427" i="9"/>
  <c r="F428" i="9"/>
  <c r="F429" i="9"/>
  <c r="F430" i="9"/>
  <c r="F431" i="9"/>
  <c r="F432" i="9"/>
  <c r="F433" i="9"/>
  <c r="F434" i="9"/>
  <c r="F435" i="9"/>
  <c r="F436" i="9"/>
  <c r="F437" i="9"/>
  <c r="F438" i="9"/>
  <c r="F440" i="9"/>
  <c r="F441" i="9"/>
  <c r="F442" i="9"/>
  <c r="F443"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90" i="9"/>
  <c r="F491" i="9"/>
  <c r="F492" i="9"/>
  <c r="F493" i="9"/>
  <c r="F494" i="9"/>
  <c r="F495" i="9"/>
  <c r="F496" i="9"/>
  <c r="F497" i="9"/>
  <c r="F498" i="9"/>
  <c r="F499" i="9"/>
  <c r="F500" i="9"/>
  <c r="F501" i="9"/>
  <c r="F502" i="9"/>
  <c r="F503" i="9"/>
  <c r="F504" i="9"/>
  <c r="F505"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3" i="9"/>
  <c r="F774" i="9"/>
  <c r="F775" i="9"/>
  <c r="F776" i="9"/>
  <c r="F777" i="9"/>
  <c r="F779" i="9"/>
  <c r="F780" i="9"/>
  <c r="F781" i="9"/>
  <c r="F782" i="9"/>
  <c r="F783" i="9"/>
  <c r="F784" i="9"/>
  <c r="F784" i="8"/>
  <c r="F783" i="8"/>
  <c r="F782" i="8"/>
  <c r="F781" i="8"/>
  <c r="F780" i="8"/>
  <c r="F779" i="8"/>
  <c r="F777" i="8"/>
  <c r="F776" i="8"/>
  <c r="F775" i="8"/>
  <c r="F774" i="8"/>
  <c r="F773"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5" i="8"/>
  <c r="F504" i="8"/>
  <c r="F503" i="8"/>
  <c r="F502" i="8"/>
  <c r="F501" i="8"/>
  <c r="F500" i="8"/>
  <c r="F499" i="8"/>
  <c r="F498" i="8"/>
  <c r="F497" i="8"/>
  <c r="F496" i="8"/>
  <c r="F495" i="8"/>
  <c r="F494" i="8"/>
  <c r="F493" i="8"/>
  <c r="F492" i="8"/>
  <c r="F491" i="8"/>
  <c r="F490"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3" i="8"/>
  <c r="F442" i="8"/>
  <c r="F441" i="8"/>
  <c r="F440" i="8"/>
  <c r="F438" i="8"/>
  <c r="F437" i="8"/>
  <c r="F436" i="8"/>
  <c r="F435" i="8"/>
  <c r="F434" i="8"/>
  <c r="F433" i="8"/>
  <c r="F432" i="8"/>
  <c r="F431" i="8"/>
  <c r="F430" i="8"/>
  <c r="F429" i="8"/>
  <c r="F428" i="8"/>
  <c r="F427" i="8"/>
  <c r="F426" i="8"/>
  <c r="F425" i="8"/>
  <c r="F424" i="8"/>
  <c r="F423" i="8"/>
  <c r="F422" i="8"/>
  <c r="F421" i="8"/>
  <c r="F420" i="8"/>
  <c r="F419" i="8"/>
  <c r="F418"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0" i="8"/>
  <c r="F359" i="8"/>
  <c r="F358" i="8"/>
  <c r="F357" i="8"/>
  <c r="F356" i="8"/>
  <c r="F355" i="8"/>
  <c r="F354"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7" i="8"/>
  <c r="F196" i="8"/>
  <c r="F195" i="8"/>
  <c r="F194" i="8"/>
  <c r="F193" i="8"/>
  <c r="F192" i="8"/>
  <c r="F191" i="8"/>
  <c r="F190"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8" i="8"/>
  <c r="F147" i="8"/>
  <c r="F146" i="8"/>
  <c r="F145" i="8"/>
  <c r="F144" i="8"/>
  <c r="F143" i="8"/>
  <c r="F141" i="8"/>
  <c r="F140" i="8"/>
  <c r="F139" i="8"/>
  <c r="F138" i="8"/>
  <c r="F137" i="8"/>
  <c r="F136" i="8"/>
  <c r="F135" i="8"/>
  <c r="F134" i="8"/>
  <c r="F133" i="8"/>
  <c r="F132" i="8"/>
  <c r="F131" i="8"/>
  <c r="F130" i="8"/>
  <c r="F129" i="8"/>
  <c r="F128" i="8"/>
  <c r="F127" i="8"/>
  <c r="F126" i="8"/>
  <c r="F125" i="8"/>
  <c r="F124" i="8"/>
  <c r="F123" i="8"/>
  <c r="F121" i="8"/>
  <c r="F120" i="8"/>
  <c r="F119" i="8"/>
  <c r="F118" i="8"/>
  <c r="F117" i="8"/>
  <c r="F116" i="8"/>
  <c r="F115" i="8"/>
  <c r="F114" i="8"/>
  <c r="F113" i="8"/>
  <c r="F111" i="8"/>
  <c r="F110" i="8"/>
  <c r="F109" i="8"/>
  <c r="F108" i="8"/>
  <c r="F107" i="8"/>
  <c r="F106" i="8"/>
  <c r="F105" i="8"/>
  <c r="F104"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1" i="8"/>
  <c r="F40" i="8"/>
  <c r="F39" i="8"/>
  <c r="F38" i="8"/>
  <c r="F36" i="8"/>
  <c r="F35" i="8"/>
  <c r="F34" i="8"/>
  <c r="F33" i="8"/>
  <c r="F32" i="8"/>
  <c r="F31" i="8"/>
  <c r="F30" i="8"/>
  <c r="F29" i="8"/>
  <c r="F28" i="8"/>
  <c r="F27" i="8"/>
  <c r="F25" i="8"/>
  <c r="F24" i="8"/>
  <c r="F23" i="8"/>
  <c r="F22" i="8"/>
  <c r="F21" i="8"/>
  <c r="F20" i="8"/>
  <c r="F19" i="8"/>
  <c r="F18" i="8"/>
  <c r="F17" i="8"/>
  <c r="F16" i="8"/>
  <c r="F15" i="8"/>
  <c r="F14" i="8"/>
  <c r="F13" i="8"/>
  <c r="F12" i="8"/>
  <c r="F11" i="8"/>
  <c r="F10" i="8"/>
  <c r="F9" i="8"/>
  <c r="F7" i="8"/>
  <c r="F6" i="8"/>
  <c r="F5" i="8"/>
  <c r="F4" i="8"/>
  <c r="F3" i="8"/>
  <c r="F2" i="8"/>
  <c r="I742" i="7"/>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AL268" i="12" l="1" a="1"/>
  <c r="AL268" i="12" s="1"/>
  <c r="AL242" i="12" a="1"/>
  <c r="AL242" i="12" s="1"/>
  <c r="R34" i="12"/>
  <c r="P36" i="12"/>
  <c r="R36" i="12" s="1"/>
  <c r="AL312" i="12" a="1"/>
  <c r="AL312" i="12" s="1"/>
  <c r="AL281" i="12" a="1"/>
  <c r="AL281" i="12" s="1"/>
  <c r="AL241" i="12" a="1"/>
  <c r="AL241" i="12" s="1"/>
  <c r="AL222" i="12" a="1"/>
  <c r="AL222" i="12" s="1"/>
  <c r="AL206" i="12" a="1"/>
  <c r="AL206" i="12" s="1"/>
  <c r="AL190" i="12" a="1"/>
  <c r="AL190" i="12" s="1"/>
  <c r="AL324" i="12" a="1"/>
  <c r="AL324" i="12" s="1"/>
  <c r="AL269" i="12" a="1"/>
  <c r="AL269" i="12" s="1"/>
  <c r="AL245" i="12" a="1"/>
  <c r="AL245" i="12" s="1"/>
  <c r="AL226" i="12" a="1"/>
  <c r="AL226" i="12" s="1"/>
  <c r="AL27" i="12" a="1"/>
  <c r="AL27" i="12" s="1"/>
  <c r="AL265" i="12" a="1"/>
  <c r="AL265" i="12" s="1"/>
  <c r="AL261" i="12" a="1"/>
  <c r="AL261" i="12" s="1"/>
  <c r="AL308" i="12" a="1"/>
  <c r="AL308" i="12" s="1"/>
  <c r="AL304" i="12" a="1"/>
  <c r="AL304" i="12" s="1"/>
  <c r="AL289" i="12" a="1"/>
  <c r="AL289" i="12" s="1"/>
  <c r="AL276" i="12" a="1"/>
  <c r="AL276" i="12" s="1"/>
  <c r="AL272" i="12" a="1"/>
  <c r="AL272" i="12" s="1"/>
  <c r="P25" i="12"/>
  <c r="R25" i="12" s="1"/>
  <c r="P47" i="12"/>
  <c r="R47" i="12" s="1"/>
  <c r="AL217" i="12" a="1"/>
  <c r="AL217" i="12" s="1"/>
  <c r="AL213" i="12" a="1"/>
  <c r="AL213" i="12" s="1"/>
  <c r="AL209" i="12" a="1"/>
  <c r="AL209" i="12" s="1"/>
  <c r="AL205" i="12" a="1"/>
  <c r="AL205" i="12" s="1"/>
  <c r="AL201" i="12" a="1"/>
  <c r="AL201" i="12" s="1"/>
  <c r="AL197" i="12" a="1"/>
  <c r="AL197" i="12" s="1"/>
  <c r="AL193" i="12" a="1"/>
  <c r="AL193" i="12" s="1"/>
  <c r="AL189" i="12" a="1"/>
  <c r="AL189" i="12" s="1"/>
  <c r="AL185" i="12" a="1"/>
  <c r="AL185" i="12" s="1"/>
  <c r="AL181" i="12" a="1"/>
  <c r="AL181" i="12" s="1"/>
  <c r="AL177" i="12" a="1"/>
  <c r="AL177" i="12" s="1"/>
  <c r="AL173" i="12" a="1"/>
  <c r="AL173" i="12" s="1"/>
  <c r="AL169" i="12" a="1"/>
  <c r="AL169" i="12" s="1"/>
  <c r="AL165" i="12" a="1"/>
  <c r="AL165" i="12" s="1"/>
  <c r="AL161" i="12" a="1"/>
  <c r="AL161" i="12" s="1"/>
  <c r="AL157" i="12" a="1"/>
  <c r="AL157" i="12" s="1"/>
  <c r="AL153" i="12" a="1"/>
  <c r="AL153" i="12" s="1"/>
  <c r="AL149" i="12" a="1"/>
  <c r="AL149" i="12" s="1"/>
  <c r="AL145" i="12" a="1"/>
  <c r="AL145" i="12" s="1"/>
  <c r="AL141" i="12" a="1"/>
  <c r="AL141" i="12" s="1"/>
  <c r="AL137" i="12" a="1"/>
  <c r="AL137" i="12" s="1"/>
  <c r="AL133" i="12" a="1"/>
  <c r="AL133" i="12" s="1"/>
  <c r="AL129" i="12" a="1"/>
  <c r="AL129" i="12" s="1"/>
  <c r="AL125" i="12" a="1"/>
  <c r="AL125" i="12" s="1"/>
  <c r="AL121" i="12" a="1"/>
  <c r="AL121" i="12" s="1"/>
  <c r="AL117" i="12" a="1"/>
  <c r="AL117" i="12" s="1"/>
  <c r="AL113" i="12" a="1"/>
  <c r="AL113" i="12" s="1"/>
  <c r="AL109" i="12" a="1"/>
  <c r="AL109" i="12" s="1"/>
  <c r="AL105" i="12" a="1"/>
  <c r="AL105" i="12" s="1"/>
  <c r="AL101" i="12" a="1"/>
  <c r="AL101" i="12" s="1"/>
  <c r="AL97" i="12" a="1"/>
  <c r="AL97" i="12" s="1"/>
  <c r="AL93" i="12" a="1"/>
  <c r="AL93" i="12" s="1"/>
  <c r="AL89" i="12" a="1"/>
  <c r="AL89" i="12" s="1"/>
  <c r="AL85" i="12" a="1"/>
  <c r="AL85" i="12" s="1"/>
  <c r="AL81" i="12" a="1"/>
  <c r="AL81" i="12" s="1"/>
  <c r="AL77" i="12" a="1"/>
  <c r="AL77" i="12" s="1"/>
  <c r="AL73" i="12" a="1"/>
  <c r="AL73" i="12" s="1"/>
  <c r="AL69" i="12" a="1"/>
  <c r="AL69" i="12" s="1"/>
  <c r="AL65" i="12" a="1"/>
  <c r="AL65" i="12" s="1"/>
  <c r="AL61" i="12" a="1"/>
  <c r="AL61" i="12" s="1"/>
  <c r="AL57" i="12" a="1"/>
  <c r="AL57" i="12" s="1"/>
  <c r="AL53" i="12" a="1"/>
  <c r="AL53" i="12" s="1"/>
  <c r="P46" i="12"/>
  <c r="R46" i="12" s="1"/>
  <c r="AL39" i="12" a="1"/>
  <c r="AL39" i="12" s="1"/>
  <c r="P37" i="12"/>
  <c r="R37" i="12" s="1"/>
  <c r="AL19" i="12" a="1"/>
  <c r="AL19" i="12" s="1"/>
  <c r="H105" i="10"/>
  <c r="I105" i="10"/>
  <c r="H89" i="10"/>
  <c r="I89" i="10"/>
  <c r="H73" i="10"/>
  <c r="I73" i="10"/>
  <c r="H57" i="10"/>
  <c r="I57" i="10"/>
  <c r="H41" i="10"/>
  <c r="I41" i="10"/>
  <c r="H25" i="10"/>
  <c r="I25" i="10"/>
  <c r="H9" i="10"/>
  <c r="I9" i="10"/>
  <c r="I615" i="10"/>
  <c r="I599" i="10"/>
  <c r="I583" i="10"/>
  <c r="I567" i="10"/>
  <c r="I551" i="10"/>
  <c r="I535" i="10"/>
  <c r="I519" i="10"/>
  <c r="I503" i="10"/>
  <c r="I487" i="10"/>
  <c r="I471" i="10"/>
  <c r="I455" i="10"/>
  <c r="I439" i="10"/>
  <c r="I423" i="10"/>
  <c r="I407" i="10"/>
  <c r="I411" i="10"/>
  <c r="H307" i="10"/>
  <c r="I307" i="10"/>
  <c r="H291" i="10"/>
  <c r="I291" i="10"/>
  <c r="H275" i="10"/>
  <c r="I275" i="10"/>
  <c r="H259" i="10"/>
  <c r="I259" i="10"/>
  <c r="H243" i="10"/>
  <c r="I243" i="10"/>
  <c r="H227" i="10"/>
  <c r="I227" i="10"/>
  <c r="H211" i="10"/>
  <c r="I211" i="10"/>
  <c r="H195" i="10"/>
  <c r="I195" i="10"/>
  <c r="H179" i="10"/>
  <c r="I179" i="10"/>
  <c r="I621" i="10"/>
  <c r="I605" i="10"/>
  <c r="I589" i="10"/>
  <c r="I573" i="10"/>
  <c r="I557" i="10"/>
  <c r="I541" i="10"/>
  <c r="I525" i="10"/>
  <c r="I509" i="10"/>
  <c r="I493" i="10"/>
  <c r="I477" i="10"/>
  <c r="I461" i="10"/>
  <c r="I445" i="10"/>
  <c r="I429" i="10"/>
  <c r="I413" i="10"/>
  <c r="I561" i="10"/>
  <c r="I545" i="10"/>
  <c r="I529" i="10"/>
  <c r="I513" i="10"/>
  <c r="I497" i="10"/>
  <c r="I481" i="10"/>
  <c r="I465" i="10"/>
  <c r="I449" i="10"/>
  <c r="I433" i="10"/>
  <c r="I417" i="10"/>
  <c r="I401" i="10"/>
  <c r="I611" i="10"/>
  <c r="I595" i="10"/>
  <c r="I579" i="10"/>
  <c r="I563" i="10"/>
  <c r="I547" i="10"/>
  <c r="I531" i="10"/>
  <c r="I515" i="10"/>
  <c r="I499" i="10"/>
  <c r="I483" i="10"/>
  <c r="I467" i="10"/>
  <c r="I451" i="10"/>
  <c r="I435" i="10"/>
  <c r="I419" i="10"/>
  <c r="I403" i="10"/>
  <c r="H315" i="10"/>
  <c r="I315" i="10"/>
  <c r="H299" i="10"/>
  <c r="I299" i="10"/>
  <c r="H283" i="10"/>
  <c r="I283" i="10"/>
  <c r="H267" i="10"/>
  <c r="I267" i="10"/>
  <c r="H251" i="10"/>
  <c r="I251" i="10"/>
  <c r="H235" i="10"/>
  <c r="I235" i="10"/>
  <c r="H219" i="10"/>
  <c r="I219" i="10"/>
  <c r="H203" i="10"/>
  <c r="I203" i="10"/>
  <c r="H187" i="10"/>
  <c r="I187" i="10"/>
  <c r="H159" i="10"/>
  <c r="I159" i="10"/>
  <c r="H143" i="10"/>
  <c r="I143" i="10"/>
  <c r="H127" i="10"/>
  <c r="I127" i="10"/>
  <c r="H111" i="10"/>
  <c r="I111" i="10"/>
  <c r="I314" i="10"/>
  <c r="I306" i="10"/>
  <c r="I298" i="10"/>
  <c r="I290" i="10"/>
  <c r="I282" i="10"/>
  <c r="I274" i="10"/>
  <c r="I266" i="10"/>
  <c r="I258" i="10"/>
  <c r="I250" i="10"/>
  <c r="I242" i="10"/>
  <c r="I234" i="10"/>
  <c r="I226" i="10"/>
  <c r="I218" i="10"/>
  <c r="I210" i="10"/>
  <c r="I202" i="10"/>
  <c r="I194" i="10"/>
  <c r="I186" i="10"/>
  <c r="I178" i="10"/>
  <c r="H165" i="10"/>
  <c r="I165" i="10"/>
  <c r="H149" i="10"/>
  <c r="I149" i="10"/>
  <c r="I319" i="10"/>
  <c r="I311" i="10"/>
  <c r="I303" i="10"/>
  <c r="I295" i="10"/>
  <c r="I287" i="10"/>
  <c r="I279" i="10"/>
  <c r="I271" i="10"/>
  <c r="I263" i="10"/>
  <c r="I255" i="10"/>
  <c r="I247" i="10"/>
  <c r="I239" i="10"/>
  <c r="I231" i="10"/>
  <c r="I223" i="10"/>
  <c r="I215" i="10"/>
  <c r="I207" i="10"/>
  <c r="I199" i="10"/>
  <c r="I191" i="10"/>
  <c r="I183" i="10"/>
  <c r="I175" i="10"/>
  <c r="H155" i="10"/>
  <c r="I155" i="10"/>
  <c r="I313" i="10"/>
  <c r="I305" i="10"/>
  <c r="I297" i="10"/>
  <c r="I289" i="10"/>
  <c r="I281" i="10"/>
  <c r="I273" i="10"/>
  <c r="I265" i="10"/>
  <c r="I257" i="10"/>
  <c r="I249" i="10"/>
  <c r="I241" i="10"/>
  <c r="I233" i="10"/>
  <c r="I225" i="10"/>
  <c r="I217" i="10"/>
  <c r="I209" i="10"/>
  <c r="I201" i="10"/>
  <c r="I193" i="10"/>
  <c r="I185" i="10"/>
  <c r="I177" i="10"/>
  <c r="H151" i="10"/>
  <c r="I151" i="10"/>
  <c r="H135" i="10"/>
  <c r="I135" i="10"/>
  <c r="H119" i="10"/>
  <c r="I119" i="10"/>
  <c r="H157" i="10"/>
  <c r="I157" i="10"/>
  <c r="H163" i="10"/>
  <c r="I163" i="10"/>
  <c r="I161" i="10"/>
  <c r="I153" i="10"/>
  <c r="I145" i="10"/>
  <c r="I137" i="10"/>
  <c r="I129" i="10"/>
  <c r="I121" i="10"/>
  <c r="I113" i="10"/>
  <c r="H95" i="10"/>
  <c r="I95" i="10"/>
  <c r="H79" i="10"/>
  <c r="I79" i="10"/>
  <c r="H63" i="10"/>
  <c r="I63" i="10"/>
  <c r="H47" i="10"/>
  <c r="I47" i="10"/>
  <c r="H31" i="10"/>
  <c r="I31" i="10"/>
  <c r="H15" i="10"/>
  <c r="I15" i="10"/>
  <c r="H101" i="10"/>
  <c r="I101" i="10"/>
  <c r="H85" i="10"/>
  <c r="I85" i="10"/>
  <c r="H69" i="10"/>
  <c r="I69" i="10"/>
  <c r="H53" i="10"/>
  <c r="I53" i="10"/>
  <c r="H37" i="10"/>
  <c r="I37" i="10"/>
  <c r="H21" i="10"/>
  <c r="I21" i="10"/>
  <c r="H5" i="10"/>
  <c r="I5" i="10"/>
  <c r="I147" i="10"/>
  <c r="I139" i="10"/>
  <c r="I131" i="10"/>
  <c r="I123" i="10"/>
  <c r="I115" i="10"/>
  <c r="H107" i="10"/>
  <c r="I107" i="10"/>
  <c r="H91" i="10"/>
  <c r="I91" i="10"/>
  <c r="H75" i="10"/>
  <c r="I75" i="10"/>
  <c r="H59" i="10"/>
  <c r="I59" i="10"/>
  <c r="H43" i="10"/>
  <c r="I43" i="10"/>
  <c r="H27" i="10"/>
  <c r="I27" i="10"/>
  <c r="H11" i="10"/>
  <c r="I11" i="10"/>
  <c r="H97" i="10"/>
  <c r="I97" i="10"/>
  <c r="H81" i="10"/>
  <c r="I81" i="10"/>
  <c r="H65" i="10"/>
  <c r="I65" i="10"/>
  <c r="H49" i="10"/>
  <c r="I49" i="10"/>
  <c r="H33" i="10"/>
  <c r="I33" i="10"/>
  <c r="H17" i="10"/>
  <c r="I17" i="10"/>
  <c r="I141" i="10"/>
  <c r="I133" i="10"/>
  <c r="I125" i="10"/>
  <c r="I117" i="10"/>
  <c r="I109" i="10"/>
  <c r="H103" i="10"/>
  <c r="I103" i="10"/>
  <c r="H87" i="10"/>
  <c r="I87" i="10"/>
  <c r="H71" i="10"/>
  <c r="I71" i="10"/>
  <c r="H55" i="10"/>
  <c r="I55" i="10"/>
  <c r="H39" i="10"/>
  <c r="I39" i="10"/>
  <c r="H23" i="10"/>
  <c r="I23" i="10"/>
  <c r="H7" i="10"/>
  <c r="I7" i="10"/>
  <c r="H93" i="10"/>
  <c r="I93" i="10"/>
  <c r="H77" i="10"/>
  <c r="I77" i="10"/>
  <c r="H61" i="10"/>
  <c r="I61" i="10"/>
  <c r="H45" i="10"/>
  <c r="I45" i="10"/>
  <c r="H29" i="10"/>
  <c r="I29" i="10"/>
  <c r="H13" i="10"/>
  <c r="I13" i="10"/>
  <c r="H99" i="10"/>
  <c r="I99" i="10"/>
  <c r="H83" i="10"/>
  <c r="I83" i="10"/>
  <c r="H67" i="10"/>
  <c r="I67" i="10"/>
  <c r="H51" i="10"/>
  <c r="I51" i="10"/>
  <c r="H35" i="10"/>
  <c r="I35" i="10"/>
  <c r="H19" i="10"/>
  <c r="I19" i="10"/>
  <c r="I3" i="10"/>
  <c r="AB17" i="4" l="1"/>
  <c r="W33" i="4"/>
  <c r="W32" i="4"/>
  <c r="AB30" i="4"/>
  <c r="AB29" i="4"/>
  <c r="W26" i="4"/>
  <c r="W25" i="4"/>
  <c r="R20" i="4"/>
  <c r="R21" i="4"/>
  <c r="R22" i="4"/>
  <c r="R23" i="4"/>
  <c r="R24" i="4"/>
  <c r="R25" i="4"/>
  <c r="R26" i="4"/>
  <c r="R27" i="4"/>
  <c r="R28" i="4"/>
  <c r="R29" i="4"/>
  <c r="R30" i="4"/>
  <c r="R31" i="4"/>
  <c r="R32" i="4"/>
  <c r="R33" i="4"/>
  <c r="R34" i="4"/>
  <c r="R35" i="4"/>
  <c r="R36" i="4"/>
  <c r="R37" i="4"/>
  <c r="R38" i="4"/>
  <c r="R39" i="4"/>
  <c r="R40" i="4"/>
  <c r="R41" i="4"/>
  <c r="R42" i="4"/>
  <c r="R43" i="4"/>
  <c r="R44" i="4"/>
  <c r="R45" i="4"/>
  <c r="W18" i="4"/>
  <c r="W17" i="4"/>
  <c r="W12" i="4"/>
  <c r="W11" i="4"/>
  <c r="W5" i="4"/>
  <c r="R15" i="4"/>
  <c r="R16" i="4"/>
  <c r="R10" i="4"/>
  <c r="R6" i="4"/>
  <c r="R5" i="4"/>
  <c r="R19" i="4"/>
  <c r="R18" i="4"/>
  <c r="R17" i="4"/>
  <c r="R14" i="4"/>
  <c r="R13" i="4"/>
  <c r="R12" i="4"/>
  <c r="R11" i="4"/>
  <c r="R9" i="4"/>
  <c r="R8" i="4"/>
  <c r="R7" i="4"/>
</calcChain>
</file>

<file path=xl/comments1.xml><?xml version="1.0" encoding="utf-8"?>
<comments xmlns="http://schemas.openxmlformats.org/spreadsheetml/2006/main">
  <authors>
    <author>Billy</author>
  </authors>
  <commentList>
    <comment ref="D2" authorId="0" shapeId="0">
      <text>
        <r>
          <rPr>
            <b/>
            <sz val="9"/>
            <color indexed="81"/>
            <rFont val="Tahoma"/>
            <family val="2"/>
          </rPr>
          <t>Billy:</t>
        </r>
        <r>
          <rPr>
            <sz val="9"/>
            <color indexed="81"/>
            <rFont val="Tahoma"/>
            <family val="2"/>
          </rPr>
          <t xml:space="preserve">
8 hours is 1/3 of a day so 1/3 * 30 = 10</t>
        </r>
      </text>
    </comment>
  </commentList>
</comments>
</file>

<file path=xl/sharedStrings.xml><?xml version="1.0" encoding="utf-8"?>
<sst xmlns="http://schemas.openxmlformats.org/spreadsheetml/2006/main" count="50209" uniqueCount="3156">
  <si>
    <t>1,048,576 rows by 16,384 columns</t>
  </si>
  <si>
    <t>Column width</t>
  </si>
  <si>
    <t>255 characters</t>
  </si>
  <si>
    <t>32,767 characters</t>
  </si>
  <si>
    <t>4K &gt; BLOB</t>
  </si>
  <si>
    <t>Size</t>
  </si>
  <si>
    <t>Spreadsheet</t>
  </si>
  <si>
    <t>Database</t>
  </si>
  <si>
    <t>Limited by cores and memory</t>
  </si>
  <si>
    <t>Copy sheet to sheet</t>
  </si>
  <si>
    <t>one place</t>
  </si>
  <si>
    <t>In memory</t>
  </si>
  <si>
    <t>On disk</t>
  </si>
  <si>
    <t>Hard to find errors</t>
  </si>
  <si>
    <t xml:space="preserve">Data integrity </t>
  </si>
  <si>
    <t>Type</t>
  </si>
  <si>
    <t>Rules (constraints)</t>
  </si>
  <si>
    <t>Hard to share</t>
  </si>
  <si>
    <t>Hundred of people &amp; apps</t>
  </si>
  <si>
    <t>Skills</t>
  </si>
  <si>
    <t>Many people</t>
  </si>
  <si>
    <t>Specialized / training</t>
  </si>
  <si>
    <t>Questions</t>
  </si>
  <si>
    <t>Complex</t>
  </si>
  <si>
    <t>Simple</t>
  </si>
  <si>
    <t>Many Add-Ins</t>
  </si>
  <si>
    <t>SQL Programming</t>
  </si>
  <si>
    <t>Reporting</t>
  </si>
  <si>
    <t>Characters in cell</t>
  </si>
  <si>
    <t>Working Data</t>
  </si>
  <si>
    <t>Data Analysis</t>
  </si>
  <si>
    <t>Charts</t>
  </si>
  <si>
    <t>Queries related to one list</t>
  </si>
  <si>
    <t xml:space="preserve">Sorting </t>
  </si>
  <si>
    <t>Printing</t>
  </si>
  <si>
    <t>Complex queries</t>
  </si>
  <si>
    <t>Visualization tools color</t>
  </si>
  <si>
    <t>Many tables in one report</t>
  </si>
  <si>
    <t>Change calculations</t>
  </si>
  <si>
    <t>MAD Data</t>
  </si>
  <si>
    <t>MAD does not impact</t>
  </si>
  <si>
    <t>Calculations are separate</t>
  </si>
  <si>
    <t>Embedded Calculations</t>
  </si>
  <si>
    <t>Many numerical functions</t>
  </si>
  <si>
    <t>CUSTOMERS</t>
  </si>
  <si>
    <t>ORDERS</t>
  </si>
  <si>
    <t>CUSTOMER#</t>
  </si>
  <si>
    <t>LASTNAME</t>
  </si>
  <si>
    <t>FIRSTNAME</t>
  </si>
  <si>
    <t>ADDRESS</t>
  </si>
  <si>
    <t>CITY</t>
  </si>
  <si>
    <t>STATE</t>
  </si>
  <si>
    <t>ZIP</t>
  </si>
  <si>
    <t>REFERRED</t>
  </si>
  <si>
    <t>ORDER#</t>
  </si>
  <si>
    <t>ORDERDATE</t>
  </si>
  <si>
    <t>SHIPDATE</t>
  </si>
  <si>
    <t>SHIPSTREET</t>
  </si>
  <si>
    <t>SHIPCITY</t>
  </si>
  <si>
    <t>SHIPSTATE</t>
  </si>
  <si>
    <t>SHIPZIP</t>
  </si>
  <si>
    <t>MORALES</t>
  </si>
  <si>
    <t>BONITA</t>
  </si>
  <si>
    <t>P.O. BOX 651</t>
  </si>
  <si>
    <t>EASTPOINT</t>
  </si>
  <si>
    <t>FL</t>
  </si>
  <si>
    <t>1201 ORANGE AVE</t>
  </si>
  <si>
    <t>SEATTLE</t>
  </si>
  <si>
    <t>WA</t>
  </si>
  <si>
    <t>THOMPSON</t>
  </si>
  <si>
    <t>RYAN</t>
  </si>
  <si>
    <t>P.O. BOX 9835</t>
  </si>
  <si>
    <t>SANTA MONICA</t>
  </si>
  <si>
    <t>CA</t>
  </si>
  <si>
    <t>114 EAST SAVANNAH</t>
  </si>
  <si>
    <t>ATLANTA</t>
  </si>
  <si>
    <t>GA</t>
  </si>
  <si>
    <t>SMITH</t>
  </si>
  <si>
    <t>LEILA</t>
  </si>
  <si>
    <t>P.O. BOX 66</t>
  </si>
  <si>
    <t>TALLAHASSEE</t>
  </si>
  <si>
    <t>58 TILA CIRCLE</t>
  </si>
  <si>
    <t>CHICAGO</t>
  </si>
  <si>
    <t>IL</t>
  </si>
  <si>
    <t>PIERSON</t>
  </si>
  <si>
    <t>THOMAS</t>
  </si>
  <si>
    <t>69821 SOUTH AVENUE</t>
  </si>
  <si>
    <t>BOISE</t>
  </si>
  <si>
    <t>ID</t>
  </si>
  <si>
    <t>958 MAGNOLIA LANE</t>
  </si>
  <si>
    <t>GIRARD</t>
  </si>
  <si>
    <t>CINDY</t>
  </si>
  <si>
    <t>P.O. BOX 851</t>
  </si>
  <si>
    <t>561 ROUNDABOUT WAY</t>
  </si>
  <si>
    <t>TRENTON</t>
  </si>
  <si>
    <t>NJ</t>
  </si>
  <si>
    <t>CRUZ</t>
  </si>
  <si>
    <t>MESHIA</t>
  </si>
  <si>
    <t>82 DIRT ROAD</t>
  </si>
  <si>
    <t>ALBANY</t>
  </si>
  <si>
    <t>NY</t>
  </si>
  <si>
    <t>1008 GRAND AVENUE</t>
  </si>
  <si>
    <t>MACON</t>
  </si>
  <si>
    <t>GIANA</t>
  </si>
  <si>
    <t>TAMMY</t>
  </si>
  <si>
    <t>9153 MAIN STREET</t>
  </si>
  <si>
    <t>AUSTIN</t>
  </si>
  <si>
    <t>TX</t>
  </si>
  <si>
    <t>558A CAPITOL HWY.</t>
  </si>
  <si>
    <t>JONES</t>
  </si>
  <si>
    <t>KENNETH</t>
  </si>
  <si>
    <t>P.O. BOX 137</t>
  </si>
  <si>
    <t>CHEYENNE</t>
  </si>
  <si>
    <t>WY</t>
  </si>
  <si>
    <t>PEREZ</t>
  </si>
  <si>
    <t>JORGE</t>
  </si>
  <si>
    <t>P.O. BOX 8564</t>
  </si>
  <si>
    <t>BURBANK</t>
  </si>
  <si>
    <t>LUCAS</t>
  </si>
  <si>
    <t>JAKE</t>
  </si>
  <si>
    <t>9 LIGHTENING RD.</t>
  </si>
  <si>
    <t>MCGOVERN</t>
  </si>
  <si>
    <t>REESE</t>
  </si>
  <si>
    <t>P.O. BOX 18</t>
  </si>
  <si>
    <t>384 WRONG WAY HOME</t>
  </si>
  <si>
    <t>MORRISTOWN</t>
  </si>
  <si>
    <t>MCKENZIE</t>
  </si>
  <si>
    <t>WILLIAM</t>
  </si>
  <si>
    <t>P.O. BOX 971</t>
  </si>
  <si>
    <t>BOSTON</t>
  </si>
  <si>
    <t>MA</t>
  </si>
  <si>
    <t>102 WEST LAFAYETTE</t>
  </si>
  <si>
    <t>NGUYEN</t>
  </si>
  <si>
    <t>NICHOLAS</t>
  </si>
  <si>
    <t>357 WHITE EAGLE AVE.</t>
  </si>
  <si>
    <t>CLERMONT</t>
  </si>
  <si>
    <t>1295 WINDY AVENUE</t>
  </si>
  <si>
    <t>KALMAZOO</t>
  </si>
  <si>
    <t>MI</t>
  </si>
  <si>
    <t>LEE</t>
  </si>
  <si>
    <t>JASMINE</t>
  </si>
  <si>
    <t>P.O. BOX 2947</t>
  </si>
  <si>
    <t>CODY</t>
  </si>
  <si>
    <t>7618 MOUNTAIN RD.</t>
  </si>
  <si>
    <t>SCHELL</t>
  </si>
  <si>
    <t>STEVE</t>
  </si>
  <si>
    <t>P.O. BOX 677</t>
  </si>
  <si>
    <t>MIAMI</t>
  </si>
  <si>
    <t>DAUM</t>
  </si>
  <si>
    <t>MICHELL</t>
  </si>
  <si>
    <t>9851231 LONG ROAD</t>
  </si>
  <si>
    <t>557 GLITTER ST.</t>
  </si>
  <si>
    <t>NELSON</t>
  </si>
  <si>
    <t>BECCA</t>
  </si>
  <si>
    <t>P.O. BOX 563</t>
  </si>
  <si>
    <t>9901 SEMINOLE WAY</t>
  </si>
  <si>
    <t>MONTIASA</t>
  </si>
  <si>
    <t>GREG</t>
  </si>
  <si>
    <t>887 HOT ASPHALT ST</t>
  </si>
  <si>
    <t>JENNIFER</t>
  </si>
  <si>
    <t>P.O. BOX 1151</t>
  </si>
  <si>
    <t>95812 HIGHWAY 98</t>
  </si>
  <si>
    <t>FALAH</t>
  </si>
  <si>
    <t>P.O. BOX 335</t>
  </si>
  <si>
    <t>UNDERWOOD</t>
  </si>
  <si>
    <t>CAREY</t>
  </si>
  <si>
    <t>1010 Brussel Rd</t>
  </si>
  <si>
    <t>NASHVILE</t>
  </si>
  <si>
    <t>TN</t>
  </si>
  <si>
    <t>195 JAMISON LANE</t>
  </si>
  <si>
    <t>SEACREST</t>
  </si>
  <si>
    <t>2134 Holly Blvd</t>
  </si>
  <si>
    <t>1201 APPLE AVE</t>
  </si>
  <si>
    <t>BELLEVUE</t>
  </si>
  <si>
    <t>THUMB</t>
  </si>
  <si>
    <t>TOM</t>
  </si>
  <si>
    <t xml:space="preserve">BOX 22 100 Main St </t>
  </si>
  <si>
    <t>Boden</t>
  </si>
  <si>
    <t>114 STONE BLVD</t>
  </si>
  <si>
    <t>DECATUR</t>
  </si>
  <si>
    <t>ORDERITEMS</t>
  </si>
  <si>
    <t>BOOKS</t>
  </si>
  <si>
    <t>ITEM#</t>
  </si>
  <si>
    <t>ISBN</t>
  </si>
  <si>
    <t>QUANTITY</t>
  </si>
  <si>
    <t>TITLE</t>
  </si>
  <si>
    <t>PUBDATE</t>
  </si>
  <si>
    <t>PUBID</t>
  </si>
  <si>
    <t>COST</t>
  </si>
  <si>
    <t>RETAIL</t>
  </si>
  <si>
    <t>CATEGORY</t>
  </si>
  <si>
    <t>BODYBUILD IN 10 MINUTES A DAY</t>
  </si>
  <si>
    <t>FITNESS</t>
  </si>
  <si>
    <t>REVENGE OF MICKEY</t>
  </si>
  <si>
    <t>FAMILY LIFE</t>
  </si>
  <si>
    <t>BUILDING A CAR WITH TOOTHPICKS</t>
  </si>
  <si>
    <t>CHILDREN</t>
  </si>
  <si>
    <t>DATABASE IMPLEMENTATION</t>
  </si>
  <si>
    <t>COMPUTER</t>
  </si>
  <si>
    <t>COOKING WITH MUSHROOMS</t>
  </si>
  <si>
    <t>COOKING</t>
  </si>
  <si>
    <t>HOLY GRAIL OF ORACLE</t>
  </si>
  <si>
    <t>HANDCRANKED COMPUTERS</t>
  </si>
  <si>
    <t>E-BUSINESS THE EASY WAY</t>
  </si>
  <si>
    <t>PAINLESS CHILD-REARING</t>
  </si>
  <si>
    <t>THE WOK WAY TO COOK</t>
  </si>
  <si>
    <t>BIG BEAR AND LITTLE DOVE</t>
  </si>
  <si>
    <t>HOW TO GET FASTER PIZZA</t>
  </si>
  <si>
    <t>SELF HELP</t>
  </si>
  <si>
    <t>HOW TO MANAGE THE MANAGER</t>
  </si>
  <si>
    <t>BUSINESS</t>
  </si>
  <si>
    <t>SHORTEST POEMS</t>
  </si>
  <si>
    <t>LITERATURE</t>
  </si>
  <si>
    <t>TEST RECORD</t>
  </si>
  <si>
    <t>TEST</t>
  </si>
  <si>
    <t>QTY</t>
  </si>
  <si>
    <t>TOTAL</t>
  </si>
  <si>
    <t>ODATE</t>
  </si>
  <si>
    <t>SDATE</t>
  </si>
  <si>
    <t>SSTREET</t>
  </si>
  <si>
    <t>SCITY</t>
  </si>
  <si>
    <t>SST</t>
  </si>
  <si>
    <t>Bookstore orders in a List</t>
  </si>
  <si>
    <t>Bookstore orders in database tables</t>
  </si>
  <si>
    <t>Table of Contents</t>
  </si>
  <si>
    <t>Spreadsheets vs. Databases</t>
  </si>
  <si>
    <t>An Invoice</t>
  </si>
  <si>
    <t>All the Invoices in Excel List</t>
  </si>
  <si>
    <t>All the Invoices in database tables</t>
  </si>
  <si>
    <t>Employee Name</t>
  </si>
  <si>
    <t>Building</t>
  </si>
  <si>
    <t>Department</t>
  </si>
  <si>
    <t>SS#</t>
  </si>
  <si>
    <t>Phone</t>
  </si>
  <si>
    <t>Status</t>
  </si>
  <si>
    <t>Hire Date</t>
  </si>
  <si>
    <t>Month</t>
  </si>
  <si>
    <t>Years</t>
  </si>
  <si>
    <t>Benefits</t>
  </si>
  <si>
    <t>Salary</t>
  </si>
  <si>
    <t>Job Rating</t>
  </si>
  <si>
    <t>New Salary</t>
  </si>
  <si>
    <t>Tax Rate</t>
  </si>
  <si>
    <t>TaxTable</t>
  </si>
  <si>
    <t>Dawson, Jonathan</t>
  </si>
  <si>
    <t>West</t>
  </si>
  <si>
    <t>ADC</t>
  </si>
  <si>
    <t>Contract</t>
  </si>
  <si>
    <t>Jan</t>
  </si>
  <si>
    <t>Jul</t>
  </si>
  <si>
    <t>Duran, Brian</t>
  </si>
  <si>
    <t>Taft</t>
  </si>
  <si>
    <t>Hourly</t>
  </si>
  <si>
    <t>Feb</t>
  </si>
  <si>
    <t>Aug</t>
  </si>
  <si>
    <t>Page, Lisa</t>
  </si>
  <si>
    <t>Full Time</t>
  </si>
  <si>
    <t>DMR</t>
  </si>
  <si>
    <t>Mar</t>
  </si>
  <si>
    <t>Sep</t>
  </si>
  <si>
    <t>Taylor, Hector</t>
  </si>
  <si>
    <t>Half-Time</t>
  </si>
  <si>
    <t>DM</t>
  </si>
  <si>
    <t>Apr</t>
  </si>
  <si>
    <t>Oct</t>
  </si>
  <si>
    <t>Weber, Larry</t>
  </si>
  <si>
    <t>Watson</t>
  </si>
  <si>
    <t>M</t>
  </si>
  <si>
    <t>May</t>
  </si>
  <si>
    <t>Nov</t>
  </si>
  <si>
    <t>Brewer, Kent</t>
  </si>
  <si>
    <t>Main</t>
  </si>
  <si>
    <t>Admin Training</t>
  </si>
  <si>
    <t>Jun</t>
  </si>
  <si>
    <t>Dec</t>
  </si>
  <si>
    <t>Burton, Cam</t>
  </si>
  <si>
    <t>D</t>
  </si>
  <si>
    <t>Chase, Troy</t>
  </si>
  <si>
    <t>Gallagher, Johnson</t>
  </si>
  <si>
    <t>Holland, Donald</t>
  </si>
  <si>
    <t>South</t>
  </si>
  <si>
    <t>Oconnor, Kent</t>
  </si>
  <si>
    <t>Phillips, Liesl</t>
  </si>
  <si>
    <t>R</t>
  </si>
  <si>
    <t>Pratt, Erik</t>
  </si>
  <si>
    <t>North</t>
  </si>
  <si>
    <t>Rowe, Ken</t>
  </si>
  <si>
    <t>Spencer, Boyd</t>
  </si>
  <si>
    <t>Strickland, Rajean</t>
  </si>
  <si>
    <t>Tanner, Timothy</t>
  </si>
  <si>
    <t>Todd, Steven</t>
  </si>
  <si>
    <t>White, Daniel</t>
  </si>
  <si>
    <t>Wiggins, Frank</t>
  </si>
  <si>
    <t>Wilkins, Jesse</t>
  </si>
  <si>
    <t>Wolf, Debbie</t>
  </si>
  <si>
    <t>Blair, Sperry</t>
  </si>
  <si>
    <t>Audit Services</t>
  </si>
  <si>
    <t>Carroll, Lesa</t>
  </si>
  <si>
    <t>Dunn, Matthew</t>
  </si>
  <si>
    <t>Fleming, Irv</t>
  </si>
  <si>
    <t>McKenzie, Michelle</t>
  </si>
  <si>
    <t>Nguyen, Dennis</t>
  </si>
  <si>
    <t>Potter, Dawn</t>
  </si>
  <si>
    <t>Thornton, Charles</t>
  </si>
  <si>
    <t>Walton, Benjamin</t>
  </si>
  <si>
    <t>Wyatt, Kelly</t>
  </si>
  <si>
    <t>Beck, Craig</t>
  </si>
  <si>
    <t>Compliance</t>
  </si>
  <si>
    <t>Bond, John</t>
  </si>
  <si>
    <t>Chang, Gabriel</t>
  </si>
  <si>
    <t>Phelps, Gretchen</t>
  </si>
  <si>
    <t>Becker, Gretchen</t>
  </si>
  <si>
    <t>Engineering/Maintenance</t>
  </si>
  <si>
    <t>Booker, Judith</t>
  </si>
  <si>
    <t>Briggs, Bryan</t>
  </si>
  <si>
    <t>Bullock, Greg</t>
  </si>
  <si>
    <t>Clayton, Gregory</t>
  </si>
  <si>
    <t>Conway, Brett</t>
  </si>
  <si>
    <t>Cunningham, Denise</t>
  </si>
  <si>
    <t>Deleon, Jaquelyn</t>
  </si>
  <si>
    <t>Dorsey, Matthew</t>
  </si>
  <si>
    <t>Farrell, Laura</t>
  </si>
  <si>
    <t>Fletcher, Brian</t>
  </si>
  <si>
    <t>Flowers, Kathleen</t>
  </si>
  <si>
    <t>Gardner, Anthony</t>
  </si>
  <si>
    <t>Goodman, Kuyler</t>
  </si>
  <si>
    <t>Griffith, Michelle</t>
  </si>
  <si>
    <t>Hammond, Robert</t>
  </si>
  <si>
    <t>Harding, Erin</t>
  </si>
  <si>
    <t>Harmon, Paul</t>
  </si>
  <si>
    <t>Hickman, John</t>
  </si>
  <si>
    <t>Hood, Renee</t>
  </si>
  <si>
    <t>Hudson, Lorna</t>
  </si>
  <si>
    <t>Huff, Erik</t>
  </si>
  <si>
    <t>James, Lynn</t>
  </si>
  <si>
    <t>Kent, Angus</t>
  </si>
  <si>
    <t>Lawrence, Ronald</t>
  </si>
  <si>
    <t>Martinez, Kathleen</t>
  </si>
  <si>
    <t>Matthews, Diane</t>
  </si>
  <si>
    <t>May, Steve</t>
  </si>
  <si>
    <t>McDonald, Debra</t>
  </si>
  <si>
    <t>Mendoza, Bobby</t>
  </si>
  <si>
    <t>Morgan, Patricia</t>
  </si>
  <si>
    <t>Mullins, Angela</t>
  </si>
  <si>
    <t>Navarro, Marc</t>
  </si>
  <si>
    <t>Nichols, Nathaniel</t>
  </si>
  <si>
    <t>Nicholson, Lee</t>
  </si>
  <si>
    <t>Norris, Tamara</t>
  </si>
  <si>
    <t>Perry, Christopher</t>
  </si>
  <si>
    <t>Pitts, Dana</t>
  </si>
  <si>
    <t>Poole, Tracy</t>
  </si>
  <si>
    <t>Porter, Rachel</t>
  </si>
  <si>
    <t>Powers, Tia</t>
  </si>
  <si>
    <t>Pruitt, Randy</t>
  </si>
  <si>
    <t>Richardson, Debbie</t>
  </si>
  <si>
    <t>Schneider, Gay</t>
  </si>
  <si>
    <t>Sherman, Karin</t>
  </si>
  <si>
    <t>Simmons, Robert</t>
  </si>
  <si>
    <t>Simpson, Jimmy</t>
  </si>
  <si>
    <t>Steele, Gerald</t>
  </si>
  <si>
    <t>Stone, Brian</t>
  </si>
  <si>
    <t>Swanson, Vicki</t>
  </si>
  <si>
    <t>Thompson, John</t>
  </si>
  <si>
    <t>Vance, Cheryl</t>
  </si>
  <si>
    <t>Wallace, Timothy</t>
  </si>
  <si>
    <t>Warren, Jean</t>
  </si>
  <si>
    <t>Weiss, Marisa</t>
  </si>
  <si>
    <t>Wheeler, Meegan</t>
  </si>
  <si>
    <t>Whitehead, Carolyn</t>
  </si>
  <si>
    <t>Wolfe, Keith</t>
  </si>
  <si>
    <t>York, Steven</t>
  </si>
  <si>
    <t>Cohen, Bruce</t>
  </si>
  <si>
    <t>Engineering/Operations</t>
  </si>
  <si>
    <t>Cortez, Jack</t>
  </si>
  <si>
    <t>Hardin, Gregory</t>
  </si>
  <si>
    <t>Juarez, Neill</t>
  </si>
  <si>
    <t>Kerr, Mihaela</t>
  </si>
  <si>
    <t>Pacheco, Therese</t>
  </si>
  <si>
    <t>Stokes, Jonathan</t>
  </si>
  <si>
    <t>Wade, Kevin</t>
  </si>
  <si>
    <t>Carey, Andrea</t>
  </si>
  <si>
    <t>Environmental Health/Safety</t>
  </si>
  <si>
    <t>Foley, Peter</t>
  </si>
  <si>
    <t>Gomez, Ed</t>
  </si>
  <si>
    <t>Hawkins, Douglas</t>
  </si>
  <si>
    <t>Hill, Robin</t>
  </si>
  <si>
    <t>Kim, Deborah</t>
  </si>
  <si>
    <t>Landry, Linda</t>
  </si>
  <si>
    <t>Malone, Daniel</t>
  </si>
  <si>
    <t>Norton, Bruce</t>
  </si>
  <si>
    <t>Allison, Timothy</t>
  </si>
  <si>
    <t>Executive Education</t>
  </si>
  <si>
    <t>Baker, Barney</t>
  </si>
  <si>
    <t>Copeland, Roger</t>
  </si>
  <si>
    <t>Durham, Troy</t>
  </si>
  <si>
    <t>Figueroa, Leonard</t>
  </si>
  <si>
    <t>Garner, Terry</t>
  </si>
  <si>
    <t>Hutchinson, Robin</t>
  </si>
  <si>
    <t>Lloyd, John</t>
  </si>
  <si>
    <t>Maxwell, Jill</t>
  </si>
  <si>
    <t>McCoy, Preston</t>
  </si>
  <si>
    <t>McDowell, Scott</t>
  </si>
  <si>
    <t>Molina, Michael</t>
  </si>
  <si>
    <t>Nixon, Randy</t>
  </si>
  <si>
    <t>Park, Timothy</t>
  </si>
  <si>
    <t>Perkins, Donald</t>
  </si>
  <si>
    <t>Ray, ReAnnon</t>
  </si>
  <si>
    <t>Roberson, Eileen</t>
  </si>
  <si>
    <t>Silva, Stephen</t>
  </si>
  <si>
    <t>Winters, Shaun</t>
  </si>
  <si>
    <t>Barnett, Brenda</t>
  </si>
  <si>
    <t>International Clinical Safety</t>
  </si>
  <si>
    <t>Daniel, Robert</t>
  </si>
  <si>
    <t>Gregory, Jon</t>
  </si>
  <si>
    <t>Nelson, Shira</t>
  </si>
  <si>
    <t>Ramos, Jan</t>
  </si>
  <si>
    <t>Adams, David</t>
  </si>
  <si>
    <t>Logistics</t>
  </si>
  <si>
    <t>Bass, Justin</t>
  </si>
  <si>
    <t>Calhoun, Dac Vinh</t>
  </si>
  <si>
    <t>Chen, Jaime</t>
  </si>
  <si>
    <t>Clarke, Dennis</t>
  </si>
  <si>
    <t>Cummings, Jose</t>
  </si>
  <si>
    <t>Curtis, Patrick</t>
  </si>
  <si>
    <t>Estrada, Joan</t>
  </si>
  <si>
    <t>Evans, Rolin</t>
  </si>
  <si>
    <t>Gallegos, Rick</t>
  </si>
  <si>
    <t>Gates, Anne</t>
  </si>
  <si>
    <t>Gross, Davin</t>
  </si>
  <si>
    <t>Hale, Deon</t>
  </si>
  <si>
    <t>Hardy, Svetlana</t>
  </si>
  <si>
    <t>Jordan, Mark</t>
  </si>
  <si>
    <t>Lara, Mark</t>
  </si>
  <si>
    <t>Lee, Charles</t>
  </si>
  <si>
    <t>Lowe, Michelle</t>
  </si>
  <si>
    <t>Mathis, Shari</t>
  </si>
  <si>
    <t>Montgomery, Chris</t>
  </si>
  <si>
    <t>Morse, Michael</t>
  </si>
  <si>
    <t>Newton, Leigh</t>
  </si>
  <si>
    <t>Noble, Michael</t>
  </si>
  <si>
    <t>Nunez, Benning</t>
  </si>
  <si>
    <t>Oliver, Francisco</t>
  </si>
  <si>
    <t>Padilla, Christopher</t>
  </si>
  <si>
    <t>Reese, Marc</t>
  </si>
  <si>
    <t>Rich, Brent</t>
  </si>
  <si>
    <t>Robertson, Nathan</t>
  </si>
  <si>
    <t>Santos, Garret</t>
  </si>
  <si>
    <t>Shaffer, Nobuko</t>
  </si>
  <si>
    <t>Shields, Robert</t>
  </si>
  <si>
    <t>Townsend, Jerry</t>
  </si>
  <si>
    <t>Vazquez, Kenneth</t>
  </si>
  <si>
    <t>Wagner, Lynne</t>
  </si>
  <si>
    <t>Wise, Ted</t>
  </si>
  <si>
    <t>Woodward, Tim</t>
  </si>
  <si>
    <t>Young, Benjamin</t>
  </si>
  <si>
    <t>Boone, Eric</t>
  </si>
  <si>
    <t>Major Mfg Projects</t>
  </si>
  <si>
    <t>Campos, Richard</t>
  </si>
  <si>
    <t>Douglas, Kenneth</t>
  </si>
  <si>
    <t>Gilmore, Terry</t>
  </si>
  <si>
    <t>Miranda, Elena</t>
  </si>
  <si>
    <t>Randolph, Kristin</t>
  </si>
  <si>
    <t>Romero, Randy</t>
  </si>
  <si>
    <t>Tran, Chad</t>
  </si>
  <si>
    <t>Allen, Thomas</t>
  </si>
  <si>
    <t>Manufacturing</t>
  </si>
  <si>
    <t>Atkins, Kevin</t>
  </si>
  <si>
    <t>Ayers, Douglas</t>
  </si>
  <si>
    <t>Barber, Robbie</t>
  </si>
  <si>
    <t>Barron, Michael</t>
  </si>
  <si>
    <t>Bates, Verna</t>
  </si>
  <si>
    <t>Baxter, Teresa</t>
  </si>
  <si>
    <t>Bell, David</t>
  </si>
  <si>
    <t>Benson, Troy</t>
  </si>
  <si>
    <t>Berry, Jacklyn</t>
  </si>
  <si>
    <t>Blackburn, Kathryn</t>
  </si>
  <si>
    <t>Boyd, Debra</t>
  </si>
  <si>
    <t>Boyer, John</t>
  </si>
  <si>
    <t>Bradford, Raymond</t>
  </si>
  <si>
    <t>Bradley, David</t>
  </si>
  <si>
    <t>Brady, Traci</t>
  </si>
  <si>
    <t>Bridges, Jeff</t>
  </si>
  <si>
    <t>Brock, Ensley</t>
  </si>
  <si>
    <t>Browning, Kathleen</t>
  </si>
  <si>
    <t>Burgess, Cherie</t>
  </si>
  <si>
    <t>Burns, Fiona</t>
  </si>
  <si>
    <t>Butler, Roy</t>
  </si>
  <si>
    <t>Callahan, Marilyn</t>
  </si>
  <si>
    <t>Camacho, Stephanie</t>
  </si>
  <si>
    <t>Carrillo, Robert</t>
  </si>
  <si>
    <t>Carson, Anthony</t>
  </si>
  <si>
    <t>Castro, Christopher</t>
  </si>
  <si>
    <t>Chambers, Richard</t>
  </si>
  <si>
    <t>Clay, William</t>
  </si>
  <si>
    <t>Cole, Elbert</t>
  </si>
  <si>
    <t>Coleman, Roque</t>
  </si>
  <si>
    <t>Collins, Michael</t>
  </si>
  <si>
    <t>Colon, Donnie</t>
  </si>
  <si>
    <t>Combs, Rick</t>
  </si>
  <si>
    <t>Conley, Mark</t>
  </si>
  <si>
    <t>Conner, Mark</t>
  </si>
  <si>
    <t>Cox, Stephanie</t>
  </si>
  <si>
    <t>Davidson, Jaime</t>
  </si>
  <si>
    <t>Day, David</t>
  </si>
  <si>
    <t>Decker, Amy</t>
  </si>
  <si>
    <t>Diaz, David</t>
  </si>
  <si>
    <t>Dickerson, Lincoln</t>
  </si>
  <si>
    <t>Dixon, Richard</t>
  </si>
  <si>
    <t>Dominguez, Duane</t>
  </si>
  <si>
    <t>Drake, Kyle</t>
  </si>
  <si>
    <t>Eaton, Cris</t>
  </si>
  <si>
    <t>Elliott, Anthony</t>
  </si>
  <si>
    <t>English, David</t>
  </si>
  <si>
    <t>Fernandez, Marie</t>
  </si>
  <si>
    <t>Fields, Cathy</t>
  </si>
  <si>
    <t>Finley, James</t>
  </si>
  <si>
    <t>Flores, Angela</t>
  </si>
  <si>
    <t>Francis, Todd</t>
  </si>
  <si>
    <t>Frazier, Chris</t>
  </si>
  <si>
    <t>Fuller, Brenda</t>
  </si>
  <si>
    <t>Gibbs, Debra</t>
  </si>
  <si>
    <t>Glover, Eugene</t>
  </si>
  <si>
    <t>Golden, Christine</t>
  </si>
  <si>
    <t>Greene, Alexander</t>
  </si>
  <si>
    <t>Hampton, Catherine</t>
  </si>
  <si>
    <t>Harris, Brian</t>
  </si>
  <si>
    <t>Harrison, Jonathan</t>
  </si>
  <si>
    <t>Haynes, Ernest</t>
  </si>
  <si>
    <t>Heath, Deborah</t>
  </si>
  <si>
    <t>Herman, Henrietta</t>
  </si>
  <si>
    <t>Herring, Joanna</t>
  </si>
  <si>
    <t>Hobbs, Scott</t>
  </si>
  <si>
    <t>House, Paul</t>
  </si>
  <si>
    <t>Houston, Mark</t>
  </si>
  <si>
    <t>Huffman, Ignacio</t>
  </si>
  <si>
    <t>Humphrey, Andrew</t>
  </si>
  <si>
    <t>Hurst, Thomas</t>
  </si>
  <si>
    <t>Jacobs, Florianne</t>
  </si>
  <si>
    <t>Joseph, Christopher</t>
  </si>
  <si>
    <t>Kemp, Holly</t>
  </si>
  <si>
    <t>Larson, David</t>
  </si>
  <si>
    <t>Little, Steve</t>
  </si>
  <si>
    <t>Logan, Karen</t>
  </si>
  <si>
    <t>Lyons, Brian</t>
  </si>
  <si>
    <t>Manning, John</t>
  </si>
  <si>
    <t>Marshall, Anita</t>
  </si>
  <si>
    <t>McBride, Grazyna</t>
  </si>
  <si>
    <t>McCall, Keith</t>
  </si>
  <si>
    <t>McConnell, Justin</t>
  </si>
  <si>
    <t>McGee, Carol</t>
  </si>
  <si>
    <t>McGuire, Rebecca</t>
  </si>
  <si>
    <t>McKee, Michelle</t>
  </si>
  <si>
    <t>McKinney, Chris</t>
  </si>
  <si>
    <t>McLaughlin, Edward</t>
  </si>
  <si>
    <t>Melton, Scott</t>
  </si>
  <si>
    <t>Mendez, Max</t>
  </si>
  <si>
    <t>Mercado, David</t>
  </si>
  <si>
    <t>Merritt, Kevin</t>
  </si>
  <si>
    <t>Meyer, Charles</t>
  </si>
  <si>
    <t>Meyers, David</t>
  </si>
  <si>
    <t>Miller, Jessica</t>
  </si>
  <si>
    <t>Mitchell, Shannon</t>
  </si>
  <si>
    <t>Moran, Carol</t>
  </si>
  <si>
    <t>Moss, Chan</t>
  </si>
  <si>
    <t>Nash, Mark</t>
  </si>
  <si>
    <t>Oneal, William</t>
  </si>
  <si>
    <t>Osborne, Bill</t>
  </si>
  <si>
    <t>Parker, Carl</t>
  </si>
  <si>
    <t>Parrish, Debra</t>
  </si>
  <si>
    <t>Patel, Donald</t>
  </si>
  <si>
    <t>Patrick, Wendy</t>
  </si>
  <si>
    <t>Payne, Vicky</t>
  </si>
  <si>
    <t>Pearson, Cassy</t>
  </si>
  <si>
    <t>Pena, Erik</t>
  </si>
  <si>
    <t>Perez, Kim</t>
  </si>
  <si>
    <t>Peters, Robert</t>
  </si>
  <si>
    <t>Petersen, Timothy</t>
  </si>
  <si>
    <t>Pierce, Karen</t>
  </si>
  <si>
    <t>Pittman, Bacardi</t>
  </si>
  <si>
    <t>Powell, Juli</t>
  </si>
  <si>
    <t>Price, Diana</t>
  </si>
  <si>
    <t>Rhodes, Brenda</t>
  </si>
  <si>
    <t>Rice, Diane</t>
  </si>
  <si>
    <t>Richard, Karen</t>
  </si>
  <si>
    <t>Richards, Richard</t>
  </si>
  <si>
    <t>Rios, Fredrick</t>
  </si>
  <si>
    <t>DR</t>
  </si>
  <si>
    <t>Robinson, John</t>
  </si>
  <si>
    <t>Rodriguez, Scott</t>
  </si>
  <si>
    <t>Rojas, Charles</t>
  </si>
  <si>
    <t>Roth, Tony</t>
  </si>
  <si>
    <t>Ryan, Ryan</t>
  </si>
  <si>
    <t>Sanders, Troy</t>
  </si>
  <si>
    <t>Schultz, Norman</t>
  </si>
  <si>
    <t>Sexton, John</t>
  </si>
  <si>
    <t>Sharp, Janine</t>
  </si>
  <si>
    <t>Shelton, Donna</t>
  </si>
  <si>
    <t>Sloan, Cindy</t>
  </si>
  <si>
    <t>Small, Athanasios</t>
  </si>
  <si>
    <t>Smith, Koleen</t>
  </si>
  <si>
    <t>Snow, Desiree</t>
  </si>
  <si>
    <t>Stafford, Rhonda</t>
  </si>
  <si>
    <t>Stewart, Elizabeth</t>
  </si>
  <si>
    <t>Sullivan, Robert</t>
  </si>
  <si>
    <t>Summers, Harold</t>
  </si>
  <si>
    <t>Tate, Zachary</t>
  </si>
  <si>
    <t>Trujillo, Shawn</t>
  </si>
  <si>
    <t>Velasquez, Clint</t>
  </si>
  <si>
    <t>Vincent, Guy</t>
  </si>
  <si>
    <t>Walker, Mike</t>
  </si>
  <si>
    <t>Washington, Phillip</t>
  </si>
  <si>
    <t>Watson, Christian</t>
  </si>
  <si>
    <t>Weaver, Eric</t>
  </si>
  <si>
    <t>Whitaker, Jessica</t>
  </si>
  <si>
    <t>Wilkinson, Gregory</t>
  </si>
  <si>
    <t>Williamson, Sumed</t>
  </si>
  <si>
    <t>Wright, Brad</t>
  </si>
  <si>
    <t>Alexander, Charles</t>
  </si>
  <si>
    <t>Manufacturing Admin</t>
  </si>
  <si>
    <t>Carr, Susan</t>
  </si>
  <si>
    <t>Hanson, Dennis</t>
  </si>
  <si>
    <t>Hernandez, Glenn</t>
  </si>
  <si>
    <t>Roberts, Jackie</t>
  </si>
  <si>
    <t>Savage, John</t>
  </si>
  <si>
    <t>Wood, Larry</t>
  </si>
  <si>
    <t>Barr, Jennifer</t>
  </si>
  <si>
    <t>Operations</t>
  </si>
  <si>
    <t>Bishop, Juan</t>
  </si>
  <si>
    <t>Blevins, Carey</t>
  </si>
  <si>
    <t>Brooks, Richard</t>
  </si>
  <si>
    <t>Bryant, Douglas</t>
  </si>
  <si>
    <t>Buckel, Patricia</t>
  </si>
  <si>
    <t>Bush, Rena</t>
  </si>
  <si>
    <t>Caldwell, Pete</t>
  </si>
  <si>
    <t>Campbell, Michael</t>
  </si>
  <si>
    <t>Chavez, Thomas</t>
  </si>
  <si>
    <t>Everett, Dan</t>
  </si>
  <si>
    <t>Fischer, David</t>
  </si>
  <si>
    <t>Gill, Douglas</t>
  </si>
  <si>
    <t>Gonzales, David</t>
  </si>
  <si>
    <t>Griffin, Debbi</t>
  </si>
  <si>
    <t>Hamilton, Theo</t>
  </si>
  <si>
    <t>Hogan, Daniel</t>
  </si>
  <si>
    <t>Holmes, Tito</t>
  </si>
  <si>
    <t>Howard, Lisa</t>
  </si>
  <si>
    <t>Hull, Jeanne</t>
  </si>
  <si>
    <t>Ingram, Matt</t>
  </si>
  <si>
    <t>Jensen, Kristina</t>
  </si>
  <si>
    <t>Johns, Chad</t>
  </si>
  <si>
    <t>Johnston, Daniel</t>
  </si>
  <si>
    <t>Jones, John</t>
  </si>
  <si>
    <t>Knox, Lori</t>
  </si>
  <si>
    <t>Koch, Danielle</t>
  </si>
  <si>
    <t>Lambert, Jody</t>
  </si>
  <si>
    <t>Leach, Jingwen</t>
  </si>
  <si>
    <t>Love, Danny</t>
  </si>
  <si>
    <t>Lowery, Charles</t>
  </si>
  <si>
    <t>Marquez, Thomas</t>
  </si>
  <si>
    <t>McLean, Richard</t>
  </si>
  <si>
    <t>Moore, Robert</t>
  </si>
  <si>
    <t>Patton, Corey</t>
  </si>
  <si>
    <t>Prince, Robert</t>
  </si>
  <si>
    <t>Randall, Yvonne</t>
  </si>
  <si>
    <t>Reed, Larry</t>
  </si>
  <si>
    <t>Reyes, Mary</t>
  </si>
  <si>
    <t>Reynolds, Barbara</t>
  </si>
  <si>
    <t>Robles, Charles</t>
  </si>
  <si>
    <t>Ross, Janice</t>
  </si>
  <si>
    <t>Sellers, William</t>
  </si>
  <si>
    <t>Simon, Sheila</t>
  </si>
  <si>
    <t>Spears, Melanie</t>
  </si>
  <si>
    <t>Stephens, Bonnie</t>
  </si>
  <si>
    <t>Trevino, Gary</t>
  </si>
  <si>
    <t>Tucker, James</t>
  </si>
  <si>
    <t>Valdez, Ann</t>
  </si>
  <si>
    <t>Waters, Alfred</t>
  </si>
  <si>
    <t>Weeks, Troy</t>
  </si>
  <si>
    <t>Arnold, Cole</t>
  </si>
  <si>
    <t>Peptide Chemistry</t>
  </si>
  <si>
    <t>Ball, Kirk</t>
  </si>
  <si>
    <t>Bowers, Tammy</t>
  </si>
  <si>
    <t>Bryan, Thomas</t>
  </si>
  <si>
    <t>Burke, Michael</t>
  </si>
  <si>
    <t>Byrd, Asa</t>
  </si>
  <si>
    <t>Christensen, Jill</t>
  </si>
  <si>
    <t>Franklin, Alicia</t>
  </si>
  <si>
    <t>Kelly, Icelita</t>
  </si>
  <si>
    <t>Leon, Emily</t>
  </si>
  <si>
    <t>Livingston, Lynette</t>
  </si>
  <si>
    <t>Lucas, John</t>
  </si>
  <si>
    <t>Maynard, Susan</t>
  </si>
  <si>
    <t>McCarthy, Ryan</t>
  </si>
  <si>
    <t>McCullough, Scott</t>
  </si>
  <si>
    <t>Moody, Matthew</t>
  </si>
  <si>
    <t>Norman, Rita</t>
  </si>
  <si>
    <t>Owen, Robert</t>
  </si>
  <si>
    <t>Pope, Duane</t>
  </si>
  <si>
    <t>Short, Timothy</t>
  </si>
  <si>
    <t>Vaughn, Harlon</t>
  </si>
  <si>
    <t>Knight, Denise</t>
  </si>
  <si>
    <t>Pharmacokinetics</t>
  </si>
  <si>
    <t>Medina, Warren</t>
  </si>
  <si>
    <t>Stephenson, Matt</t>
  </si>
  <si>
    <t>Wall, John</t>
  </si>
  <si>
    <t>Alvarado, Sonia</t>
  </si>
  <si>
    <t>Process Development</t>
  </si>
  <si>
    <t>Anthony, Robert</t>
  </si>
  <si>
    <t>Ballard, Martin</t>
  </si>
  <si>
    <t>Banks, Ryan</t>
  </si>
  <si>
    <t>Bauer, Chris</t>
  </si>
  <si>
    <t>Bennett, Chris</t>
  </si>
  <si>
    <t>Best, Lara</t>
  </si>
  <si>
    <t>Chandler, Diane</t>
  </si>
  <si>
    <t>Cline, Rebecca</t>
  </si>
  <si>
    <t>Dudley, James</t>
  </si>
  <si>
    <t>Ellis, Brenda</t>
  </si>
  <si>
    <t>Floyd, Eric</t>
  </si>
  <si>
    <t>Fowler, John</t>
  </si>
  <si>
    <t>Garrison, Chris</t>
  </si>
  <si>
    <t>Greer, Brian</t>
  </si>
  <si>
    <t>Guerra, Karen</t>
  </si>
  <si>
    <t>Guerrero, Laura</t>
  </si>
  <si>
    <t>Hancock, Allen</t>
  </si>
  <si>
    <t>Hess, Brian</t>
  </si>
  <si>
    <t>Hines, Herb</t>
  </si>
  <si>
    <t>Hodges, Lisa</t>
  </si>
  <si>
    <t>Luna, Rodney</t>
  </si>
  <si>
    <t>Mack, Barry</t>
  </si>
  <si>
    <t>Mathews, Marcia</t>
  </si>
  <si>
    <t>McClain, Steven</t>
  </si>
  <si>
    <t>Morris, Richelle</t>
  </si>
  <si>
    <t>Mosley, Michael</t>
  </si>
  <si>
    <t>Murray, Rebecca</t>
  </si>
  <si>
    <t>Olson, Melanie</t>
  </si>
  <si>
    <t>Orr, Jennifer</t>
  </si>
  <si>
    <t>Pace, Joseph</t>
  </si>
  <si>
    <t>Peterson, Shaun</t>
  </si>
  <si>
    <t>Reeves, Greg</t>
  </si>
  <si>
    <t>Robbins, Suzanne</t>
  </si>
  <si>
    <t>Russell, Mark</t>
  </si>
  <si>
    <t>Saunders, Corey</t>
  </si>
  <si>
    <t>Sawyer, Catherine</t>
  </si>
  <si>
    <t>Skinner, Jason</t>
  </si>
  <si>
    <t>Sutton, Matthew</t>
  </si>
  <si>
    <t>Terry, Karin</t>
  </si>
  <si>
    <t>Underwood, Todd</t>
  </si>
  <si>
    <t>Walsh, Matthew</t>
  </si>
  <si>
    <t>Wong, Dennis</t>
  </si>
  <si>
    <t>Yates, Doug</t>
  </si>
  <si>
    <t>Bartlett, Julia</t>
  </si>
  <si>
    <t>Professional Training Group</t>
  </si>
  <si>
    <t>Barton, Barry</t>
  </si>
  <si>
    <t>Contreras, Dean</t>
  </si>
  <si>
    <t>Cross, Marc</t>
  </si>
  <si>
    <t>Dodson, David</t>
  </si>
  <si>
    <t>Estes, Mary</t>
  </si>
  <si>
    <t>Garza, Anthony</t>
  </si>
  <si>
    <t>Gentry, John</t>
  </si>
  <si>
    <t>Hartman, Michael</t>
  </si>
  <si>
    <t>Lamb, John</t>
  </si>
  <si>
    <t>Maldonado, Robert</t>
  </si>
  <si>
    <t>Parsons, Phillip</t>
  </si>
  <si>
    <t>Rodriquez, Denise</t>
  </si>
  <si>
    <t>Watts, Curtis</t>
  </si>
  <si>
    <t>Webb, Jim</t>
  </si>
  <si>
    <t>Williams, Scott</t>
  </si>
  <si>
    <t>Anderson, Teason</t>
  </si>
  <si>
    <t>Project &amp; Contract Services</t>
  </si>
  <si>
    <t>Andrews, Diane</t>
  </si>
  <si>
    <t>Ashley, Michael</t>
  </si>
  <si>
    <t>Atkinson, Danielle</t>
  </si>
  <si>
    <t>Austin, William</t>
  </si>
  <si>
    <t>Ayala, Polly</t>
  </si>
  <si>
    <t>Barker, Heidi</t>
  </si>
  <si>
    <t>Bean, Deborah</t>
  </si>
  <si>
    <t>Booth, Raquel</t>
  </si>
  <si>
    <t>Bowman, Michael</t>
  </si>
  <si>
    <t>Burnett, Kevin</t>
  </si>
  <si>
    <t>c</t>
  </si>
  <si>
    <t>Cain, Lon</t>
  </si>
  <si>
    <t>Cameron, John</t>
  </si>
  <si>
    <t>Cannon, Jenny</t>
  </si>
  <si>
    <t>Carter, Allan</t>
  </si>
  <si>
    <t>Castillo, Sheri</t>
  </si>
  <si>
    <t>Chapman, Jessica</t>
  </si>
  <si>
    <t>Christian, Melissa</t>
  </si>
  <si>
    <t>Cobb, Nicole</t>
  </si>
  <si>
    <t>Curry, Hunyen</t>
  </si>
  <si>
    <t>Delgado, Dale</t>
  </si>
  <si>
    <t>Doyle, Leslie</t>
  </si>
  <si>
    <t>Edwards, Phillip</t>
  </si>
  <si>
    <t>Espinoza, Derrell</t>
  </si>
  <si>
    <t>Farmer, Suzanne</t>
  </si>
  <si>
    <t>Fitzgerald, George</t>
  </si>
  <si>
    <t>Ford, Matt</t>
  </si>
  <si>
    <t>Fox, Ellen</t>
  </si>
  <si>
    <t>Frank, William</t>
  </si>
  <si>
    <t>Freeman, Dennis</t>
  </si>
  <si>
    <t>French, Robert</t>
  </si>
  <si>
    <t>Frost, Adam</t>
  </si>
  <si>
    <t>Gilbert, Shannon</t>
  </si>
  <si>
    <t>Glass, John</t>
  </si>
  <si>
    <t>Gordon, Diane</t>
  </si>
  <si>
    <t>Grant, Leonard</t>
  </si>
  <si>
    <t>Gutierrez, Regina</t>
  </si>
  <si>
    <t>Harper, Cynthia</t>
  </si>
  <si>
    <t>Hayes, Edward</t>
  </si>
  <si>
    <t>Henson, Debra</t>
  </si>
  <si>
    <t>Herrera, Shawn</t>
  </si>
  <si>
    <t>Higgins, Angela</t>
  </si>
  <si>
    <t>Holloway, Chris</t>
  </si>
  <si>
    <t>Horn, George</t>
  </si>
  <si>
    <t>Howell, Douglas</t>
  </si>
  <si>
    <t>Hunter, Lisa</t>
  </si>
  <si>
    <t>Jackson, Eric</t>
  </si>
  <si>
    <t>Jefferson, Elaine</t>
  </si>
  <si>
    <t>Jenkins, Scott</t>
  </si>
  <si>
    <t>Jennings, Gary</t>
  </si>
  <si>
    <t>Kirby, Michael</t>
  </si>
  <si>
    <t>Lawson, Erin</t>
  </si>
  <si>
    <t>Lindsey, Deborah</t>
  </si>
  <si>
    <t>Long, Gary</t>
  </si>
  <si>
    <t>Lynch, Scott</t>
  </si>
  <si>
    <t>Mann, Lowell</t>
  </si>
  <si>
    <t>Morrow, Richard</t>
  </si>
  <si>
    <t>Morton, Brian</t>
  </si>
  <si>
    <t>Moses, Mark</t>
  </si>
  <si>
    <t>Neal, Sally</t>
  </si>
  <si>
    <t>Preston, Chris</t>
  </si>
  <si>
    <t>Ramsey, Nathaniel</t>
  </si>
  <si>
    <t>Reid, Elizabeth</t>
  </si>
  <si>
    <t>Rivers, Douglas</t>
  </si>
  <si>
    <t>Roman, Teri</t>
  </si>
  <si>
    <t>Schmidt, Michael</t>
  </si>
  <si>
    <t>Scott, Todd</t>
  </si>
  <si>
    <t>Serrano, Al</t>
  </si>
  <si>
    <t>Shannon, Kevin</t>
  </si>
  <si>
    <t>Shaw, Pat</t>
  </si>
  <si>
    <t>Shepherd, Annie</t>
  </si>
  <si>
    <t>Solis, Daniel</t>
  </si>
  <si>
    <t>Soto, Christopher</t>
  </si>
  <si>
    <t>Stanley, Eric</t>
  </si>
  <si>
    <t>Vargas, Bryant</t>
  </si>
  <si>
    <t>Vasquez, Michael</t>
  </si>
  <si>
    <t>Villarreal, Stephen</t>
  </si>
  <si>
    <t>Walls, Brian</t>
  </si>
  <si>
    <t>Walters, Ann</t>
  </si>
  <si>
    <t>Ward, Williams</t>
  </si>
  <si>
    <t>Watkins, Gary</t>
  </si>
  <si>
    <t>Wells, Carlos</t>
  </si>
  <si>
    <t>West, Jeffrey</t>
  </si>
  <si>
    <t>Wiley, Gustavo</t>
  </si>
  <si>
    <t>William, William</t>
  </si>
  <si>
    <t>Wilson, Jessica</t>
  </si>
  <si>
    <t>Woodard, Charles</t>
  </si>
  <si>
    <t>Abbott, James</t>
  </si>
  <si>
    <t>Quality Assurance</t>
  </si>
  <si>
    <t>Acosta, Robert</t>
  </si>
  <si>
    <t>Adkins, Michael</t>
  </si>
  <si>
    <t>Aguilar, Kevin</t>
  </si>
  <si>
    <t>Alvarez, Steven</t>
  </si>
  <si>
    <t>Avila, Jody</t>
  </si>
  <si>
    <t>Baldwin, Ray</t>
  </si>
  <si>
    <t>Barnes, Grant</t>
  </si>
  <si>
    <t>Black, Cliff</t>
  </si>
  <si>
    <t>Blankenship, Roger</t>
  </si>
  <si>
    <t>Branch, Brady</t>
  </si>
  <si>
    <t>Bruce, Kevin</t>
  </si>
  <si>
    <t>Carpenter, Ronald</t>
  </si>
  <si>
    <t>Charles, Jeffrey</t>
  </si>
  <si>
    <t>Clark, William</t>
  </si>
  <si>
    <t>Collier, Dean</t>
  </si>
  <si>
    <t>Cooper, Lisa</t>
  </si>
  <si>
    <t>Dean, Gayla</t>
  </si>
  <si>
    <t>Dennis, Paul</t>
  </si>
  <si>
    <t>Duncan, George</t>
  </si>
  <si>
    <t>Dyer, Carrie</t>
  </si>
  <si>
    <t>Ferguson, John</t>
  </si>
  <si>
    <t>Fisher, Maria</t>
  </si>
  <si>
    <t>Foster, Blane</t>
  </si>
  <si>
    <t>Gaines, Sheela</t>
  </si>
  <si>
    <t>Glenn, Christopher</t>
  </si>
  <si>
    <t>Guzman, Don</t>
  </si>
  <si>
    <t>Harrell, Cristin</t>
  </si>
  <si>
    <t>Harrington, Aron</t>
  </si>
  <si>
    <t>Hatfield, Carl</t>
  </si>
  <si>
    <t>Henry, Craig</t>
  </si>
  <si>
    <t>Hodge, Craig</t>
  </si>
  <si>
    <t>Hoffman, Brian D</t>
  </si>
  <si>
    <t>Holt, Robert</t>
  </si>
  <si>
    <t>Hoover, Evangeline</t>
  </si>
  <si>
    <t>Horton, Cleatis</t>
  </si>
  <si>
    <t>Hughes, Kevin</t>
  </si>
  <si>
    <t>Johnson, Mary Jo</t>
  </si>
  <si>
    <t>King, Taslim</t>
  </si>
  <si>
    <t>Kirk, Chris</t>
  </si>
  <si>
    <t>Lane, Brandyn</t>
  </si>
  <si>
    <t>Marks, LaReina</t>
  </si>
  <si>
    <t>Mason, Suzanne</t>
  </si>
  <si>
    <t>Massey, Mark</t>
  </si>
  <si>
    <t>McCormick, Hsi</t>
  </si>
  <si>
    <t>McDaniel, Tamara</t>
  </si>
  <si>
    <t>Middleton, Jen</t>
  </si>
  <si>
    <t>Miles, Kenneth</t>
  </si>
  <si>
    <t>Monroe, Justin</t>
  </si>
  <si>
    <t>Moreno, Chris</t>
  </si>
  <si>
    <t>Munoz, Michael</t>
  </si>
  <si>
    <t>Murphy, Jeff</t>
  </si>
  <si>
    <t>Obrien, Madelyn</t>
  </si>
  <si>
    <t>Owens, Dwight</t>
  </si>
  <si>
    <t>Paul, Michael</t>
  </si>
  <si>
    <t>Pugh, Lawrence</t>
  </si>
  <si>
    <t>Rogers, Colleen</t>
  </si>
  <si>
    <t>Ruiz, Randall</t>
  </si>
  <si>
    <t>Rush, Lateef</t>
  </si>
  <si>
    <t>Santiago, Michael</t>
  </si>
  <si>
    <t>Schroeder, Bennet</t>
  </si>
  <si>
    <t>Solomon, Michael</t>
  </si>
  <si>
    <t>Stevens, Andrew</t>
  </si>
  <si>
    <t>Strong, Lisa</t>
  </si>
  <si>
    <t>Torres, Bruce</t>
  </si>
  <si>
    <t>Turner, Ray</t>
  </si>
  <si>
    <t>Tyler, Javier</t>
  </si>
  <si>
    <t>Vega, Alexandra</t>
  </si>
  <si>
    <t>Velez, Letitia</t>
  </si>
  <si>
    <t>Walter, Michael</t>
  </si>
  <si>
    <t>Warner, Stephen</t>
  </si>
  <si>
    <t>Wilcox, Robert</t>
  </si>
  <si>
    <t>Woods, Marcus</t>
  </si>
  <si>
    <t>Armstrong, David</t>
  </si>
  <si>
    <t>Quality Control</t>
  </si>
  <si>
    <t>Barrett, John</t>
  </si>
  <si>
    <t>Beard, Sandi</t>
  </si>
  <si>
    <t>Beasley, Timothy</t>
  </si>
  <si>
    <t>Blackwell, Brandon</t>
  </si>
  <si>
    <t>Blake, Thomas</t>
  </si>
  <si>
    <t>Bowen, Kes</t>
  </si>
  <si>
    <t>Brown, Donald</t>
  </si>
  <si>
    <t>Buchanan, Dennis</t>
  </si>
  <si>
    <t>Casey, Ronald</t>
  </si>
  <si>
    <t>Cochran, Andrea</t>
  </si>
  <si>
    <t>Cook, Mark</t>
  </si>
  <si>
    <t>Craig, Alan</t>
  </si>
  <si>
    <t>Crawford, Ronald</t>
  </si>
  <si>
    <t>Cruz, Janene</t>
  </si>
  <si>
    <t>Daniels, Janet</t>
  </si>
  <si>
    <t>Davenport, Troy</t>
  </si>
  <si>
    <t>Davis, Tonya</t>
  </si>
  <si>
    <t>Ellison, Melyssa</t>
  </si>
  <si>
    <t>Erickson, Ricky</t>
  </si>
  <si>
    <t>Garcia, Karen</t>
  </si>
  <si>
    <t>Garrett, Chris</t>
  </si>
  <si>
    <t>George, Jessica</t>
  </si>
  <si>
    <t>Gibson, Janet</t>
  </si>
  <si>
    <t>Giles, Kathleen</t>
  </si>
  <si>
    <t>Gonzalez, David</t>
  </si>
  <si>
    <t>Goodwin, April</t>
  </si>
  <si>
    <t>Graham, David</t>
  </si>
  <si>
    <t>Graves, Michael</t>
  </si>
  <si>
    <t>Gray, Mark</t>
  </si>
  <si>
    <t>Grimes, Jeffrey</t>
  </si>
  <si>
    <t>Hall, Jenny</t>
  </si>
  <si>
    <t>Hansen, Andrew</t>
  </si>
  <si>
    <t>Hart, Richard</t>
  </si>
  <si>
    <t>Harvey, Michael</t>
  </si>
  <si>
    <t>Henderson, Anthony</t>
  </si>
  <si>
    <t>Hensley, William</t>
  </si>
  <si>
    <t>Hicks, Monica</t>
  </si>
  <si>
    <t>Hopkins, Lisa</t>
  </si>
  <si>
    <t>Hubbard, Sandra</t>
  </si>
  <si>
    <t>Hunt, Norman</t>
  </si>
  <si>
    <t>Jimenez, Dominic</t>
  </si>
  <si>
    <t>Keith, Thomas</t>
  </si>
  <si>
    <t>Keller, Jason</t>
  </si>
  <si>
    <t>Kelley, Nancy</t>
  </si>
  <si>
    <t>Kennedy, Kimberly</t>
  </si>
  <si>
    <t>Klein, Robert</t>
  </si>
  <si>
    <t>Kramer, Faye</t>
  </si>
  <si>
    <t>Lang, Dana</t>
  </si>
  <si>
    <t>Larsen, Lara</t>
  </si>
  <si>
    <t>Leonard, Paul</t>
  </si>
  <si>
    <t>Lester, Sherri</t>
  </si>
  <si>
    <t>Lewis, Frederick</t>
  </si>
  <si>
    <t>Lopez, Stephen</t>
  </si>
  <si>
    <t>Marsh, Cynthia</t>
  </si>
  <si>
    <t>Martin, Terry</t>
  </si>
  <si>
    <t>McClure, Gary</t>
  </si>
  <si>
    <t>McIntosh, Jeremy</t>
  </si>
  <si>
    <t>Mills, Melissa</t>
  </si>
  <si>
    <t>Morales, Linda</t>
  </si>
  <si>
    <t>Morrison, Julie</t>
  </si>
  <si>
    <t>Mueller, Philip</t>
  </si>
  <si>
    <t>Myers, Marc</t>
  </si>
  <si>
    <t>Newman, Aria</t>
  </si>
  <si>
    <t>Ortega, Jeffrey</t>
  </si>
  <si>
    <t>Ortiz, Cynthia</t>
  </si>
  <si>
    <t>Palmer, Terry</t>
  </si>
  <si>
    <t>Parks, Christopher</t>
  </si>
  <si>
    <t>Pennington, Gary</t>
  </si>
  <si>
    <t>Quinn, Cinnamon</t>
  </si>
  <si>
    <t>Ramirez, Keith</t>
  </si>
  <si>
    <t>Rivera, Timothy</t>
  </si>
  <si>
    <t>Rodgers, Daniel</t>
  </si>
  <si>
    <t>Rose, Mark</t>
  </si>
  <si>
    <t>Roy, Margarita</t>
  </si>
  <si>
    <t>Salazar, Ruben</t>
  </si>
  <si>
    <t>Salinas, Jon</t>
  </si>
  <si>
    <t>Sanchez, Greg</t>
  </si>
  <si>
    <t>Sandoval, James</t>
  </si>
  <si>
    <t>Schwartz, Joseph</t>
  </si>
  <si>
    <t>Sheppard, Curtis</t>
  </si>
  <si>
    <t>Sims, Don</t>
  </si>
  <si>
    <t>Singleton, David</t>
  </si>
  <si>
    <t>Snyder, Duane</t>
  </si>
  <si>
    <t>Sparks, Terri</t>
  </si>
  <si>
    <t>Stevenson, Michael</t>
  </si>
  <si>
    <t>Sweeney, Barbara</t>
  </si>
  <si>
    <t>Thomas, Shannon</t>
  </si>
  <si>
    <t>Ware, David</t>
  </si>
  <si>
    <t>Webster, David</t>
  </si>
  <si>
    <t>Welch, Michael</t>
  </si>
  <si>
    <t>Wilkerson, Claudia</t>
  </si>
  <si>
    <t>Willis, Ralph</t>
  </si>
  <si>
    <t>Zimmerman, Julian</t>
  </si>
  <si>
    <t>Bailey, Victor</t>
  </si>
  <si>
    <t>Research Center</t>
  </si>
  <si>
    <t>Dalton, Carol</t>
  </si>
  <si>
    <t>Leblanc, Jenny</t>
  </si>
  <si>
    <t>Montoya, Lisa</t>
  </si>
  <si>
    <t>Patterson, Robert</t>
  </si>
  <si>
    <t>Bradshaw, Sheryl</t>
  </si>
  <si>
    <t>Research/Development</t>
  </si>
  <si>
    <t>Flynn, Melissa</t>
  </si>
  <si>
    <t>Green, Kim</t>
  </si>
  <si>
    <t>Olsen, Ewan</t>
  </si>
  <si>
    <t>Riley, David</t>
  </si>
  <si>
    <t>ADC Count = 6</t>
  </si>
  <si>
    <t>Admin Training Count = 17</t>
  </si>
  <si>
    <t>Audit Services Count = 10</t>
  </si>
  <si>
    <t>Compliance Count = 4</t>
  </si>
  <si>
    <t>Engineering/Maintenance Count = 60</t>
  </si>
  <si>
    <t>Engineering/Operations Count = 8</t>
  </si>
  <si>
    <t>Environmental Health/Safety Count = 9</t>
  </si>
  <si>
    <t>Executive Education Count = 19</t>
  </si>
  <si>
    <t>International Clinical Safety Count = 6</t>
  </si>
  <si>
    <t>Logistics Count = 39</t>
  </si>
  <si>
    <t>Major Mfg Projects Count = 8</t>
  </si>
  <si>
    <t>Manufacturing Count = 154</t>
  </si>
  <si>
    <t>Manufacturing Admin Count = 7</t>
  </si>
  <si>
    <t>Operations Count = 55</t>
  </si>
  <si>
    <t>Peptide Chemistry Count = 21</t>
  </si>
  <si>
    <t>Pharmacokinetics Count = 4</t>
  </si>
  <si>
    <t>Process Development Count = 44</t>
  </si>
  <si>
    <t>Professional Training Group Count = 16</t>
  </si>
  <si>
    <t>Project &amp; Contract Services Count = 91</t>
  </si>
  <si>
    <t>Quality Assurance Count = 76</t>
  </si>
  <si>
    <t>Quality Control Count = 96</t>
  </si>
  <si>
    <t>Research Center Count = 5</t>
  </si>
  <si>
    <t>Research/Development Count = 6</t>
  </si>
  <si>
    <t>Carlson, Jeremy</t>
  </si>
  <si>
    <t>Brewer, Khurrum</t>
  </si>
  <si>
    <t>Rate</t>
  </si>
  <si>
    <t>Rating</t>
  </si>
  <si>
    <t>Service</t>
  </si>
  <si>
    <t>Date</t>
  </si>
  <si>
    <t>Number</t>
  </si>
  <si>
    <t>Employee
Name</t>
  </si>
  <si>
    <t>Tax</t>
  </si>
  <si>
    <t>Projected</t>
  </si>
  <si>
    <t>Job</t>
  </si>
  <si>
    <t>Current</t>
  </si>
  <si>
    <t>Years of</t>
  </si>
  <si>
    <t>Anniversary</t>
  </si>
  <si>
    <t>Hire</t>
  </si>
  <si>
    <t>Employment</t>
  </si>
  <si>
    <t>SS</t>
  </si>
  <si>
    <t>Employee</t>
  </si>
  <si>
    <t>6/23/2004 - 3/25/2006</t>
  </si>
  <si>
    <t>Los Altos, CA   94022</t>
  </si>
  <si>
    <t>4559 Calhoun Ct.</t>
  </si>
  <si>
    <t>Henrietta Herman</t>
  </si>
  <si>
    <t>10/30/2011 - 8/9/2013</t>
  </si>
  <si>
    <t>Atlanta, GA   30326</t>
  </si>
  <si>
    <t>3296 North Ave.</t>
  </si>
  <si>
    <t>Fiona Burns</t>
  </si>
  <si>
    <t>10/29/2013 - 6/28/2015</t>
  </si>
  <si>
    <t>Boston, MA   02108</t>
  </si>
  <si>
    <t>6258 Arthur St.</t>
  </si>
  <si>
    <t>Keith McCall</t>
  </si>
  <si>
    <t>3/20/2012 - 8/22/2013</t>
  </si>
  <si>
    <t>San Antonio, TX   78257</t>
  </si>
  <si>
    <t>6627 Cherry Lane</t>
  </si>
  <si>
    <t>Charles Rojas</t>
  </si>
  <si>
    <t>8/14/2005 - 4/11/2007</t>
  </si>
  <si>
    <t>Medina, WA   98039</t>
  </si>
  <si>
    <t>2514 Buren Ct.</t>
  </si>
  <si>
    <t>Mark Conner</t>
  </si>
  <si>
    <t>7/22/2013 - 4/11/2015</t>
  </si>
  <si>
    <t>Scarsdale, NY   10583</t>
  </si>
  <si>
    <t>9232 Quayle Ave.</t>
  </si>
  <si>
    <t>Stephanie Cox</t>
  </si>
  <si>
    <t>2/12/2011 - 8/3/2012</t>
  </si>
  <si>
    <t>Winnetka, IL   60093</t>
  </si>
  <si>
    <t>2403 Tompkins Lane</t>
  </si>
  <si>
    <t>Norman Schultz</t>
  </si>
  <si>
    <t>8/25/1998 - 5/23/2000</t>
  </si>
  <si>
    <t>Santa Monica, CA   90402</t>
  </si>
  <si>
    <t>7265 Morton Lane</t>
  </si>
  <si>
    <t>Richard Dixon</t>
  </si>
  <si>
    <t>10/16/2011 - 5/16/2013</t>
  </si>
  <si>
    <t>South Beach, FL   32963</t>
  </si>
  <si>
    <t>8294 Maple St.</t>
  </si>
  <si>
    <t>Guy Vincent</t>
  </si>
  <si>
    <t>12/24/1997 - 7/29/1999</t>
  </si>
  <si>
    <t>Larchmont, NY   10538</t>
  </si>
  <si>
    <t>7686 Elm Lane</t>
  </si>
  <si>
    <t>Mark Conley</t>
  </si>
  <si>
    <t>8/22/1989 - 5/26/1991</t>
  </si>
  <si>
    <t>Los Angeles, CA   90067</t>
  </si>
  <si>
    <t>9713 Monroe Blvd.</t>
  </si>
  <si>
    <t>Scott Rodriguez</t>
  </si>
  <si>
    <t>8/16/1998 - 12/31/1999</t>
  </si>
  <si>
    <t>Beverly Hills, CA   90210</t>
  </si>
  <si>
    <t>1541 Pierce Blvd.</t>
  </si>
  <si>
    <t>Donald Patel</t>
  </si>
  <si>
    <t>1/12/2013 - 11/17/2014</t>
  </si>
  <si>
    <t>Rancho Santa Fe, CA   92067</t>
  </si>
  <si>
    <t>6521 King Blvd.</t>
  </si>
  <si>
    <t>David Mercado</t>
  </si>
  <si>
    <t>9/11/2003 - 2/20/2005</t>
  </si>
  <si>
    <t>Richmond, VA   23219</t>
  </si>
  <si>
    <t>4216 Oak Ct.</t>
  </si>
  <si>
    <t>Teresa Baxter</t>
  </si>
  <si>
    <t>12/31/2002 - 8/28/2004</t>
  </si>
  <si>
    <t>New York, NY   10004</t>
  </si>
  <si>
    <t>8015 Eisenhower Ave.</t>
  </si>
  <si>
    <t>Zachary Tate</t>
  </si>
  <si>
    <t>3/5/2014 - 12/21/2015</t>
  </si>
  <si>
    <t>Rye, NY   10580</t>
  </si>
  <si>
    <t>6699 Coolidge Lane</t>
  </si>
  <si>
    <t>Karen Logan</t>
  </si>
  <si>
    <t>10/7/2013 - 6/12/2015</t>
  </si>
  <si>
    <t>Mountain Lakes, NJ   07046</t>
  </si>
  <si>
    <t>3218 Main Lane</t>
  </si>
  <si>
    <t>Athanasios Small</t>
  </si>
  <si>
    <t>4/4/2011 - 1/20/2013</t>
  </si>
  <si>
    <t>Lake Forest, IL   60045</t>
  </si>
  <si>
    <t>2370 Pine Blvd.</t>
  </si>
  <si>
    <t>Karen Pierce</t>
  </si>
  <si>
    <t>5/19/1999 - 3/30/2001</t>
  </si>
  <si>
    <t>Kenilworth, IL   60043</t>
  </si>
  <si>
    <t>2981 Truman St.</t>
  </si>
  <si>
    <t>Christopher Castro</t>
  </si>
  <si>
    <t>11/5/1991 - 8/1/1993</t>
  </si>
  <si>
    <t>Redwood City, CA   94062</t>
  </si>
  <si>
    <t>5506 Dallas Ct.</t>
  </si>
  <si>
    <t>Fredrick Rios</t>
  </si>
  <si>
    <t>12/9/1991 - 5/26/1993</t>
  </si>
  <si>
    <t>Darien, CT   06820</t>
  </si>
  <si>
    <t>4725 Garfield Blvd.</t>
  </si>
  <si>
    <t>Richard Campos</t>
  </si>
  <si>
    <t>6/25/2008 - 4/19/2010</t>
  </si>
  <si>
    <t>Scotts Corners, NY   10576</t>
  </si>
  <si>
    <t>4299 Clinton Ave.</t>
  </si>
  <si>
    <t>Kenneth Douglas</t>
  </si>
  <si>
    <t>6/27/1999 - 11/10/2000</t>
  </si>
  <si>
    <t>Norwalk, CT   06853</t>
  </si>
  <si>
    <t>9701 Ford Ct.</t>
  </si>
  <si>
    <t>Terry Gilmore</t>
  </si>
  <si>
    <t>8/12/1990 - 2/18/1992</t>
  </si>
  <si>
    <t>Kings Point, NY   11024</t>
  </si>
  <si>
    <t>9447 Washington Ave.</t>
  </si>
  <si>
    <t>Elena Miranda</t>
  </si>
  <si>
    <t>10/30/1991 - 7/7/1993</t>
  </si>
  <si>
    <t>Manhasset, NY   11030</t>
  </si>
  <si>
    <t>1344 Hayes Lane</t>
  </si>
  <si>
    <t>Kristin Randolph</t>
  </si>
  <si>
    <t>10/19/2000 - 3/17/2002</t>
  </si>
  <si>
    <t>Alpine, NJ   07620</t>
  </si>
  <si>
    <t>1571 Nixon Lane</t>
  </si>
  <si>
    <t>Randy Romero</t>
  </si>
  <si>
    <t>7/7/2001 - 12/6/2002</t>
  </si>
  <si>
    <t>Potomac, MD   20854</t>
  </si>
  <si>
    <t>8035 South Blvd.</t>
  </si>
  <si>
    <t>Eric Boone</t>
  </si>
  <si>
    <t>5/10/1989 - 3/13/1991</t>
  </si>
  <si>
    <t>Boca Grande, FL   33921</t>
  </si>
  <si>
    <t>9985 Willow Blvd.</t>
  </si>
  <si>
    <t>Chad Tran</t>
  </si>
  <si>
    <t>3/25/2005 - 2/17/2007</t>
  </si>
  <si>
    <t>Palo Alto, CA   94301</t>
  </si>
  <si>
    <t>2114 Taft Lane</t>
  </si>
  <si>
    <t>Christopher Padilla</t>
  </si>
  <si>
    <t>3/17/1996 - 12/16/1997</t>
  </si>
  <si>
    <t>Armonk, NY   10504</t>
  </si>
  <si>
    <t>3545 Tyler Ct.</t>
  </si>
  <si>
    <t>Jose Cummings</t>
  </si>
  <si>
    <t>2/18/1992 - 8/19/1993</t>
  </si>
  <si>
    <t>Houston, TX   77002</t>
  </si>
  <si>
    <t>5146 Reagan St.</t>
  </si>
  <si>
    <t>Michelle Lowe</t>
  </si>
  <si>
    <t>10/11/2007 - 3/18/2009</t>
  </si>
  <si>
    <t>Old Westbury, NY   11568</t>
  </si>
  <si>
    <t>7741 Garner Ct.</t>
  </si>
  <si>
    <t>Marc Reese</t>
  </si>
  <si>
    <t>11/6/1996 - 10/5/1998</t>
  </si>
  <si>
    <t>Chappaqua, NY   10514</t>
  </si>
  <si>
    <t>18 Burr St.</t>
  </si>
  <si>
    <t>Jaime Chen</t>
  </si>
  <si>
    <t>5/10/1994 - 1/25/1996</t>
  </si>
  <si>
    <t>Naples Park, FL   34108</t>
  </si>
  <si>
    <t>7727 South Blvd.</t>
  </si>
  <si>
    <t>Shari Mathis</t>
  </si>
  <si>
    <t>6/12/2015 - 3/16/2017</t>
  </si>
  <si>
    <t xml:space="preserve"> 345 Kennedy St.</t>
  </si>
  <si>
    <t>Lynne Wagner</t>
  </si>
  <si>
    <t>1/4/2013 - 10/29/2014</t>
  </si>
  <si>
    <t>Belvedere, CA   94920</t>
  </si>
  <si>
    <t>2605 Wilson Ct.</t>
  </si>
  <si>
    <t>Dennis Clarke</t>
  </si>
  <si>
    <t>5/5/2013 - 1/12/2015</t>
  </si>
  <si>
    <t>Chicago, IL   60606</t>
  </si>
  <si>
    <t>180 Carter St.</t>
  </si>
  <si>
    <t>Francisco Oliver</t>
  </si>
  <si>
    <t>9/18/2006 - 2/1/2008</t>
  </si>
  <si>
    <t>Longboat Key, FL   34228</t>
  </si>
  <si>
    <t>8376 Spruce Ave.</t>
  </si>
  <si>
    <t>Joan Estrada</t>
  </si>
  <si>
    <t>2/27/2007 - 11/12/2008</t>
  </si>
  <si>
    <t>Newport Coast, CA   92657</t>
  </si>
  <si>
    <t>9416 Fairbanks Ct.</t>
  </si>
  <si>
    <t>Jerry Townsend</t>
  </si>
  <si>
    <t>10/27/2003 - 6/9/2005</t>
  </si>
  <si>
    <t>Essex Fells, NJ   07021</t>
  </si>
  <si>
    <t>4967 Harding Ct.</t>
  </si>
  <si>
    <t>Ted Wise</t>
  </si>
  <si>
    <t>5/14/2000 - 4/3/2002</t>
  </si>
  <si>
    <t>Dover, MA   02030</t>
  </si>
  <si>
    <t>4675 Hamlin Ave.</t>
  </si>
  <si>
    <t>Garret Santos</t>
  </si>
  <si>
    <t>10/18/1989 - 8/8/1991</t>
  </si>
  <si>
    <t>Great Falls, VA   22066</t>
  </si>
  <si>
    <t>8945 Marshall Blvd.</t>
  </si>
  <si>
    <t>Rolin Evans</t>
  </si>
  <si>
    <t>4/28/1995 - 1/3/1997</t>
  </si>
  <si>
    <t>Far Hills, NJ   07931</t>
  </si>
  <si>
    <t>321 Hendricks Lane</t>
  </si>
  <si>
    <t>Brent Rich</t>
  </si>
  <si>
    <t>5/21/2000 - 1/10/2002</t>
  </si>
  <si>
    <t>Bedford, NY   10506</t>
  </si>
  <si>
    <t>5907 Roosevelt Ct.</t>
  </si>
  <si>
    <t>Mark Jordan</t>
  </si>
  <si>
    <t>4/11/1991 - 10/10/1992</t>
  </si>
  <si>
    <t>Hunters Creek Village, TX   77024</t>
  </si>
  <si>
    <t>7686 Stevenson Ave.</t>
  </si>
  <si>
    <t>Michael Noble</t>
  </si>
  <si>
    <t>11/20/2012 - 9/10/2014</t>
  </si>
  <si>
    <t>Dallas, TX   75205</t>
  </si>
  <si>
    <t>6694 Fillmore Lane</t>
  </si>
  <si>
    <t>Leigh Newton</t>
  </si>
  <si>
    <t>3/13/2012 - 8/12/2013</t>
  </si>
  <si>
    <t>Naples, FL   34102</t>
  </si>
  <si>
    <t>9274 Jackson Blvd.</t>
  </si>
  <si>
    <t>Davin Gross</t>
  </si>
  <si>
    <t>7/12/2006 - 4/10/2008</t>
  </si>
  <si>
    <t>Charlotte, NC   28207</t>
  </si>
  <si>
    <t>4192 Bush St.</t>
  </si>
  <si>
    <t>Michael Morse</t>
  </si>
  <si>
    <t>9/8/1999 - 8/6/2001</t>
  </si>
  <si>
    <t>Weston, MA   02493</t>
  </si>
  <si>
    <t>2181 Rockefeller Lane</t>
  </si>
  <si>
    <t>Rick Gallegos</t>
  </si>
  <si>
    <t>4/25/1988 - 1/26/1990</t>
  </si>
  <si>
    <t>543 Mondale Lane</t>
  </si>
  <si>
    <t>Patrick Curtis</t>
  </si>
  <si>
    <t>4/27/1998 - 2/10/2000</t>
  </si>
  <si>
    <t>Palm Beach, FL   33480</t>
  </si>
  <si>
    <t>3513 Breckinridge Blvd.</t>
  </si>
  <si>
    <t>Charles Lee</t>
  </si>
  <si>
    <t>7/20/1997 - 1/10/1999</t>
  </si>
  <si>
    <t>Mendham, NJ   07945</t>
  </si>
  <si>
    <t>7264 Main Lane</t>
  </si>
  <si>
    <t>Chris Montgomery</t>
  </si>
  <si>
    <t>10/27/1990 - 4/16/1992</t>
  </si>
  <si>
    <t>7222 Sherman St.</t>
  </si>
  <si>
    <t>Kenneth Vazquez</t>
  </si>
  <si>
    <t>3/13/1996 - 1/27/1998</t>
  </si>
  <si>
    <t>Rancho Santa Fe, CA   92091</t>
  </si>
  <si>
    <t>7670 Cheney Ave.</t>
  </si>
  <si>
    <t>Mark Lara</t>
  </si>
  <si>
    <t>3/3/2007 - 8/18/2008</t>
  </si>
  <si>
    <t>Greenwich, CT   06830</t>
  </si>
  <si>
    <t>2333 McKinley Ave.</t>
  </si>
  <si>
    <t>Anne Gates</t>
  </si>
  <si>
    <t>11/21/1994 - 9/14/1996</t>
  </si>
  <si>
    <t>Paradise Valley, AZ   85253</t>
  </si>
  <si>
    <t>225 Colfax Ave.</t>
  </si>
  <si>
    <t>Deon Hale</t>
  </si>
  <si>
    <t>9/3/2001 - 4/18/2003</t>
  </si>
  <si>
    <t>Incline Village, NV   89451</t>
  </si>
  <si>
    <t>1602 Harrison St.</t>
  </si>
  <si>
    <t>Nobuko Shaffer</t>
  </si>
  <si>
    <t>3/19/1995 - 12/27/1996</t>
  </si>
  <si>
    <t>New Canaan, CT   06840</t>
  </si>
  <si>
    <t>662 Curtis Ct.</t>
  </si>
  <si>
    <t>Tim Woodward</t>
  </si>
  <si>
    <t>3/13/2001 - 8/21/2002</t>
  </si>
  <si>
    <t>Cold Spring Harbor, NY   11724</t>
  </si>
  <si>
    <t>1317 Cleveland Blvd.</t>
  </si>
  <si>
    <t>Svetlana Hardy</t>
  </si>
  <si>
    <t>6/11/2009 - 4/24/2011</t>
  </si>
  <si>
    <t>Tulsa, OK   74103</t>
  </si>
  <si>
    <t>1144 Gerry Blvd.</t>
  </si>
  <si>
    <t>Robert Shields</t>
  </si>
  <si>
    <t>10/27/1998 - 3/12/2000</t>
  </si>
  <si>
    <t>Santa Barbara, CA   93108</t>
  </si>
  <si>
    <t>4318 Madison Ave.</t>
  </si>
  <si>
    <t>Benning Nunez</t>
  </si>
  <si>
    <t>2/12/1996 - 9/6/1997</t>
  </si>
  <si>
    <t>Wilmington, DE   19807</t>
  </si>
  <si>
    <t>5882 Dawes Blvd.</t>
  </si>
  <si>
    <t>Benjamin Young</t>
  </si>
  <si>
    <t>11/21/2004 - 8/10/2006</t>
  </si>
  <si>
    <t>Ladue, MO   63124</t>
  </si>
  <si>
    <t>33 Watson Lane</t>
  </si>
  <si>
    <t>Nathan Robertson</t>
  </si>
  <si>
    <t>6/20/1989 - 5/11/1991</t>
  </si>
  <si>
    <t>Atherton, CA   94027</t>
  </si>
  <si>
    <t>93 Roosevelt Blvd.</t>
  </si>
  <si>
    <t>Justin Bass</t>
  </si>
  <si>
    <t>8/1/2012 - 2/5/2014</t>
  </si>
  <si>
    <t>Bernardsville, NJ   07924</t>
  </si>
  <si>
    <t>1808 Wheeler Ct.</t>
  </si>
  <si>
    <t>David Adams</t>
  </si>
  <si>
    <t>6/14/2011 - 11/5/2012</t>
  </si>
  <si>
    <t>Wilson, WY   83014</t>
  </si>
  <si>
    <t>1730 Barkley St.</t>
  </si>
  <si>
    <t>Dac Calhoun</t>
  </si>
  <si>
    <t>12/29/2004 - 9/9/2006</t>
  </si>
  <si>
    <t>Portola Valley, CA   94028</t>
  </si>
  <si>
    <t>6136 Harrison Ct.</t>
  </si>
  <si>
    <t>Jan Ramos</t>
  </si>
  <si>
    <t>12/24/1991 - 10/2/1993</t>
  </si>
  <si>
    <t>Fort Worth, TX   76102</t>
  </si>
  <si>
    <t>4247 Hoover Ct.</t>
  </si>
  <si>
    <t>Jon Gregory</t>
  </si>
  <si>
    <t>6/25/1997 - 3/8/1999</t>
  </si>
  <si>
    <t>Westport, CT   06880</t>
  </si>
  <si>
    <t>887 Harrison St.</t>
  </si>
  <si>
    <t>Brenda Barnett</t>
  </si>
  <si>
    <t>2/21/2009 - 9/27/2010</t>
  </si>
  <si>
    <t>Sherborn, MA   01770</t>
  </si>
  <si>
    <t>4915 Adams Ct.</t>
  </si>
  <si>
    <t>Robert Daniel</t>
  </si>
  <si>
    <t>9/12/2007 - 4/26/2009</t>
  </si>
  <si>
    <t>Franklin Lakes, NJ   07417</t>
  </si>
  <si>
    <t>5800 Humphrey Blvd.</t>
  </si>
  <si>
    <t>Shira Nelson</t>
  </si>
  <si>
    <t>11/30/2012 - 7/7/2014</t>
  </si>
  <si>
    <t>Rumson, NJ   07760</t>
  </si>
  <si>
    <t>2247 Grant Ave.</t>
  </si>
  <si>
    <t>Robin Hutchinson</t>
  </si>
  <si>
    <t>11/14/1994 - 4/6/1996</t>
  </si>
  <si>
    <t>Belair Beach, FL   33786</t>
  </si>
  <si>
    <t>8028 Wallace Ave.</t>
  </si>
  <si>
    <t>Leonard Figueroa</t>
  </si>
  <si>
    <t>1/10/2001 - 11/11/2002</t>
  </si>
  <si>
    <t>Hinsdale, IL   60521</t>
  </si>
  <si>
    <t>550 Polk Ave.</t>
  </si>
  <si>
    <t>Randy Nixon</t>
  </si>
  <si>
    <t>4/26/1991 - 11/18/1992</t>
  </si>
  <si>
    <t>Weston, CT   06883</t>
  </si>
  <si>
    <t>6436 Taft St.</t>
  </si>
  <si>
    <t>Scott McDowell</t>
  </si>
  <si>
    <t>8/10/2001 - 4/20/2003</t>
  </si>
  <si>
    <t>San Francisco, CA   94111</t>
  </si>
  <si>
    <t>7217 Lincoln Lane</t>
  </si>
  <si>
    <t>Michael Molina</t>
  </si>
  <si>
    <t>7/7/1997 - 2/24/1999</t>
  </si>
  <si>
    <t>The Plains, VA   20198</t>
  </si>
  <si>
    <t>8001 Gore St.</t>
  </si>
  <si>
    <t>Timothy Park</t>
  </si>
  <si>
    <t>11/6/2011 - 6/7/2013</t>
  </si>
  <si>
    <t>Saddle River, NJ   07458</t>
  </si>
  <si>
    <t>3842 Harrison St.</t>
  </si>
  <si>
    <t>John Lloyd</t>
  </si>
  <si>
    <t>3/30/2007 - 8/22/2008</t>
  </si>
  <si>
    <t>Glencoe, IL   60022</t>
  </si>
  <si>
    <t>7759 Johnson Ave.</t>
  </si>
  <si>
    <t>Stephen Silva</t>
  </si>
  <si>
    <t>Board Member Dates</t>
  </si>
  <si>
    <t>Member Since:</t>
  </si>
  <si>
    <t>City, State ZIP</t>
  </si>
  <si>
    <t>Address</t>
  </si>
  <si>
    <t>Contact</t>
  </si>
  <si>
    <t>OS BOND CONSTRUCTION (642)</t>
  </si>
  <si>
    <t>Open Space</t>
  </si>
  <si>
    <t>OS S/U TAX REV BOND ACCT (641)</t>
  </si>
  <si>
    <t>OS SALES TAX FUND (640)</t>
  </si>
  <si>
    <t>Total OS Bond Construction Fund</t>
  </si>
  <si>
    <t>Transfer from Other Funds (370-**)</t>
  </si>
  <si>
    <t>Interest Earnings (361-*)</t>
  </si>
  <si>
    <t>Difference</t>
  </si>
  <si>
    <t>Budget</t>
  </si>
  <si>
    <t>Total</t>
  </si>
  <si>
    <t>Year</t>
  </si>
  <si>
    <t>OS BOND CONSTRUCTION (342)</t>
  </si>
  <si>
    <t>Total OS S/U Tax Rev Bond Acct</t>
  </si>
  <si>
    <t>Intergovernment Revenue (330-**)</t>
  </si>
  <si>
    <t>OS S/U TAX REV BOND ACCT (341)</t>
  </si>
  <si>
    <t>Total OS Sales Tax Fund</t>
  </si>
  <si>
    <t>Sale of Land (390-**)</t>
  </si>
  <si>
    <t>Rents/Royalties (362*)</t>
  </si>
  <si>
    <t>Unrealized Gain/Loss (361-70)</t>
  </si>
  <si>
    <t>Interest Income - 2010A Bonds (361-31)</t>
  </si>
  <si>
    <t>Interest Income -Operating (361-20)</t>
  </si>
  <si>
    <t>Misc Revenue (360-10)</t>
  </si>
  <si>
    <t>Taxpayer Assd Sales Tax Accrual (313-99)</t>
  </si>
  <si>
    <t>Taxpayer Assd Use Tax Accrual (313-98)</t>
  </si>
  <si>
    <t>Use Tax (313-11)</t>
  </si>
  <si>
    <t>Sales Tax (313-10)</t>
  </si>
  <si>
    <t>Fund Type</t>
  </si>
  <si>
    <t>Fund</t>
  </si>
  <si>
    <t>Amount</t>
  </si>
  <si>
    <t>Sheet</t>
  </si>
  <si>
    <t>Seq</t>
  </si>
  <si>
    <t>Data layout example #1</t>
  </si>
  <si>
    <t>Data layout example #2 Reporting Subtotals</t>
  </si>
  <si>
    <t>Multirow Headers</t>
  </si>
  <si>
    <t>Data layout example #3 Reporting</t>
  </si>
  <si>
    <t>Contact List</t>
  </si>
  <si>
    <t>Real World Example</t>
  </si>
  <si>
    <t>List</t>
  </si>
  <si>
    <t>Transform List to table</t>
  </si>
  <si>
    <t>11S</t>
  </si>
  <si>
    <t>ElectroCity</t>
  </si>
  <si>
    <t>SW</t>
  </si>
  <si>
    <t>Televisions</t>
  </si>
  <si>
    <t>Pardo, Don</t>
  </si>
  <si>
    <t>SE</t>
  </si>
  <si>
    <t>Clark, Dick</t>
  </si>
  <si>
    <t>NW</t>
  </si>
  <si>
    <t>Mann, Ed</t>
  </si>
  <si>
    <t>Reimers, Ed</t>
  </si>
  <si>
    <t>Roman, Barb</t>
  </si>
  <si>
    <t>NE</t>
  </si>
  <si>
    <t>Morgan, Gil</t>
  </si>
  <si>
    <t>Furn, Betty</t>
  </si>
  <si>
    <t>Popiel, Ron</t>
  </si>
  <si>
    <t>Loman, Willy</t>
  </si>
  <si>
    <t>Kitchen Center</t>
  </si>
  <si>
    <t>Folger, Art</t>
  </si>
  <si>
    <t>Home USA</t>
  </si>
  <si>
    <t>Home Emporium</t>
  </si>
  <si>
    <t>Stout, Mary</t>
  </si>
  <si>
    <t>Appliance Mart</t>
  </si>
  <si>
    <t>Short, Dina</t>
  </si>
  <si>
    <t>Refrigerators</t>
  </si>
  <si>
    <t>Dryers</t>
  </si>
  <si>
    <t>Dishwashers</t>
  </si>
  <si>
    <t>Clothes Washers</t>
  </si>
  <si>
    <t>Items</t>
  </si>
  <si>
    <t>Customer</t>
  </si>
  <si>
    <t>Region</t>
  </si>
  <si>
    <t>Product</t>
  </si>
  <si>
    <t>Salesperson</t>
  </si>
  <si>
    <t>Large Product Sales - 2010 and 2011</t>
  </si>
  <si>
    <t>Appliance Sales</t>
  </si>
  <si>
    <t>Accounting</t>
  </si>
  <si>
    <t>Validation</t>
  </si>
  <si>
    <t>Schroeder, Ben</t>
  </si>
  <si>
    <t>Moss, Ed</t>
  </si>
  <si>
    <t>Levene, Shelley</t>
  </si>
  <si>
    <t>Hutton, Lauren</t>
  </si>
  <si>
    <t>Tilley, Ernest</t>
  </si>
  <si>
    <t>Furness, Betty</t>
  </si>
  <si>
    <t>Babowsky, Bill</t>
  </si>
  <si>
    <t>Sales</t>
  </si>
  <si>
    <t>Marketing</t>
  </si>
  <si>
    <t>Lopez Maria</t>
  </si>
  <si>
    <t>Lewis, Fred</t>
  </si>
  <si>
    <t>Pena, Erica</t>
  </si>
  <si>
    <t>Ramsey, Carol</t>
  </si>
  <si>
    <t>Trevino, Ed</t>
  </si>
  <si>
    <t>Transpose Data</t>
  </si>
  <si>
    <t>http://office.microsoft.com/assistance/asstvid.aspx?assetid=XT101493291033&amp;vwidth=1044&amp;vheight=788&amp;type=flash&amp;CTT=11&amp;Origin=HA101491511033</t>
  </si>
  <si>
    <t>Excel 2003-2007 converter</t>
  </si>
  <si>
    <t>% Expenses Change</t>
  </si>
  <si>
    <t>% Profits Change</t>
  </si>
  <si>
    <t>% Sales Change</t>
  </si>
  <si>
    <t>YTD Average</t>
  </si>
  <si>
    <t>YTD Profits</t>
  </si>
  <si>
    <t>Profits</t>
  </si>
  <si>
    <t>Expenses</t>
  </si>
  <si>
    <t>Average</t>
  </si>
  <si>
    <t>Washington State Data</t>
  </si>
  <si>
    <t>Move Columns(s)</t>
  </si>
  <si>
    <t>Move Row(s)</t>
  </si>
  <si>
    <t>2013 8</t>
  </si>
  <si>
    <t>8 2013</t>
  </si>
  <si>
    <t>2013 3</t>
  </si>
  <si>
    <t>3 2013</t>
  </si>
  <si>
    <t>2013 10</t>
  </si>
  <si>
    <t>10 2013</t>
  </si>
  <si>
    <t>2013 4</t>
  </si>
  <si>
    <t>4 2013</t>
  </si>
  <si>
    <t>2014 10</t>
  </si>
  <si>
    <t>10 2014</t>
  </si>
  <si>
    <t>2013 12</t>
  </si>
  <si>
    <t>12 2013</t>
  </si>
  <si>
    <t>2013 2</t>
  </si>
  <si>
    <t>2 2013</t>
  </si>
  <si>
    <t>2013 11</t>
  </si>
  <si>
    <t>11 2013</t>
  </si>
  <si>
    <t>2013 7</t>
  </si>
  <si>
    <t>7 2013</t>
  </si>
  <si>
    <t>2013 6</t>
  </si>
  <si>
    <t>6 2013</t>
  </si>
  <si>
    <t>2014 12</t>
  </si>
  <si>
    <t>12 2014</t>
  </si>
  <si>
    <t>2014 6</t>
  </si>
  <si>
    <t>6 2014</t>
  </si>
  <si>
    <t>2013 5</t>
  </si>
  <si>
    <t>5 2013</t>
  </si>
  <si>
    <t>2014 9</t>
  </si>
  <si>
    <t>9 2014</t>
  </si>
  <si>
    <t>2014 4</t>
  </si>
  <si>
    <t>4 2014</t>
  </si>
  <si>
    <t>2014 7</t>
  </si>
  <si>
    <t>7 2014</t>
  </si>
  <si>
    <t>2014 5</t>
  </si>
  <si>
    <t>5 2014</t>
  </si>
  <si>
    <t>2014 3</t>
  </si>
  <si>
    <t>3 2014</t>
  </si>
  <si>
    <t>2013 9</t>
  </si>
  <si>
    <t>9 2013</t>
  </si>
  <si>
    <t>2014 1</t>
  </si>
  <si>
    <t>1 2014</t>
  </si>
  <si>
    <t>2014 8</t>
  </si>
  <si>
    <t>8 2014</t>
  </si>
  <si>
    <t>2013 1</t>
  </si>
  <si>
    <t>1 2013</t>
  </si>
  <si>
    <t>2014 11</t>
  </si>
  <si>
    <t>11 2014</t>
  </si>
  <si>
    <t>2014 2</t>
  </si>
  <si>
    <t>2 2014</t>
  </si>
  <si>
    <t>2013 Jan 12</t>
  </si>
  <si>
    <t>2014 Feb 14</t>
  </si>
  <si>
    <t>2013 Jan 1</t>
  </si>
  <si>
    <t>2014 AUG 12</t>
  </si>
  <si>
    <t>2013 Jun 1</t>
  </si>
  <si>
    <t>2014 Jan 1</t>
  </si>
  <si>
    <t>2013 MAR 13</t>
  </si>
  <si>
    <t>2013 Sep 21</t>
  </si>
  <si>
    <t>Year Month Day</t>
  </si>
  <si>
    <t>Year Month</t>
  </si>
  <si>
    <t xml:space="preserve">Month Year </t>
  </si>
  <si>
    <t>Grouped Rows</t>
  </si>
  <si>
    <t>Date Formats</t>
  </si>
  <si>
    <t>Empty Rows</t>
  </si>
  <si>
    <t>385</t>
  </si>
  <si>
    <t>384</t>
  </si>
  <si>
    <t>383</t>
  </si>
  <si>
    <t>382</t>
  </si>
  <si>
    <t>381</t>
  </si>
  <si>
    <t>380</t>
  </si>
  <si>
    <t>379</t>
  </si>
  <si>
    <t>378</t>
  </si>
  <si>
    <t>377</t>
  </si>
  <si>
    <t>376</t>
  </si>
  <si>
    <t>375</t>
  </si>
  <si>
    <t>374</t>
  </si>
  <si>
    <t>373</t>
  </si>
  <si>
    <t>366</t>
  </si>
  <si>
    <t>372</t>
  </si>
  <si>
    <t>371</t>
  </si>
  <si>
    <t>370</t>
  </si>
  <si>
    <t>369</t>
  </si>
  <si>
    <t>368</t>
  </si>
  <si>
    <t>367</t>
  </si>
  <si>
    <t>Numbers formatted as Text</t>
  </si>
  <si>
    <t>Pay</t>
  </si>
  <si>
    <t>PayRate/Hour</t>
  </si>
  <si>
    <t>Hours Worked</t>
  </si>
  <si>
    <t>Days Worked</t>
  </si>
  <si>
    <t>Text to Numbers</t>
  </si>
  <si>
    <t>Date to Time</t>
  </si>
  <si>
    <t>2.91%</t>
  </si>
  <si>
    <t>Jones, Tom</t>
  </si>
  <si>
    <t>Makkey, James</t>
  </si>
  <si>
    <t>Leading Zeros</t>
  </si>
  <si>
    <t>68772S729</t>
  </si>
  <si>
    <t>155396</t>
  </si>
  <si>
    <t>00726D726</t>
  </si>
  <si>
    <t>726D726</t>
  </si>
  <si>
    <t>993799</t>
  </si>
  <si>
    <t>000074T74</t>
  </si>
  <si>
    <t>74T74</t>
  </si>
  <si>
    <t>822383</t>
  </si>
  <si>
    <t>87758E584</t>
  </si>
  <si>
    <t>000094</t>
  </si>
  <si>
    <t>000085S85</t>
  </si>
  <si>
    <t>85S85</t>
  </si>
  <si>
    <t>063044</t>
  </si>
  <si>
    <t>09665R665</t>
  </si>
  <si>
    <t>9665R665</t>
  </si>
  <si>
    <t>000572</t>
  </si>
  <si>
    <t>02573M573</t>
  </si>
  <si>
    <t>2573M573</t>
  </si>
  <si>
    <t>000032</t>
  </si>
  <si>
    <t>72669F974</t>
  </si>
  <si>
    <t>2833054</t>
  </si>
  <si>
    <t>40911F113</t>
  </si>
  <si>
    <t>5050584</t>
  </si>
  <si>
    <t>00480H480</t>
  </si>
  <si>
    <t>480H480</t>
  </si>
  <si>
    <t>793646</t>
  </si>
  <si>
    <t>0000007I7</t>
  </si>
  <si>
    <t>7I7</t>
  </si>
  <si>
    <t>400841</t>
  </si>
  <si>
    <t>38838B838</t>
  </si>
  <si>
    <t>004446</t>
  </si>
  <si>
    <t>04672B672</t>
  </si>
  <si>
    <t>4672B672</t>
  </si>
  <si>
    <t>022832</t>
  </si>
  <si>
    <t>00773J773</t>
  </si>
  <si>
    <t>773J773</t>
  </si>
  <si>
    <t>009256</t>
  </si>
  <si>
    <t>89981M819</t>
  </si>
  <si>
    <t>000002</t>
  </si>
  <si>
    <t>67641G641</t>
  </si>
  <si>
    <t>004264</t>
  </si>
  <si>
    <t>000092T92</t>
  </si>
  <si>
    <t>92T92</t>
  </si>
  <si>
    <t>441220</t>
  </si>
  <si>
    <t>0000001P1</t>
  </si>
  <si>
    <t>1P1</t>
  </si>
  <si>
    <t>000123</t>
  </si>
  <si>
    <t>00964W964</t>
  </si>
  <si>
    <t>964W964</t>
  </si>
  <si>
    <t>190950</t>
  </si>
  <si>
    <t>0000004U4</t>
  </si>
  <si>
    <t>4U4</t>
  </si>
  <si>
    <t>000959</t>
  </si>
  <si>
    <t>33425J507</t>
  </si>
  <si>
    <t>000681</t>
  </si>
  <si>
    <t>14504P049</t>
  </si>
  <si>
    <t>004672</t>
  </si>
  <si>
    <t>00131K131</t>
  </si>
  <si>
    <t>131K131</t>
  </si>
  <si>
    <t>026377</t>
  </si>
  <si>
    <t>000081F81</t>
  </si>
  <si>
    <t>81F81</t>
  </si>
  <si>
    <t>000054</t>
  </si>
  <si>
    <t>000048J48</t>
  </si>
  <si>
    <t>48J48</t>
  </si>
  <si>
    <t>000243</t>
  </si>
  <si>
    <t>07017F017</t>
  </si>
  <si>
    <t>7017F017</t>
  </si>
  <si>
    <t>000362</t>
  </si>
  <si>
    <t>00447I447</t>
  </si>
  <si>
    <t>447I447</t>
  </si>
  <si>
    <t>000074</t>
  </si>
  <si>
    <t>00814X814</t>
  </si>
  <si>
    <t>814X814</t>
  </si>
  <si>
    <t>609399</t>
  </si>
  <si>
    <t>01496Y496</t>
  </si>
  <si>
    <t>1496Y496</t>
  </si>
  <si>
    <t>000070</t>
  </si>
  <si>
    <t>74526D661</t>
  </si>
  <si>
    <t>422267</t>
  </si>
  <si>
    <t>0000006S6</t>
  </si>
  <si>
    <t>6S6</t>
  </si>
  <si>
    <t>000018</t>
  </si>
  <si>
    <t>00973M973</t>
  </si>
  <si>
    <t>973M973</t>
  </si>
  <si>
    <t>000447</t>
  </si>
  <si>
    <t>55707J075</t>
  </si>
  <si>
    <t>000007</t>
  </si>
  <si>
    <t>00657R657</t>
  </si>
  <si>
    <t>657R657</t>
  </si>
  <si>
    <t>881296</t>
  </si>
  <si>
    <t>0000008R8</t>
  </si>
  <si>
    <t>8R8</t>
  </si>
  <si>
    <t>000028</t>
  </si>
  <si>
    <t>64500J008</t>
  </si>
  <si>
    <t>096586</t>
  </si>
  <si>
    <t>000070D70</t>
  </si>
  <si>
    <t>70D70</t>
  </si>
  <si>
    <t>007557</t>
  </si>
  <si>
    <t>0000008T8</t>
  </si>
  <si>
    <t>8T8</t>
  </si>
  <si>
    <t>734247</t>
  </si>
  <si>
    <t>00328B328</t>
  </si>
  <si>
    <t>328B328</t>
  </si>
  <si>
    <t>000973</t>
  </si>
  <si>
    <t>00369R369</t>
  </si>
  <si>
    <t>369R369</t>
  </si>
  <si>
    <t>000233</t>
  </si>
  <si>
    <t>00123U123</t>
  </si>
  <si>
    <t>123U123</t>
  </si>
  <si>
    <t>005887</t>
  </si>
  <si>
    <t>00831F831</t>
  </si>
  <si>
    <t>831F831</t>
  </si>
  <si>
    <t>000040</t>
  </si>
  <si>
    <t>49536U645</t>
  </si>
  <si>
    <t>000052</t>
  </si>
  <si>
    <t>25495E952</t>
  </si>
  <si>
    <t>000005</t>
  </si>
  <si>
    <t>79617X617</t>
  </si>
  <si>
    <t>005195</t>
  </si>
  <si>
    <t>0000005X5</t>
  </si>
  <si>
    <t>5X5</t>
  </si>
  <si>
    <t>000622</t>
  </si>
  <si>
    <t>0000002R2</t>
  </si>
  <si>
    <t>2R2</t>
  </si>
  <si>
    <t>32994K434</t>
  </si>
  <si>
    <t>007420</t>
  </si>
  <si>
    <t>08949G949</t>
  </si>
  <si>
    <t>8949G949</t>
  </si>
  <si>
    <t>000001</t>
  </si>
  <si>
    <t>000094R94</t>
  </si>
  <si>
    <t>94R94</t>
  </si>
  <si>
    <t>000219</t>
  </si>
  <si>
    <t>61835A510</t>
  </si>
  <si>
    <t>822353</t>
  </si>
  <si>
    <t>000085R85</t>
  </si>
  <si>
    <t>85R85</t>
  </si>
  <si>
    <t>004717</t>
  </si>
  <si>
    <t>39001M016</t>
  </si>
  <si>
    <t>528581</t>
  </si>
  <si>
    <t>20484X849</t>
  </si>
  <si>
    <t>171110</t>
  </si>
  <si>
    <t>63748J488</t>
  </si>
  <si>
    <t>69630H014</t>
  </si>
  <si>
    <t>000063</t>
  </si>
  <si>
    <t>0000002F2</t>
  </si>
  <si>
    <t>2F2</t>
  </si>
  <si>
    <t>9800118</t>
  </si>
  <si>
    <t>0000002X2</t>
  </si>
  <si>
    <t>2X2</t>
  </si>
  <si>
    <t>8304469</t>
  </si>
  <si>
    <t>000052U52</t>
  </si>
  <si>
    <t>52U52</t>
  </si>
  <si>
    <t>219949</t>
  </si>
  <si>
    <t>07172D172</t>
  </si>
  <si>
    <t>7172D172</t>
  </si>
  <si>
    <t>04416T416</t>
  </si>
  <si>
    <t>4416T416</t>
  </si>
  <si>
    <t>1218669</t>
  </si>
  <si>
    <t>93257F576</t>
  </si>
  <si>
    <t>685622</t>
  </si>
  <si>
    <t>09381J381</t>
  </si>
  <si>
    <t>9381J381</t>
  </si>
  <si>
    <t>000021</t>
  </si>
  <si>
    <t>000029Y29</t>
  </si>
  <si>
    <t>29Y29</t>
  </si>
  <si>
    <t>007172</t>
  </si>
  <si>
    <t>97755C556</t>
  </si>
  <si>
    <t>04784D784</t>
  </si>
  <si>
    <t>4784D784</t>
  </si>
  <si>
    <t>000003</t>
  </si>
  <si>
    <t>000070T70</t>
  </si>
  <si>
    <t>70T70</t>
  </si>
  <si>
    <t>907961</t>
  </si>
  <si>
    <t>00618O618</t>
  </si>
  <si>
    <t>618O618</t>
  </si>
  <si>
    <t>00814T814</t>
  </si>
  <si>
    <t>814T814</t>
  </si>
  <si>
    <t>385735</t>
  </si>
  <si>
    <t>52014Q014</t>
  </si>
  <si>
    <t>000979</t>
  </si>
  <si>
    <t>000014O14</t>
  </si>
  <si>
    <t>14O14</t>
  </si>
  <si>
    <t>063478</t>
  </si>
  <si>
    <t>00476W476</t>
  </si>
  <si>
    <t>476W476</t>
  </si>
  <si>
    <t>9345847</t>
  </si>
  <si>
    <t>00681H681</t>
  </si>
  <si>
    <t>681H681</t>
  </si>
  <si>
    <t>000710</t>
  </si>
  <si>
    <t>0000003T3</t>
  </si>
  <si>
    <t>3T3</t>
  </si>
  <si>
    <t>000081</t>
  </si>
  <si>
    <t>38130Y085</t>
  </si>
  <si>
    <t>2714087</t>
  </si>
  <si>
    <t>0000008X8</t>
  </si>
  <si>
    <t>8X8</t>
  </si>
  <si>
    <t>006332</t>
  </si>
  <si>
    <t>0000002Y2</t>
  </si>
  <si>
    <t>2Y2</t>
  </si>
  <si>
    <t>071400</t>
  </si>
  <si>
    <t>000018K18</t>
  </si>
  <si>
    <t>18K18</t>
  </si>
  <si>
    <t>000057</t>
  </si>
  <si>
    <t>00925L925</t>
  </si>
  <si>
    <t>925L925</t>
  </si>
  <si>
    <t>557075</t>
  </si>
  <si>
    <t>000070N70</t>
  </si>
  <si>
    <t>70N70</t>
  </si>
  <si>
    <t>000008</t>
  </si>
  <si>
    <t>00433D433</t>
  </si>
  <si>
    <t>433D433</t>
  </si>
  <si>
    <t>000039</t>
  </si>
  <si>
    <t>40084X841</t>
  </si>
  <si>
    <t>000026</t>
  </si>
  <si>
    <t>000053E53</t>
  </si>
  <si>
    <t>53E53</t>
  </si>
  <si>
    <t>079617</t>
  </si>
  <si>
    <t>000053R53</t>
  </si>
  <si>
    <t>53R53</t>
  </si>
  <si>
    <t>000433</t>
  </si>
  <si>
    <t>0000005D5</t>
  </si>
  <si>
    <t>5D5</t>
  </si>
  <si>
    <t>074298</t>
  </si>
  <si>
    <t>94809W936</t>
  </si>
  <si>
    <t>009230</t>
  </si>
  <si>
    <t>09256R256</t>
  </si>
  <si>
    <t>9256R256</t>
  </si>
  <si>
    <t>1411015</t>
  </si>
  <si>
    <t>000068K68</t>
  </si>
  <si>
    <t>68K68</t>
  </si>
  <si>
    <t>85455G455</t>
  </si>
  <si>
    <t>005384</t>
  </si>
  <si>
    <t>63478E478</t>
  </si>
  <si>
    <t>000009</t>
  </si>
  <si>
    <t>68562A622</t>
  </si>
  <si>
    <t>000019I19</t>
  </si>
  <si>
    <t>19I19</t>
  </si>
  <si>
    <t>005104</t>
  </si>
  <si>
    <t>000068D68</t>
  </si>
  <si>
    <t>68D68</t>
  </si>
  <si>
    <t>000334</t>
  </si>
  <si>
    <t>07557W557</t>
  </si>
  <si>
    <t>7557W557</t>
  </si>
  <si>
    <t>038838</t>
  </si>
  <si>
    <t>06317H317</t>
  </si>
  <si>
    <t>6317H317</t>
  </si>
  <si>
    <t>086729</t>
  </si>
  <si>
    <t>26377X377</t>
  </si>
  <si>
    <t>977556</t>
  </si>
  <si>
    <t>11447U762</t>
  </si>
  <si>
    <t>094676</t>
  </si>
  <si>
    <t>44613Y613</t>
  </si>
  <si>
    <t>009990</t>
  </si>
  <si>
    <t>19516W676</t>
  </si>
  <si>
    <t>00979V979</t>
  </si>
  <si>
    <t>979V979</t>
  </si>
  <si>
    <t>3813465</t>
  </si>
  <si>
    <t>001634</t>
  </si>
  <si>
    <t>71400G400</t>
  </si>
  <si>
    <t>000255</t>
  </si>
  <si>
    <t>35990U904</t>
  </si>
  <si>
    <t>00382D382</t>
  </si>
  <si>
    <t>382D382</t>
  </si>
  <si>
    <t>000070W70</t>
  </si>
  <si>
    <t>70W70</t>
  </si>
  <si>
    <t>1144762</t>
  </si>
  <si>
    <t>0000007E7</t>
  </si>
  <si>
    <t>7E7</t>
  </si>
  <si>
    <t>046140</t>
  </si>
  <si>
    <t>79605H605</t>
  </si>
  <si>
    <t>000698</t>
  </si>
  <si>
    <t>031037</t>
  </si>
  <si>
    <t>98001D118</t>
  </si>
  <si>
    <t>003485</t>
  </si>
  <si>
    <t>00758E758</t>
  </si>
  <si>
    <t>758E758</t>
  </si>
  <si>
    <t>066938</t>
  </si>
  <si>
    <t>83044E469</t>
  </si>
  <si>
    <t>000262</t>
  </si>
  <si>
    <t>18422B422</t>
  </si>
  <si>
    <t>000014</t>
  </si>
  <si>
    <t>98030C306</t>
  </si>
  <si>
    <t>000098S98</t>
  </si>
  <si>
    <t>98S98</t>
  </si>
  <si>
    <t>7266974</t>
  </si>
  <si>
    <t>00262D262</t>
  </si>
  <si>
    <t>262D262</t>
  </si>
  <si>
    <t>002806</t>
  </si>
  <si>
    <t>000089B89</t>
  </si>
  <si>
    <t>89B89</t>
  </si>
  <si>
    <t>004416</t>
  </si>
  <si>
    <t>000028J28</t>
  </si>
  <si>
    <t>28J28</t>
  </si>
  <si>
    <t>5559490</t>
  </si>
  <si>
    <t>55594U490</t>
  </si>
  <si>
    <t>00655A655</t>
  </si>
  <si>
    <t>655A655</t>
  </si>
  <si>
    <t>000345</t>
  </si>
  <si>
    <t>38573C735</t>
  </si>
  <si>
    <t>079605</t>
  </si>
  <si>
    <t>00672J672</t>
  </si>
  <si>
    <t>672J672</t>
  </si>
  <si>
    <t>499409</t>
  </si>
  <si>
    <t>00255E255</t>
  </si>
  <si>
    <t>255E255</t>
  </si>
  <si>
    <t>57597W972</t>
  </si>
  <si>
    <t>99569J695</t>
  </si>
  <si>
    <t>000831</t>
  </si>
  <si>
    <t>79364B646</t>
  </si>
  <si>
    <t>008949</t>
  </si>
  <si>
    <t>03836K836</t>
  </si>
  <si>
    <t>3836K836</t>
  </si>
  <si>
    <t>3777615</t>
  </si>
  <si>
    <t>01634W634</t>
  </si>
  <si>
    <t>1634W634</t>
  </si>
  <si>
    <t>000099G99</t>
  </si>
  <si>
    <t>99G99</t>
  </si>
  <si>
    <t>000167</t>
  </si>
  <si>
    <t>00572U572</t>
  </si>
  <si>
    <t>572U572</t>
  </si>
  <si>
    <t>000053</t>
  </si>
  <si>
    <t>01446Q446</t>
  </si>
  <si>
    <t>1446Q446</t>
  </si>
  <si>
    <t>000035</t>
  </si>
  <si>
    <t>05384T384</t>
  </si>
  <si>
    <t>5384T384</t>
  </si>
  <si>
    <t>6899982</t>
  </si>
  <si>
    <t>07420W420</t>
  </si>
  <si>
    <t>7420W420</t>
  </si>
  <si>
    <t>414703</t>
  </si>
  <si>
    <t>0000007U7</t>
  </si>
  <si>
    <t>7U7</t>
  </si>
  <si>
    <t>000672</t>
  </si>
  <si>
    <t>21994S949</t>
  </si>
  <si>
    <t>145049</t>
  </si>
  <si>
    <t>02026G026</t>
  </si>
  <si>
    <t>2026G026</t>
  </si>
  <si>
    <t>50641H417</t>
  </si>
  <si>
    <t>000048</t>
  </si>
  <si>
    <t>80115T151</t>
  </si>
  <si>
    <t>000925</t>
  </si>
  <si>
    <t>12186W669</t>
  </si>
  <si>
    <t>002573</t>
  </si>
  <si>
    <t>000087C87</t>
  </si>
  <si>
    <t>87C87</t>
  </si>
  <si>
    <t>298712</t>
  </si>
  <si>
    <t>0000008D8</t>
  </si>
  <si>
    <t>8D8</t>
  </si>
  <si>
    <t>46140J140</t>
  </si>
  <si>
    <t>41470U703</t>
  </si>
  <si>
    <t>000302</t>
  </si>
  <si>
    <t>000090J90</t>
  </si>
  <si>
    <t>90J90</t>
  </si>
  <si>
    <t>001496</t>
  </si>
  <si>
    <t>0000003Z3</t>
  </si>
  <si>
    <t>3Z3</t>
  </si>
  <si>
    <t>02806R806</t>
  </si>
  <si>
    <t>2806R806</t>
  </si>
  <si>
    <t>980306</t>
  </si>
  <si>
    <t>87971U713</t>
  </si>
  <si>
    <t>000051</t>
  </si>
  <si>
    <t>000054J54</t>
  </si>
  <si>
    <t>54J54</t>
  </si>
  <si>
    <t>575972</t>
  </si>
  <si>
    <t>04446D446</t>
  </si>
  <si>
    <t>4446D446</t>
  </si>
  <si>
    <t>38134D465</t>
  </si>
  <si>
    <t>000409</t>
  </si>
  <si>
    <t>000026B26</t>
  </si>
  <si>
    <t>26B26</t>
  </si>
  <si>
    <t>3342507</t>
  </si>
  <si>
    <t>000035K35</t>
  </si>
  <si>
    <t>35K35</t>
  </si>
  <si>
    <t>000111</t>
  </si>
  <si>
    <t>88129J296</t>
  </si>
  <si>
    <t>3299434</t>
  </si>
  <si>
    <t>00345Y345</t>
  </si>
  <si>
    <t>345Y345</t>
  </si>
  <si>
    <t>019566</t>
  </si>
  <si>
    <t>00167W167</t>
  </si>
  <si>
    <t>167W167</t>
  </si>
  <si>
    <t>004503</t>
  </si>
  <si>
    <t>00698Y698</t>
  </si>
  <si>
    <t>698Y698</t>
  </si>
  <si>
    <t>000369</t>
  </si>
  <si>
    <t>000021X21</t>
  </si>
  <si>
    <t>21X21</t>
  </si>
  <si>
    <t>0000003P3</t>
  </si>
  <si>
    <t>3P3</t>
  </si>
  <si>
    <t>000758</t>
  </si>
  <si>
    <t>28330Y054</t>
  </si>
  <si>
    <t>075529</t>
  </si>
  <si>
    <t>0000003C3</t>
  </si>
  <si>
    <t>3C3</t>
  </si>
  <si>
    <t>052014</t>
  </si>
  <si>
    <t>02320Z320</t>
  </si>
  <si>
    <t>2320Z320</t>
  </si>
  <si>
    <t>1951676</t>
  </si>
  <si>
    <t>0000009U9</t>
  </si>
  <si>
    <t>9U9</t>
  </si>
  <si>
    <t>6183510</t>
  </si>
  <si>
    <t>00269P269</t>
  </si>
  <si>
    <t>269P269</t>
  </si>
  <si>
    <t>000098</t>
  </si>
  <si>
    <t>00409O409</t>
  </si>
  <si>
    <t>409O409</t>
  </si>
  <si>
    <t>186541</t>
  </si>
  <si>
    <t>52858K581</t>
  </si>
  <si>
    <t>204849</t>
  </si>
  <si>
    <t>09990G990</t>
  </si>
  <si>
    <t>9990G990</t>
  </si>
  <si>
    <t>002320</t>
  </si>
  <si>
    <t>01362Z362</t>
  </si>
  <si>
    <t>1362Z362</t>
  </si>
  <si>
    <t>1815961</t>
  </si>
  <si>
    <t>00234R234</t>
  </si>
  <si>
    <t>234R234</t>
  </si>
  <si>
    <t>84542X542</t>
  </si>
  <si>
    <t>000663</t>
  </si>
  <si>
    <t>94676F676</t>
  </si>
  <si>
    <t>000069</t>
  </si>
  <si>
    <t>19095J950</t>
  </si>
  <si>
    <t>000560</t>
  </si>
  <si>
    <t>00663C663</t>
  </si>
  <si>
    <t>663C663</t>
  </si>
  <si>
    <t>95579X579</t>
  </si>
  <si>
    <t>000085</t>
  </si>
  <si>
    <t>61555R580</t>
  </si>
  <si>
    <t>01411F411</t>
  </si>
  <si>
    <t>1411F411</t>
  </si>
  <si>
    <t>95741C191</t>
  </si>
  <si>
    <t>9426181</t>
  </si>
  <si>
    <t>50505H584</t>
  </si>
  <si>
    <t>000099</t>
  </si>
  <si>
    <t>000040J40</t>
  </si>
  <si>
    <t>40J40</t>
  </si>
  <si>
    <t>006317</t>
  </si>
  <si>
    <t>04098V098</t>
  </si>
  <si>
    <t>4098V098</t>
  </si>
  <si>
    <t>000090</t>
  </si>
  <si>
    <t>658256</t>
  </si>
  <si>
    <t>000057H57</t>
  </si>
  <si>
    <t>57H57</t>
  </si>
  <si>
    <t>000480</t>
  </si>
  <si>
    <t>06332Y332</t>
  </si>
  <si>
    <t>6332Y332</t>
  </si>
  <si>
    <t>018422</t>
  </si>
  <si>
    <t>71719I191</t>
  </si>
  <si>
    <t>000366</t>
  </si>
  <si>
    <t>19566M566</t>
  </si>
  <si>
    <t>00210W210</t>
  </si>
  <si>
    <t>210W210</t>
  </si>
  <si>
    <t>003313</t>
  </si>
  <si>
    <t>96586O586</t>
  </si>
  <si>
    <t>456152</t>
  </si>
  <si>
    <t>29871K712</t>
  </si>
  <si>
    <t>932576</t>
  </si>
  <si>
    <t>66938X938</t>
  </si>
  <si>
    <t>6155580</t>
  </si>
  <si>
    <t>03313E313</t>
  </si>
  <si>
    <t>3313E313</t>
  </si>
  <si>
    <t>801151</t>
  </si>
  <si>
    <t>10292T925</t>
  </si>
  <si>
    <t>879713</t>
  </si>
  <si>
    <t>27140T087</t>
  </si>
  <si>
    <t>000773</t>
  </si>
  <si>
    <t>05887I887</t>
  </si>
  <si>
    <t>5887I887</t>
  </si>
  <si>
    <t>000029</t>
  </si>
  <si>
    <t>00883X883</t>
  </si>
  <si>
    <t>883X883</t>
  </si>
  <si>
    <t>506417</t>
  </si>
  <si>
    <t>00560E560</t>
  </si>
  <si>
    <t>560E560</t>
  </si>
  <si>
    <t>043490</t>
  </si>
  <si>
    <t>99838L898</t>
  </si>
  <si>
    <t>084542</t>
  </si>
  <si>
    <t>42226E267</t>
  </si>
  <si>
    <t>000087</t>
  </si>
  <si>
    <t>000023T23</t>
  </si>
  <si>
    <t>23T23</t>
  </si>
  <si>
    <t>409113</t>
  </si>
  <si>
    <t>04717M717</t>
  </si>
  <si>
    <t>4717M717</t>
  </si>
  <si>
    <t>085455</t>
  </si>
  <si>
    <t>74298E298</t>
  </si>
  <si>
    <t>102925</t>
  </si>
  <si>
    <t>09351C351</t>
  </si>
  <si>
    <t>9351C351</t>
  </si>
  <si>
    <t>000068</t>
  </si>
  <si>
    <t>03247E247</t>
  </si>
  <si>
    <t>3247E247</t>
  </si>
  <si>
    <t>000476</t>
  </si>
  <si>
    <t>15539D396</t>
  </si>
  <si>
    <t>254952</t>
  </si>
  <si>
    <t>12250H250</t>
  </si>
  <si>
    <t>000657</t>
  </si>
  <si>
    <t>44122T220</t>
  </si>
  <si>
    <t>000092</t>
  </si>
  <si>
    <t>16259R259</t>
  </si>
  <si>
    <t>000004</t>
  </si>
  <si>
    <t>19343P343</t>
  </si>
  <si>
    <t>000032Q32</t>
  </si>
  <si>
    <t>32Q32</t>
  </si>
  <si>
    <t>000043E43</t>
  </si>
  <si>
    <t>43E43</t>
  </si>
  <si>
    <t>6963014</t>
  </si>
  <si>
    <t>00618M618</t>
  </si>
  <si>
    <t>618M618</t>
  </si>
  <si>
    <t>000089</t>
  </si>
  <si>
    <t>000014E14</t>
  </si>
  <si>
    <t>14E14</t>
  </si>
  <si>
    <t>000027</t>
  </si>
  <si>
    <t>0000005Y5</t>
  </si>
  <si>
    <t>5Y5</t>
  </si>
  <si>
    <t>7452661</t>
  </si>
  <si>
    <t>82235J353</t>
  </si>
  <si>
    <t>000155</t>
  </si>
  <si>
    <t>82238E383</t>
  </si>
  <si>
    <t>000234</t>
  </si>
  <si>
    <t>00219O219</t>
  </si>
  <si>
    <t>219O219</t>
  </si>
  <si>
    <t>007017</t>
  </si>
  <si>
    <t>00233K233</t>
  </si>
  <si>
    <t>233K233</t>
  </si>
  <si>
    <t>009665</t>
  </si>
  <si>
    <t>18159S961</t>
  </si>
  <si>
    <t>000023</t>
  </si>
  <si>
    <t>05195T195</t>
  </si>
  <si>
    <t>5195T195</t>
  </si>
  <si>
    <t>359904</t>
  </si>
  <si>
    <t>90727T778</t>
  </si>
  <si>
    <t>637488</t>
  </si>
  <si>
    <t>60939D399</t>
  </si>
  <si>
    <t>3813085</t>
  </si>
  <si>
    <t>0000002O2</t>
  </si>
  <si>
    <t>2O2</t>
  </si>
  <si>
    <t>012250</t>
  </si>
  <si>
    <t>17111M110</t>
  </si>
  <si>
    <t>000328</t>
  </si>
  <si>
    <t>68999I982</t>
  </si>
  <si>
    <t>095579</t>
  </si>
  <si>
    <t>37776T615</t>
  </si>
  <si>
    <t>63044T044</t>
  </si>
  <si>
    <t>047006</t>
  </si>
  <si>
    <t>94261Y181</t>
  </si>
  <si>
    <t>067641</t>
  </si>
  <si>
    <t>00622C622</t>
  </si>
  <si>
    <t>622C622</t>
  </si>
  <si>
    <t>054531</t>
  </si>
  <si>
    <t>65825Y256</t>
  </si>
  <si>
    <t>000021S21</t>
  </si>
  <si>
    <t>21S21</t>
  </si>
  <si>
    <t>000964</t>
  </si>
  <si>
    <t>000048W48</t>
  </si>
  <si>
    <t>48W48</t>
  </si>
  <si>
    <t>000043</t>
  </si>
  <si>
    <t>0000008Y8</t>
  </si>
  <si>
    <t>8Y8</t>
  </si>
  <si>
    <t>0000009C9</t>
  </si>
  <si>
    <t>9C9</t>
  </si>
  <si>
    <t>717191</t>
  </si>
  <si>
    <t>0000003J3</t>
  </si>
  <si>
    <t>3J3</t>
  </si>
  <si>
    <t>4953645</t>
  </si>
  <si>
    <t>00111M111</t>
  </si>
  <si>
    <t>111M111</t>
  </si>
  <si>
    <t>009381</t>
  </si>
  <si>
    <t>86729X729</t>
  </si>
  <si>
    <t>019343</t>
  </si>
  <si>
    <t>75757H757</t>
  </si>
  <si>
    <t>000618</t>
  </si>
  <si>
    <t>31037H037</t>
  </si>
  <si>
    <t>000210</t>
  </si>
  <si>
    <t>00334H334</t>
  </si>
  <si>
    <t>334H334</t>
  </si>
  <si>
    <t>9983898</t>
  </si>
  <si>
    <t>90796S961</t>
  </si>
  <si>
    <t>390016</t>
  </si>
  <si>
    <t>00629N629</t>
  </si>
  <si>
    <t>629N629</t>
  </si>
  <si>
    <t>003836</t>
  </si>
  <si>
    <t>000063R63</t>
  </si>
  <si>
    <t>63R63</t>
  </si>
  <si>
    <t>000019</t>
  </si>
  <si>
    <t>54531T531</t>
  </si>
  <si>
    <t>995695</t>
  </si>
  <si>
    <t>05989Y989</t>
  </si>
  <si>
    <t>5989Y989</t>
  </si>
  <si>
    <t>0000003R3</t>
  </si>
  <si>
    <t>3R3</t>
  </si>
  <si>
    <t>005989</t>
  </si>
  <si>
    <t>75529S529</t>
  </si>
  <si>
    <t>9072778</t>
  </si>
  <si>
    <t>000039H39</t>
  </si>
  <si>
    <t>39H39</t>
  </si>
  <si>
    <t>9574191</t>
  </si>
  <si>
    <t>00710R710</t>
  </si>
  <si>
    <t>710R710</t>
  </si>
  <si>
    <t>877584</t>
  </si>
  <si>
    <t>00362G362</t>
  </si>
  <si>
    <t>362G362</t>
  </si>
  <si>
    <t>000729</t>
  </si>
  <si>
    <t>00729W729</t>
  </si>
  <si>
    <t>729W729</t>
  </si>
  <si>
    <t>000269</t>
  </si>
  <si>
    <t>14110F015</t>
  </si>
  <si>
    <t>000054C54</t>
  </si>
  <si>
    <t>54C54</t>
  </si>
  <si>
    <t>645008</t>
  </si>
  <si>
    <t>49940B409</t>
  </si>
  <si>
    <t>899819</t>
  </si>
  <si>
    <t>05104Y104</t>
  </si>
  <si>
    <t>5104Y104</t>
  </si>
  <si>
    <t>000131</t>
  </si>
  <si>
    <t>000069V69</t>
  </si>
  <si>
    <t>69V69</t>
  </si>
  <si>
    <t>00959Y959</t>
  </si>
  <si>
    <t>959Y959</t>
  </si>
  <si>
    <t>000629</t>
  </si>
  <si>
    <t>04264R264</t>
  </si>
  <si>
    <t>4264R264</t>
  </si>
  <si>
    <t>00366X366</t>
  </si>
  <si>
    <t>366X366</t>
  </si>
  <si>
    <t>000726</t>
  </si>
  <si>
    <t>000027X27</t>
  </si>
  <si>
    <t>27X27</t>
  </si>
  <si>
    <t>013891</t>
  </si>
  <si>
    <t>09230R230</t>
  </si>
  <si>
    <t>9230R230</t>
  </si>
  <si>
    <t>687729</t>
  </si>
  <si>
    <t>18654D541</t>
  </si>
  <si>
    <t>001446</t>
  </si>
  <si>
    <t>000028P28</t>
  </si>
  <si>
    <t>28P28</t>
  </si>
  <si>
    <t>9480936</t>
  </si>
  <si>
    <t>00155E155</t>
  </si>
  <si>
    <t>155E155</t>
  </si>
  <si>
    <t>000655</t>
  </si>
  <si>
    <t>22832E832</t>
  </si>
  <si>
    <t>000006</t>
  </si>
  <si>
    <t>000032J32</t>
  </si>
  <si>
    <t>32J32</t>
  </si>
  <si>
    <t>000382</t>
  </si>
  <si>
    <t>99379W799</t>
  </si>
  <si>
    <t>000814</t>
  </si>
  <si>
    <t>00243F243</t>
  </si>
  <si>
    <t>243F243</t>
  </si>
  <si>
    <t>001362</t>
  </si>
  <si>
    <t>0000009D9</t>
  </si>
  <si>
    <t>9D9</t>
  </si>
  <si>
    <t>43490B490</t>
  </si>
  <si>
    <t>000883</t>
  </si>
  <si>
    <t>73424L247</t>
  </si>
  <si>
    <t>009351</t>
  </si>
  <si>
    <t>000051E51</t>
  </si>
  <si>
    <t>51E51</t>
  </si>
  <si>
    <t>004098</t>
  </si>
  <si>
    <t>03485B485</t>
  </si>
  <si>
    <t>3485B485</t>
  </si>
  <si>
    <t>003247</t>
  </si>
  <si>
    <t>93458D847</t>
  </si>
  <si>
    <t>004784</t>
  </si>
  <si>
    <t>04503N503</t>
  </si>
  <si>
    <t>4503N503</t>
  </si>
  <si>
    <t>016259</t>
  </si>
  <si>
    <t>45615R152</t>
  </si>
  <si>
    <t>001411</t>
  </si>
  <si>
    <t>47006F006</t>
  </si>
  <si>
    <t>13891E891</t>
  </si>
  <si>
    <t>044613</t>
  </si>
  <si>
    <t>00302U302</t>
  </si>
  <si>
    <t>302U302</t>
  </si>
  <si>
    <t>002026</t>
  </si>
  <si>
    <t>000A348U8</t>
  </si>
  <si>
    <t>A348U8</t>
  </si>
  <si>
    <t>075757</t>
  </si>
  <si>
    <t>9 Character</t>
  </si>
  <si>
    <t>Code #</t>
  </si>
  <si>
    <t>ID #</t>
  </si>
  <si>
    <t>ZipCode</t>
  </si>
  <si>
    <t>Text Functions</t>
  </si>
  <si>
    <t>Formats a number as text with a fixed number of decimals</t>
  </si>
  <si>
    <t>FIXED</t>
  </si>
  <si>
    <t>Converts a number to text, using the $ (dollar) currency format</t>
  </si>
  <si>
    <t>DOLLAR</t>
  </si>
  <si>
    <t>Joins several text items into one text item</t>
  </si>
  <si>
    <t>CONCATENATE</t>
  </si>
  <si>
    <t>Removes spaces from text</t>
  </si>
  <si>
    <t>TRIM</t>
  </si>
  <si>
    <t>Removes all nonprintable characters from text</t>
  </si>
  <si>
    <t>CLEAN</t>
  </si>
  <si>
    <t>9f9h302</t>
  </si>
  <si>
    <t>Converts a text argument to a number</t>
  </si>
  <si>
    <t>VALUE</t>
  </si>
  <si>
    <t>9c0k904</t>
  </si>
  <si>
    <t>HARVEY, HARLON</t>
  </si>
  <si>
    <t>Formats a number and converts it to text</t>
  </si>
  <si>
    <t>TEXT</t>
  </si>
  <si>
    <t>8k0y194</t>
  </si>
  <si>
    <t>Harvey, Harlon</t>
  </si>
  <si>
    <t>NICHOLS, DON</t>
  </si>
  <si>
    <t>Returns the number of characters in a text string</t>
  </si>
  <si>
    <t>LEN</t>
  </si>
  <si>
    <t>6v4m198</t>
  </si>
  <si>
    <t>Nichols, Don</t>
  </si>
  <si>
    <t>KONOPKA, ROBERT</t>
  </si>
  <si>
    <t>5y6r666</t>
  </si>
  <si>
    <t>Konopka, Robert</t>
  </si>
  <si>
    <t>WAGNER, MAX</t>
  </si>
  <si>
    <t>Checks to see if two text values are identical</t>
  </si>
  <si>
    <t>EXACT</t>
  </si>
  <si>
    <t>5y6d919</t>
  </si>
  <si>
    <t>Wagner, Max</t>
  </si>
  <si>
    <t>PRIEM, GEORGE</t>
  </si>
  <si>
    <t>Finds one text value within another (not case-sensitive)</t>
  </si>
  <si>
    <t>SEARCH</t>
  </si>
  <si>
    <t>5t6r665</t>
  </si>
  <si>
    <t>Porter, George</t>
  </si>
  <si>
    <t>WATANUKI, CATHY</t>
  </si>
  <si>
    <t>Finds one text value within another (case-sensitive)</t>
  </si>
  <si>
    <t>FIND</t>
  </si>
  <si>
    <t>5j6r662</t>
  </si>
  <si>
    <t xml:space="preserve">  Watanuki, Cathy</t>
  </si>
  <si>
    <t>PEREZ, BARNEY</t>
  </si>
  <si>
    <t>5i6r664</t>
  </si>
  <si>
    <t>Perez, Barney</t>
  </si>
  <si>
    <t>CHAMBERS, KAREN</t>
  </si>
  <si>
    <t>Returns the rightmost characters from a text value</t>
  </si>
  <si>
    <t>RIGHT</t>
  </si>
  <si>
    <t>5c6r663</t>
  </si>
  <si>
    <t>Chambers, Karen</t>
  </si>
  <si>
    <t>EATON, JEFFREY</t>
  </si>
  <si>
    <t>Returns a specific number of characters from a text string starting at the position you specify</t>
  </si>
  <si>
    <t>MID</t>
  </si>
  <si>
    <t>4i2w316</t>
  </si>
  <si>
    <t xml:space="preserve">Eaton, Jeffrey </t>
  </si>
  <si>
    <t>TIDWELL, LIESL</t>
  </si>
  <si>
    <t>Returns the leftmost characters from a text value</t>
  </si>
  <si>
    <t>LEFT</t>
  </si>
  <si>
    <t>3w5y443</t>
  </si>
  <si>
    <t xml:space="preserve">  Tidwell, Liesl</t>
  </si>
  <si>
    <t>FITZGERALD, JACKIE</t>
  </si>
  <si>
    <t>3v6f140</t>
  </si>
  <si>
    <t>Muti, Riccardo</t>
  </si>
  <si>
    <t>LONG, RYAN</t>
  </si>
  <si>
    <t>Repeats text a given number of times</t>
  </si>
  <si>
    <t>REPT</t>
  </si>
  <si>
    <t>3u5y447</t>
  </si>
  <si>
    <t>Fitzgerald,   Jackie</t>
  </si>
  <si>
    <t>HENDRICKS, ERIC</t>
  </si>
  <si>
    <t>Substitutes new text for old text in a text string, based on specific location</t>
  </si>
  <si>
    <t>SUBSTITUTE</t>
  </si>
  <si>
    <t>3j5y446</t>
  </si>
  <si>
    <t>Long, Ryan</t>
  </si>
  <si>
    <t>FIER, MARILYN</t>
  </si>
  <si>
    <t>Replaces characters within text without regard to location</t>
  </si>
  <si>
    <t>REPLACE</t>
  </si>
  <si>
    <t>3g7r230</t>
  </si>
  <si>
    <t>Björling, Jussi</t>
  </si>
  <si>
    <t>HANSEN, SHEILA</t>
  </si>
  <si>
    <t>3g6w702</t>
  </si>
  <si>
    <t>Morris, Mark</t>
  </si>
  <si>
    <t>BAKER, MARK</t>
  </si>
  <si>
    <t>Converts text to uppercase</t>
  </si>
  <si>
    <t>UPPER</t>
  </si>
  <si>
    <t>3b5y445</t>
  </si>
  <si>
    <t>Fier, Marilyn</t>
  </si>
  <si>
    <t>MCDONALD, MARK</t>
  </si>
  <si>
    <t>Capitalizes the first letter in each word of a text value</t>
  </si>
  <si>
    <t>PROPER</t>
  </si>
  <si>
    <t>3a5y444</t>
  </si>
  <si>
    <t xml:space="preserve">  Hansen, Sheila</t>
  </si>
  <si>
    <t>CARSON, BOB</t>
  </si>
  <si>
    <t>Converts text to lowercase</t>
  </si>
  <si>
    <t>LOWER</t>
  </si>
  <si>
    <t>2w7s145</t>
  </si>
  <si>
    <t>Baker,   Mark</t>
  </si>
  <si>
    <t>O'BRIEN, DONNA</t>
  </si>
  <si>
    <t>Selected Text Functions</t>
  </si>
  <si>
    <t>Part #</t>
  </si>
  <si>
    <t>Name</t>
  </si>
  <si>
    <t>Williamson, Sumedha</t>
  </si>
  <si>
    <t>Richardson, Deborah</t>
  </si>
  <si>
    <t>Holloway, Christopher</t>
  </si>
  <si>
    <t>Garrison, Christopher</t>
  </si>
  <si>
    <t>Stephenson, Matthew</t>
  </si>
  <si>
    <t>McKinney, Christofer</t>
  </si>
  <si>
    <t>Woodward, Timothy</t>
  </si>
  <si>
    <t>Moreno, Christopher</t>
  </si>
  <si>
    <t>Montgomery, Christopher</t>
  </si>
  <si>
    <t>Garrett, Christopher</t>
  </si>
  <si>
    <t>Anderson, Terry</t>
  </si>
  <si>
    <t>Missing Data</t>
  </si>
  <si>
    <t>Concatenate</t>
  </si>
  <si>
    <t>Harlon</t>
  </si>
  <si>
    <t>Harvey</t>
  </si>
  <si>
    <t>H</t>
  </si>
  <si>
    <t>Don</t>
  </si>
  <si>
    <t>Nichols</t>
  </si>
  <si>
    <t>Robert</t>
  </si>
  <si>
    <t>Konopka</t>
  </si>
  <si>
    <t>Max</t>
  </si>
  <si>
    <t>Wagner</t>
  </si>
  <si>
    <t>F</t>
  </si>
  <si>
    <t>George</t>
  </si>
  <si>
    <t>Porter</t>
  </si>
  <si>
    <t>Cathy</t>
  </si>
  <si>
    <t>Watanuki</t>
  </si>
  <si>
    <t>E</t>
  </si>
  <si>
    <t>Barney</t>
  </si>
  <si>
    <t>Perez</t>
  </si>
  <si>
    <t>Karen</t>
  </si>
  <si>
    <t>Chambers</t>
  </si>
  <si>
    <t>W</t>
  </si>
  <si>
    <t>Jeffrey</t>
  </si>
  <si>
    <t>Eaton</t>
  </si>
  <si>
    <t>Riccardo</t>
  </si>
  <si>
    <t>Muti</t>
  </si>
  <si>
    <t>Jackie</t>
  </si>
  <si>
    <t>Fitzgerald</t>
  </si>
  <si>
    <t>S</t>
  </si>
  <si>
    <t>Ryan</t>
  </si>
  <si>
    <t>Long</t>
  </si>
  <si>
    <t>Jussi</t>
  </si>
  <si>
    <t>Björling</t>
  </si>
  <si>
    <t>K</t>
  </si>
  <si>
    <t>Mark</t>
  </si>
  <si>
    <t>Morris</t>
  </si>
  <si>
    <t>Marilyn</t>
  </si>
  <si>
    <t>Fier</t>
  </si>
  <si>
    <t>Ted</t>
  </si>
  <si>
    <t>O'Brien</t>
  </si>
  <si>
    <t>Sheila</t>
  </si>
  <si>
    <t>Hansen</t>
  </si>
  <si>
    <t>Total Price is: $1,408.50</t>
  </si>
  <si>
    <t>Baker</t>
  </si>
  <si>
    <t>Unit Price</t>
  </si>
  <si>
    <t>Middle Initial</t>
  </si>
  <si>
    <t>First Name</t>
  </si>
  <si>
    <t>Last Name</t>
  </si>
  <si>
    <t>Custom Lists</t>
  </si>
  <si>
    <t>Custom Filter</t>
  </si>
  <si>
    <t>67Z5207</t>
  </si>
  <si>
    <t>36B2365</t>
  </si>
  <si>
    <t>28D7234</t>
  </si>
  <si>
    <t>74V6741</t>
  </si>
  <si>
    <t>78U9559</t>
  </si>
  <si>
    <t>14Q3006</t>
  </si>
  <si>
    <t>40H2746</t>
  </si>
  <si>
    <t>91J6481</t>
  </si>
  <si>
    <t>69T2616</t>
  </si>
  <si>
    <t>15F2634</t>
  </si>
  <si>
    <t>77U5520</t>
  </si>
  <si>
    <t>69K9932</t>
  </si>
  <si>
    <t>31P4710</t>
  </si>
  <si>
    <t>71E5890</t>
  </si>
  <si>
    <t>54R7482</t>
  </si>
  <si>
    <t>29C1972</t>
  </si>
  <si>
    <t>36Z3583</t>
  </si>
  <si>
    <t>91A7392</t>
  </si>
  <si>
    <t>75H1824</t>
  </si>
  <si>
    <t>17N2351</t>
  </si>
  <si>
    <t>18W5520</t>
  </si>
  <si>
    <t>17W4369</t>
  </si>
  <si>
    <t>39L2155</t>
  </si>
  <si>
    <t>80E6744</t>
  </si>
  <si>
    <t>13R8698</t>
  </si>
  <si>
    <t>39W9801</t>
  </si>
  <si>
    <t>62Q7343</t>
  </si>
  <si>
    <t>56L7426</t>
  </si>
  <si>
    <t>59E3167</t>
  </si>
  <si>
    <t>57F9148</t>
  </si>
  <si>
    <t>65J5922</t>
  </si>
  <si>
    <t>92C0509</t>
  </si>
  <si>
    <t>36J2045</t>
  </si>
  <si>
    <t>98T9066</t>
  </si>
  <si>
    <t>73Y3261</t>
  </si>
  <si>
    <t>68G9754</t>
  </si>
  <si>
    <t>88K5184</t>
  </si>
  <si>
    <t>49P5658</t>
  </si>
  <si>
    <t>72M2364</t>
  </si>
  <si>
    <t>79G8189</t>
  </si>
  <si>
    <t>89H8041</t>
  </si>
  <si>
    <t>26X6666</t>
  </si>
  <si>
    <t>61A8951</t>
  </si>
  <si>
    <t>98X1411</t>
  </si>
  <si>
    <t>71U5406</t>
  </si>
  <si>
    <t>51F8315</t>
  </si>
  <si>
    <t>29N8177</t>
  </si>
  <si>
    <t>44S0152</t>
  </si>
  <si>
    <t>70B8583</t>
  </si>
  <si>
    <t>23M1504</t>
  </si>
  <si>
    <t>41V7921</t>
  </si>
  <si>
    <t>90Y9428</t>
  </si>
  <si>
    <t>36N7865</t>
  </si>
  <si>
    <t>59F0037</t>
  </si>
  <si>
    <t>38E0430</t>
  </si>
  <si>
    <t>88L4679</t>
  </si>
  <si>
    <t>77D0633</t>
  </si>
  <si>
    <t>50Y0018</t>
  </si>
  <si>
    <t>12Y4350</t>
  </si>
  <si>
    <t>74P9109</t>
  </si>
  <si>
    <t>39D5388</t>
  </si>
  <si>
    <t>62B0308</t>
  </si>
  <si>
    <t>56U1484</t>
  </si>
  <si>
    <t>24Q4921</t>
  </si>
  <si>
    <t>15P4749</t>
  </si>
  <si>
    <t>49V8509</t>
  </si>
  <si>
    <t>95V1295</t>
  </si>
  <si>
    <t>84Q5103</t>
  </si>
  <si>
    <t>12S4710</t>
  </si>
  <si>
    <t>99Z4676</t>
  </si>
  <si>
    <t>27X1115</t>
  </si>
  <si>
    <t>93K1158</t>
  </si>
  <si>
    <t>25G4350</t>
  </si>
  <si>
    <t>19T3599</t>
  </si>
  <si>
    <t>73T7560</t>
  </si>
  <si>
    <t>81K7629</t>
  </si>
  <si>
    <t>56A0114</t>
  </si>
  <si>
    <t>90R7204</t>
  </si>
  <si>
    <t>63J6107</t>
  </si>
  <si>
    <t>85S6731</t>
  </si>
  <si>
    <t>64L2995</t>
  </si>
  <si>
    <t>59R9420</t>
  </si>
  <si>
    <t>61W2844</t>
  </si>
  <si>
    <t>41G6550</t>
  </si>
  <si>
    <t>68H0268</t>
  </si>
  <si>
    <t>46M1126</t>
  </si>
  <si>
    <t>99Z5481</t>
  </si>
  <si>
    <t>64S6946</t>
  </si>
  <si>
    <t>12B9955</t>
  </si>
  <si>
    <t>88C8494</t>
  </si>
  <si>
    <t>28A8533</t>
  </si>
  <si>
    <t>23X7753</t>
  </si>
  <si>
    <t>68D5026</t>
  </si>
  <si>
    <t>35C4917</t>
  </si>
  <si>
    <t>67N4327</t>
  </si>
  <si>
    <t>32M1837</t>
  </si>
  <si>
    <t>82Z7929</t>
  </si>
  <si>
    <t>39B0230</t>
  </si>
  <si>
    <t>16D9216</t>
  </si>
  <si>
    <t>21V6125</t>
  </si>
  <si>
    <t>54U0340</t>
  </si>
  <si>
    <t>42Q2409</t>
  </si>
  <si>
    <t>76H9830</t>
  </si>
  <si>
    <t>73J5250</t>
  </si>
  <si>
    <t>53T0067</t>
  </si>
  <si>
    <t>39F9424</t>
  </si>
  <si>
    <t>74U0001</t>
  </si>
  <si>
    <t>38K7397</t>
  </si>
  <si>
    <t>27P8743</t>
  </si>
  <si>
    <t>92E2610</t>
  </si>
  <si>
    <t>19R0813</t>
  </si>
  <si>
    <t>31C6062</t>
  </si>
  <si>
    <t>47Z1974</t>
  </si>
  <si>
    <t>52A4732</t>
  </si>
  <si>
    <t>41H3663</t>
  </si>
  <si>
    <t>75N6995</t>
  </si>
  <si>
    <t>35W3469</t>
  </si>
  <si>
    <t>29W0746</t>
  </si>
  <si>
    <t>91L9955</t>
  </si>
  <si>
    <t>81E4043</t>
  </si>
  <si>
    <t>78R3898</t>
  </si>
  <si>
    <t>76W7050</t>
  </si>
  <si>
    <t>32Q7470</t>
  </si>
  <si>
    <t>64L5063</t>
  </si>
  <si>
    <t>48E4879</t>
  </si>
  <si>
    <t>56F1069</t>
  </si>
  <si>
    <t>70J2028</t>
  </si>
  <si>
    <t>98C5733</t>
  </si>
  <si>
    <t>60J6789</t>
  </si>
  <si>
    <t>97T8399</t>
  </si>
  <si>
    <t>29Y9481</t>
  </si>
  <si>
    <t>53G3518</t>
  </si>
  <si>
    <t>44K3327</t>
  </si>
  <si>
    <t>58P2557</t>
  </si>
  <si>
    <t>73M7794</t>
  </si>
  <si>
    <t>68G8165</t>
  </si>
  <si>
    <t>98H8942</t>
  </si>
  <si>
    <t>47X5974</t>
  </si>
  <si>
    <t>71A1635</t>
  </si>
  <si>
    <t>62X6505</t>
  </si>
  <si>
    <t>22U9600</t>
  </si>
  <si>
    <t>15F9086</t>
  </si>
  <si>
    <t>41N2455</t>
  </si>
  <si>
    <t>33S5079</t>
  </si>
  <si>
    <t>39B7172</t>
  </si>
  <si>
    <t>42M6812</t>
  </si>
  <si>
    <t>54V0591</t>
  </si>
  <si>
    <t>91Y6168</t>
  </si>
  <si>
    <t>38N2887</t>
  </si>
  <si>
    <t>98F1264</t>
  </si>
  <si>
    <t>36E8466</t>
  </si>
  <si>
    <t>12L6286</t>
  </si>
  <si>
    <t>71D8214</t>
  </si>
  <si>
    <t>32Y8995</t>
  </si>
  <si>
    <t>13Y0375</t>
  </si>
  <si>
    <t>20P8705</t>
  </si>
  <si>
    <t>47D2436</t>
  </si>
  <si>
    <t>23B8189</t>
  </si>
  <si>
    <t>85U2438</t>
  </si>
  <si>
    <t>36Q5999</t>
  </si>
  <si>
    <t>83P1442</t>
  </si>
  <si>
    <t>49V1024</t>
  </si>
  <si>
    <t>69V4692</t>
  </si>
  <si>
    <t>31Q3405</t>
  </si>
  <si>
    <t>57S5220</t>
  </si>
  <si>
    <t>48Z1612</t>
  </si>
  <si>
    <t>95X7893</t>
  </si>
  <si>
    <t>14K9215</t>
  </si>
  <si>
    <t>44G4385</t>
  </si>
  <si>
    <t>82T5743</t>
  </si>
  <si>
    <t>70T9119</t>
  </si>
  <si>
    <t>86K2953</t>
  </si>
  <si>
    <t>76A7745</t>
  </si>
  <si>
    <t>69R1136</t>
  </si>
  <si>
    <t>72J2027</t>
  </si>
  <si>
    <t>88S4349</t>
  </si>
  <si>
    <t>45L1898</t>
  </si>
  <si>
    <t>19R2476</t>
  </si>
  <si>
    <t>12W5293</t>
  </si>
  <si>
    <t>50G5249</t>
  </si>
  <si>
    <t>14H6756</t>
  </si>
  <si>
    <t>81M0053</t>
  </si>
  <si>
    <t>16Z5524</t>
  </si>
  <si>
    <t>75S6099</t>
  </si>
  <si>
    <t>66B7379</t>
  </si>
  <si>
    <t>38C6195</t>
  </si>
  <si>
    <t>66A7092</t>
  </si>
  <si>
    <t>63X9731</t>
  </si>
  <si>
    <t>50D9188</t>
  </si>
  <si>
    <t>50C5740</t>
  </si>
  <si>
    <t>88N0055</t>
  </si>
  <si>
    <t>90M6269</t>
  </si>
  <si>
    <t>69Z1280</t>
  </si>
  <si>
    <t>14B7925</t>
  </si>
  <si>
    <t>88D8413</t>
  </si>
  <si>
    <t>25V6162</t>
  </si>
  <si>
    <t>51U5171</t>
  </si>
  <si>
    <t>32Q7458</t>
  </si>
  <si>
    <t>53H7769</t>
  </si>
  <si>
    <t>80J8701</t>
  </si>
  <si>
    <t>36T6267</t>
  </si>
  <si>
    <t>46F2348</t>
  </si>
  <si>
    <t>34U6963</t>
  </si>
  <si>
    <t>35K5306</t>
  </si>
  <si>
    <t>77P9847</t>
  </si>
  <si>
    <t>77E3293</t>
  </si>
  <si>
    <t>97R8606</t>
  </si>
  <si>
    <t>15C5907</t>
  </si>
  <si>
    <t>58Z6203</t>
  </si>
  <si>
    <t>17A6993</t>
  </si>
  <si>
    <t>78H7987</t>
  </si>
  <si>
    <t>15N0546</t>
  </si>
  <si>
    <t>18W3964</t>
  </si>
  <si>
    <t>49W7085</t>
  </si>
  <si>
    <t>81L5849</t>
  </si>
  <si>
    <t>75E5535</t>
  </si>
  <si>
    <t>45R0685</t>
  </si>
  <si>
    <t>20W9422</t>
  </si>
  <si>
    <t>99Q2687</t>
  </si>
  <si>
    <t>90L0425</t>
  </si>
  <si>
    <t>77E4750</t>
  </si>
  <si>
    <t>77F5311</t>
  </si>
  <si>
    <t>56J2417</t>
  </si>
  <si>
    <t>94C3270</t>
  </si>
  <si>
    <t>94J2740</t>
  </si>
  <si>
    <t>32T6267</t>
  </si>
  <si>
    <t>80Y4785</t>
  </si>
  <si>
    <t>88G0143</t>
  </si>
  <si>
    <t>68K9301</t>
  </si>
  <si>
    <t>81P6966</t>
  </si>
  <si>
    <t>19M9958</t>
  </si>
  <si>
    <t>30G4464</t>
  </si>
  <si>
    <t>58H5304</t>
  </si>
  <si>
    <t>42X1278</t>
  </si>
  <si>
    <t>98A2015</t>
  </si>
  <si>
    <t>63X3586</t>
  </si>
  <si>
    <t>38U7230</t>
  </si>
  <si>
    <t>85F9908</t>
  </si>
  <si>
    <t>77N1099</t>
  </si>
  <si>
    <t>31S5735</t>
  </si>
  <si>
    <t>55B5625</t>
  </si>
  <si>
    <t>38M2745</t>
  </si>
  <si>
    <t>36V1901</t>
  </si>
  <si>
    <t>55Y0896</t>
  </si>
  <si>
    <t>36N9203</t>
  </si>
  <si>
    <t>94F5196</t>
  </si>
  <si>
    <t>72E8363</t>
  </si>
  <si>
    <t>83L3558</t>
  </si>
  <si>
    <t>95D9323</t>
  </si>
  <si>
    <t>50Y2313</t>
  </si>
  <si>
    <t>55Y0012</t>
  </si>
  <si>
    <t>36P1603</t>
  </si>
  <si>
    <t>81D1183</t>
  </si>
  <si>
    <t>92B9681</t>
  </si>
  <si>
    <t>17U2435</t>
  </si>
  <si>
    <t>53Q5179</t>
  </si>
  <si>
    <t>48P7549</t>
  </si>
  <si>
    <t>97V5318</t>
  </si>
  <si>
    <t>20V7996</t>
  </si>
  <si>
    <t>68Q6231</t>
  </si>
  <si>
    <t>69S8310</t>
  </si>
  <si>
    <t>32Z7781</t>
  </si>
  <si>
    <t>80X1810</t>
  </si>
  <si>
    <t>86K3599</t>
  </si>
  <si>
    <t>16G8553</t>
  </si>
  <si>
    <t>35T8892</t>
  </si>
  <si>
    <t>68T7259</t>
  </si>
  <si>
    <t>56K2476</t>
  </si>
  <si>
    <t>85A7153</t>
  </si>
  <si>
    <t>84R8515</t>
  </si>
  <si>
    <t>47J4637</t>
  </si>
  <si>
    <t>87S3246</t>
  </si>
  <si>
    <t>18L4347</t>
  </si>
  <si>
    <t>56R0609</t>
  </si>
  <si>
    <t>89W6670</t>
  </si>
  <si>
    <t>35G8797</t>
  </si>
  <si>
    <t>55H6454</t>
  </si>
  <si>
    <t>13M3690</t>
  </si>
  <si>
    <t>97Z8569</t>
  </si>
  <si>
    <t>66S0712</t>
  </si>
  <si>
    <t>29B2763</t>
  </si>
  <si>
    <t>72C3797</t>
  </si>
  <si>
    <t>70A6947</t>
  </si>
  <si>
    <t>41X3752</t>
  </si>
  <si>
    <t>47D0144</t>
  </si>
  <si>
    <t>40C2942</t>
  </si>
  <si>
    <t>17N4220</t>
  </si>
  <si>
    <t>41M5762</t>
  </si>
  <si>
    <t>75Z9288</t>
  </si>
  <si>
    <t>14B2165</t>
  </si>
  <si>
    <t>43D8010</t>
  </si>
  <si>
    <t>64V7826</t>
  </si>
  <si>
    <t>75U4057</t>
  </si>
  <si>
    <t>37Q8020</t>
  </si>
  <si>
    <t>96H6370</t>
  </si>
  <si>
    <t>62J2581</t>
  </si>
  <si>
    <t>19T8350</t>
  </si>
  <si>
    <t>80F1307</t>
  </si>
  <si>
    <t>12U9484</t>
  </si>
  <si>
    <t>55K0031</t>
  </si>
  <si>
    <t>93P7710</t>
  </si>
  <si>
    <t>49E9296</t>
  </si>
  <si>
    <t>67R0248</t>
  </si>
  <si>
    <t>74C0495</t>
  </si>
  <si>
    <t>45Z5462</t>
  </si>
  <si>
    <t>65A2043</t>
  </si>
  <si>
    <t>73H2587</t>
  </si>
  <si>
    <t>75N8034</t>
  </si>
  <si>
    <t>81W1195</t>
  </si>
  <si>
    <t>29W4409</t>
  </si>
  <si>
    <t>81L5591</t>
  </si>
  <si>
    <t>62E0322</t>
  </si>
  <si>
    <t>80R3997</t>
  </si>
  <si>
    <t>43W6660</t>
  </si>
  <si>
    <t>69Q5425</t>
  </si>
  <si>
    <t>45L9042</t>
  </si>
  <si>
    <t>40E6748</t>
  </si>
  <si>
    <t>50F1174</t>
  </si>
  <si>
    <t>48J8050</t>
  </si>
  <si>
    <t>27C4599</t>
  </si>
  <si>
    <t>70J5068</t>
  </si>
  <si>
    <t>81T5576</t>
  </si>
  <si>
    <t>54Y1088</t>
  </si>
  <si>
    <t>86G8357</t>
  </si>
  <si>
    <t>58K2592</t>
  </si>
  <si>
    <t>18P9683</t>
  </si>
  <si>
    <t>16M5551</t>
  </si>
  <si>
    <t>12G7155</t>
  </si>
  <si>
    <t>65H6851</t>
  </si>
  <si>
    <t>86X9819</t>
  </si>
  <si>
    <t>91A6862</t>
  </si>
  <si>
    <t>39X9032</t>
  </si>
  <si>
    <t>81U8876</t>
  </si>
  <si>
    <t>48F2579</t>
  </si>
  <si>
    <t>65N6956</t>
  </si>
  <si>
    <t>22S9546</t>
  </si>
  <si>
    <t>86B5251</t>
  </si>
  <si>
    <t>74M1803</t>
  </si>
  <si>
    <t>89V7655</t>
  </si>
  <si>
    <t>93Y1335</t>
  </si>
  <si>
    <t>27N2473</t>
  </si>
  <si>
    <t>54F6291</t>
  </si>
  <si>
    <t>26E2171</t>
  </si>
  <si>
    <t>38L4977</t>
  </si>
  <si>
    <t>93D1078</t>
  </si>
  <si>
    <t>62Y0413</t>
  </si>
  <si>
    <t>62Y6269</t>
  </si>
  <si>
    <t>96P1693</t>
  </si>
  <si>
    <t>73D4570</t>
  </si>
  <si>
    <t>17B8622</t>
  </si>
  <si>
    <t>39U1142</t>
  </si>
  <si>
    <t>26Q0230</t>
  </si>
  <si>
    <t>67P2403</t>
  </si>
  <si>
    <t>19V1799</t>
  </si>
  <si>
    <t>98V4756</t>
  </si>
  <si>
    <t>80Q6998</t>
  </si>
  <si>
    <t>36S1312</t>
  </si>
  <si>
    <t>51Z6236</t>
  </si>
  <si>
    <t>60X6190</t>
  </si>
  <si>
    <t>87K5274</t>
  </si>
  <si>
    <t>51G1731</t>
  </si>
  <si>
    <t>18T9962</t>
  </si>
  <si>
    <t>63T3122</t>
  </si>
  <si>
    <t>91K6673</t>
  </si>
  <si>
    <t>51A4436</t>
  </si>
  <si>
    <t>73R6600</t>
  </si>
  <si>
    <t>54J9544</t>
  </si>
  <si>
    <t>87S3603</t>
  </si>
  <si>
    <t>73L7765</t>
  </si>
  <si>
    <t>44R7246</t>
  </si>
  <si>
    <t>72W4294</t>
  </si>
  <si>
    <t>80G2345</t>
  </si>
  <si>
    <t>74H2678</t>
  </si>
  <si>
    <t>95M2036</t>
  </si>
  <si>
    <t>32Z5284</t>
  </si>
  <si>
    <t>97S9439</t>
  </si>
  <si>
    <t>29B1299</t>
  </si>
  <si>
    <t>87C6469</t>
  </si>
  <si>
    <t>31A3845</t>
  </si>
  <si>
    <t>92X0703</t>
  </si>
  <si>
    <t>94D4852</t>
  </si>
  <si>
    <t>82C0539</t>
  </si>
  <si>
    <t>37N6593</t>
  </si>
  <si>
    <t>88M6992</t>
  </si>
  <si>
    <t>66Z2472</t>
  </si>
  <si>
    <t>43B5312</t>
  </si>
  <si>
    <t>81D1357</t>
  </si>
  <si>
    <t>62V1588</t>
  </si>
  <si>
    <t>73U8991</t>
  </si>
  <si>
    <t>55Q8331</t>
  </si>
  <si>
    <t>72H5581</t>
  </si>
  <si>
    <t>22J6047</t>
  </si>
  <si>
    <t>38T8081</t>
  </si>
  <si>
    <t>25F5065</t>
  </si>
  <si>
    <t>28U2533</t>
  </si>
  <si>
    <t>84K3816</t>
  </si>
  <si>
    <t>85P2058</t>
  </si>
  <si>
    <t>60E9368</t>
  </si>
  <si>
    <t>87R7830</t>
  </si>
  <si>
    <t>45C9207</t>
  </si>
  <si>
    <t>13Z9841</t>
  </si>
  <si>
    <t>68A2203</t>
  </si>
  <si>
    <t>15H6060</t>
  </si>
  <si>
    <t>46N6141</t>
  </si>
  <si>
    <t>69W9612</t>
  </si>
  <si>
    <t>29W9558</t>
  </si>
  <si>
    <t>89L2058</t>
  </si>
  <si>
    <t>14E1128</t>
  </si>
  <si>
    <t>37R9545</t>
  </si>
  <si>
    <t>98W6100</t>
  </si>
  <si>
    <t>38Q4884</t>
  </si>
  <si>
    <t>84L4338</t>
  </si>
  <si>
    <t>18E0368</t>
  </si>
  <si>
    <t>34F9907</t>
  </si>
  <si>
    <t>81J8984</t>
  </si>
  <si>
    <t>50C8083</t>
  </si>
  <si>
    <t>31J7793</t>
  </si>
  <si>
    <t>62T5779</t>
  </si>
  <si>
    <t>68Y3095</t>
  </si>
  <si>
    <t>36G6167</t>
  </si>
  <si>
    <t>99K0693</t>
  </si>
  <si>
    <t>77P0340</t>
  </si>
  <si>
    <t>76M4214</t>
  </si>
  <si>
    <t>72G8000</t>
  </si>
  <si>
    <t>14H3435</t>
  </si>
  <si>
    <t>57X3645</t>
  </si>
  <si>
    <t>58A0559</t>
  </si>
  <si>
    <t>29X4909</t>
  </si>
  <si>
    <t>57U2605</t>
  </si>
  <si>
    <t>25F2474</t>
  </si>
  <si>
    <t>82N5554</t>
  </si>
  <si>
    <t>85S6963</t>
  </si>
  <si>
    <t>38B8448</t>
  </si>
  <si>
    <t>80M5072</t>
  </si>
  <si>
    <t>67V6925</t>
  </si>
  <si>
    <t>57Y5518</t>
  </si>
  <si>
    <t>95N6313</t>
  </si>
  <si>
    <t>20F8727</t>
  </si>
  <si>
    <t>89E3495</t>
  </si>
  <si>
    <t>62L5392</t>
  </si>
  <si>
    <t>13D1897</t>
  </si>
  <si>
    <t>78Y9032</t>
  </si>
  <si>
    <t>20Y1287</t>
  </si>
  <si>
    <t>70P9338</t>
  </si>
  <si>
    <t>70D9424</t>
  </si>
  <si>
    <t>57B8063</t>
  </si>
  <si>
    <t>45U9999</t>
  </si>
  <si>
    <t>89Q0556</t>
  </si>
  <si>
    <t>31P2715</t>
  </si>
  <si>
    <t>27V9079</t>
  </si>
  <si>
    <t>81V7653</t>
  </si>
  <si>
    <t>13Q5739</t>
  </si>
  <si>
    <t>59S2933</t>
  </si>
  <si>
    <t>30Z6638</t>
  </si>
  <si>
    <t>18X7648</t>
  </si>
  <si>
    <t>49K4555</t>
  </si>
  <si>
    <t>79G8846</t>
  </si>
  <si>
    <t>86T1096</t>
  </si>
  <si>
    <t>88T9403</t>
  </si>
  <si>
    <t>36K0814</t>
  </si>
  <si>
    <t>84A4200</t>
  </si>
  <si>
    <t>65R6978</t>
  </si>
  <si>
    <t>67J7614</t>
  </si>
  <si>
    <t>85S9980</t>
  </si>
  <si>
    <t>41L6900</t>
  </si>
  <si>
    <t>88R1008</t>
  </si>
  <si>
    <t>27W5871</t>
  </si>
  <si>
    <t>93G4461</t>
  </si>
  <si>
    <t>58H3049</t>
  </si>
  <si>
    <t>59M0604</t>
  </si>
  <si>
    <t>21Z2538</t>
  </si>
  <si>
    <t>37S5806</t>
  </si>
  <si>
    <t>80B4715</t>
  </si>
  <si>
    <t>83C0994</t>
  </si>
  <si>
    <t>14A4108</t>
  </si>
  <si>
    <t>53X9410</t>
  </si>
  <si>
    <t>69D4438</t>
  </si>
  <si>
    <t>62C4024</t>
  </si>
  <si>
    <t>40N1879</t>
  </si>
  <si>
    <t>29M1221</t>
  </si>
  <si>
    <t>77Z8649</t>
  </si>
  <si>
    <t>39B9470</t>
  </si>
  <si>
    <t>38D0562</t>
  </si>
  <si>
    <t>72V6492</t>
  </si>
  <si>
    <t>18U1791</t>
  </si>
  <si>
    <t>21Q8081</t>
  </si>
  <si>
    <t>85H9563</t>
  </si>
  <si>
    <t>53J7490</t>
  </si>
  <si>
    <t>32T2999</t>
  </si>
  <si>
    <t>61F6891</t>
  </si>
  <si>
    <t>40U2837</t>
  </si>
  <si>
    <t>13K1227</t>
  </si>
  <si>
    <t>60P0092</t>
  </si>
  <si>
    <t>89E6801</t>
  </si>
  <si>
    <t>57R0797</t>
  </si>
  <si>
    <t>91C8681</t>
  </si>
  <si>
    <t>13Z8578</t>
  </si>
  <si>
    <t>41A5875</t>
  </si>
  <si>
    <t>20H0294</t>
  </si>
  <si>
    <t>97N0414</t>
  </si>
  <si>
    <t>95W6535</t>
  </si>
  <si>
    <t>67W3149</t>
  </si>
  <si>
    <t>57L1535</t>
  </si>
  <si>
    <t>55E8089</t>
  </si>
  <si>
    <t>27R6688</t>
  </si>
  <si>
    <t>37W9390</t>
  </si>
  <si>
    <t>53Q1312</t>
  </si>
  <si>
    <t>78L4182</t>
  </si>
  <si>
    <t>33E9601</t>
  </si>
  <si>
    <t>59F9525</t>
  </si>
  <si>
    <t>70J3570</t>
  </si>
  <si>
    <t>27C7193</t>
  </si>
  <si>
    <t>20J5154</t>
  </si>
  <si>
    <t>50T6038</t>
  </si>
  <si>
    <t>36Y3770</t>
  </si>
  <si>
    <t>87G7800</t>
  </si>
  <si>
    <t>18K9672</t>
  </si>
  <si>
    <t>29P8953</t>
  </si>
  <si>
    <t>66M2504</t>
  </si>
  <si>
    <t>79G1973</t>
  </si>
  <si>
    <t>51H5434</t>
  </si>
  <si>
    <t>34X5436</t>
  </si>
  <si>
    <t>23A4742</t>
  </si>
  <si>
    <t>29X3637</t>
  </si>
  <si>
    <t>90U6396</t>
  </si>
  <si>
    <t>49F9560</t>
  </si>
  <si>
    <t>61N7065</t>
  </si>
  <si>
    <t>69S8147</t>
  </si>
  <si>
    <t>54B9908</t>
  </si>
  <si>
    <t>63M4961</t>
  </si>
  <si>
    <t>60V3513</t>
  </si>
  <si>
    <t>73Y5014</t>
  </si>
  <si>
    <t>54N5998</t>
  </si>
  <si>
    <t>85F3761</t>
  </si>
  <si>
    <t>22E6134</t>
  </si>
  <si>
    <t>35L1937</t>
  </si>
  <si>
    <t>53D8390</t>
  </si>
  <si>
    <t>65Y4222</t>
  </si>
  <si>
    <t>69Y4626</t>
  </si>
  <si>
    <t>77P9756</t>
  </si>
  <si>
    <t>95D5686</t>
  </si>
  <si>
    <t>61B7625</t>
  </si>
  <si>
    <t>73U2565</t>
  </si>
  <si>
    <t>44Q1458</t>
  </si>
  <si>
    <t>57P9945</t>
  </si>
  <si>
    <t>33V0161</t>
  </si>
  <si>
    <t>40V8805</t>
  </si>
  <si>
    <t>55Q3370</t>
  </si>
  <si>
    <t>36S3498</t>
  </si>
  <si>
    <t>30Z4371</t>
  </si>
  <si>
    <t>87X3585</t>
  </si>
  <si>
    <t>79K6755</t>
  </si>
  <si>
    <t>74G2184</t>
  </si>
  <si>
    <t>82T5211</t>
  </si>
  <si>
    <t>39T5152</t>
  </si>
  <si>
    <t>41K1044</t>
  </si>
  <si>
    <t>23A1125</t>
  </si>
  <si>
    <t>95R2712</t>
  </si>
  <si>
    <t>71J0913</t>
  </si>
  <si>
    <t>37S4552</t>
  </si>
  <si>
    <t>87L0846</t>
  </si>
  <si>
    <t>17R3684</t>
  </si>
  <si>
    <t>41W5759</t>
  </si>
  <si>
    <t>63G5222</t>
  </si>
  <si>
    <t>95H0283</t>
  </si>
  <si>
    <t>51M4574</t>
  </si>
  <si>
    <t>17Z7607</t>
  </si>
  <si>
    <t>83S4577</t>
  </si>
  <si>
    <t>91B6792</t>
  </si>
  <si>
    <t>81C7838</t>
  </si>
  <si>
    <t>15A3898</t>
  </si>
  <si>
    <t>98X3597</t>
  </si>
  <si>
    <t>68D0775</t>
  </si>
  <si>
    <t>41C4400</t>
  </si>
  <si>
    <t>61N5766</t>
  </si>
  <si>
    <t>96M9745</t>
  </si>
  <si>
    <t>55Z7985</t>
  </si>
  <si>
    <t>71B6336</t>
  </si>
  <si>
    <t>26D6817</t>
  </si>
  <si>
    <t>36V0996</t>
  </si>
  <si>
    <t>92U0240</t>
  </si>
  <si>
    <t>67Q4666</t>
  </si>
  <si>
    <t>63H5898</t>
  </si>
  <si>
    <t>81J8712</t>
  </si>
  <si>
    <t>29T7633</t>
  </si>
  <si>
    <t>83F5607</t>
  </si>
  <si>
    <t>94U2990</t>
  </si>
  <si>
    <t>25K7893</t>
  </si>
  <si>
    <t>95P1694</t>
  </si>
  <si>
    <t>54E5087</t>
  </si>
  <si>
    <t>84R3399</t>
  </si>
  <si>
    <t>28C4599</t>
  </si>
  <si>
    <t>22Z0414</t>
  </si>
  <si>
    <t>13A5226</t>
  </si>
  <si>
    <t>96H7174</t>
  </si>
  <si>
    <t>36N1010</t>
  </si>
  <si>
    <t>73W3323</t>
  </si>
  <si>
    <t>63W9363</t>
  </si>
  <si>
    <t>13L4944</t>
  </si>
  <si>
    <t>85E7440</t>
  </si>
  <si>
    <t>78R7003</t>
  </si>
  <si>
    <t>50W0269</t>
  </si>
  <si>
    <t>67Q6299</t>
  </si>
  <si>
    <t>93L5888</t>
  </si>
  <si>
    <t>57E3116</t>
  </si>
  <si>
    <t>77F2451</t>
  </si>
  <si>
    <t>58J9975</t>
  </si>
  <si>
    <t>25C5539</t>
  </si>
  <si>
    <t>93J0309</t>
  </si>
  <si>
    <t>33T9745</t>
  </si>
  <si>
    <t>76Y1971</t>
  </si>
  <si>
    <t>72G3496</t>
  </si>
  <si>
    <t>23K7350</t>
  </si>
  <si>
    <t>88P5668</t>
  </si>
  <si>
    <t>56M8776</t>
  </si>
  <si>
    <t>43G2726</t>
  </si>
  <si>
    <t>20H6072</t>
  </si>
  <si>
    <t>99X6260</t>
  </si>
  <si>
    <t>54A4337</t>
  </si>
  <si>
    <t>19X2251</t>
  </si>
  <si>
    <t>29U8957</t>
  </si>
  <si>
    <t>38F8864</t>
  </si>
  <si>
    <t>71N1668</t>
  </si>
  <si>
    <t>87S2462</t>
  </si>
  <si>
    <t>89B1803</t>
  </si>
  <si>
    <t>99M6269</t>
  </si>
  <si>
    <t>19V8845</t>
  </si>
  <si>
    <t>22Y4955</t>
  </si>
  <si>
    <t>14N6377</t>
  </si>
  <si>
    <t>27F2456</t>
  </si>
  <si>
    <t>45E5692</t>
  </si>
  <si>
    <t>15L7044</t>
  </si>
  <si>
    <t>19D6604</t>
  </si>
  <si>
    <t>83Y3953</t>
  </si>
  <si>
    <t>24Y5917</t>
  </si>
  <si>
    <t>75P1418</t>
  </si>
  <si>
    <t>16D2588</t>
  </si>
  <si>
    <t>57B7798</t>
  </si>
  <si>
    <t>64U3273</t>
  </si>
  <si>
    <t>41Q0735</t>
  </si>
  <si>
    <t>78P6614</t>
  </si>
  <si>
    <t>53V5153</t>
  </si>
  <si>
    <t>49V4615</t>
  </si>
  <si>
    <t>75Q2299</t>
  </si>
  <si>
    <t>45S8855</t>
  </si>
  <si>
    <t>44Z3220</t>
  </si>
  <si>
    <t>54X1921</t>
  </si>
  <si>
    <t>71K1313</t>
  </si>
  <si>
    <t>37G3097</t>
  </si>
  <si>
    <t>48T4422</t>
  </si>
  <si>
    <t>13T1082</t>
  </si>
  <si>
    <t>33K6614</t>
  </si>
  <si>
    <t>24A4332</t>
  </si>
  <si>
    <t>26R1311</t>
  </si>
  <si>
    <t>13J4717</t>
  </si>
  <si>
    <t>44S7250</t>
  </si>
  <si>
    <t>73L3489</t>
  </si>
  <si>
    <t>90R2640</t>
  </si>
  <si>
    <t>42W5257</t>
  </si>
  <si>
    <t>33G7554</t>
  </si>
  <si>
    <t>87H4463</t>
  </si>
  <si>
    <t>68M0958</t>
  </si>
  <si>
    <t>33Z8695</t>
  </si>
  <si>
    <t>70S6651</t>
  </si>
  <si>
    <t>91B5857</t>
  </si>
  <si>
    <t>93C1508</t>
  </si>
  <si>
    <t>74A1862</t>
  </si>
  <si>
    <t>49X8659</t>
  </si>
  <si>
    <t>16D5784</t>
  </si>
  <si>
    <t>82C5395</t>
  </si>
  <si>
    <t>12N5146</t>
  </si>
  <si>
    <t>30M2296</t>
  </si>
  <si>
    <t>33Z7813</t>
  </si>
  <si>
    <t>28B0472</t>
  </si>
  <si>
    <t>24D2975</t>
  </si>
  <si>
    <t>14V3156</t>
  </si>
  <si>
    <t>31U6343</t>
  </si>
  <si>
    <t>98Q7054</t>
  </si>
  <si>
    <t>81H6481</t>
  </si>
  <si>
    <t>82J9843</t>
  </si>
  <si>
    <t>14T4038</t>
  </si>
  <si>
    <t>38F1463</t>
  </si>
  <si>
    <t>15U4849</t>
  </si>
  <si>
    <t>51K8826</t>
  </si>
  <si>
    <t>79P3563</t>
  </si>
  <si>
    <t>51E8210</t>
  </si>
  <si>
    <t>96R3402</t>
  </si>
  <si>
    <t>63C6281</t>
  </si>
  <si>
    <t>55Z9996</t>
  </si>
  <si>
    <t>77A3915</t>
  </si>
  <si>
    <t>80H6149</t>
  </si>
  <si>
    <t>30N6833</t>
  </si>
  <si>
    <t>28W7799</t>
  </si>
  <si>
    <t>96W7510</t>
  </si>
  <si>
    <t>38L7122</t>
  </si>
  <si>
    <t>69E1614</t>
  </si>
  <si>
    <t>79R0710</t>
  </si>
  <si>
    <t>11W6774</t>
  </si>
  <si>
    <t>Project Length</t>
  </si>
  <si>
    <t>End Date</t>
  </si>
  <si>
    <t>Start Date</t>
  </si>
  <si>
    <t>Contract #</t>
  </si>
  <si>
    <t>ID#</t>
  </si>
  <si>
    <t>Moss, Dave</t>
  </si>
  <si>
    <t>Time</t>
  </si>
  <si>
    <t>Specialized Filter</t>
  </si>
  <si>
    <t>=DATE(LEFT(E2,4),VLOOKUP(MID(E2,6,3),H:I,2,0),RIGHT(E2,2))</t>
  </si>
  <si>
    <t>Day</t>
  </si>
  <si>
    <t>Left</t>
  </si>
  <si>
    <t>Right</t>
  </si>
  <si>
    <t>vlookup</t>
  </si>
  <si>
    <t>mid</t>
  </si>
  <si>
    <t>Codeine</t>
  </si>
  <si>
    <t>Crestor</t>
  </si>
  <si>
    <t>5 Character</t>
  </si>
  <si>
    <t>O'BRIEN, TED</t>
  </si>
  <si>
    <t>MORRIS, MARK</t>
  </si>
  <si>
    <t>BJÖRLING, JUSSI</t>
  </si>
  <si>
    <t>MUTI, RICCARDO</t>
  </si>
  <si>
    <t>LAST NAME, FIRST NAME</t>
  </si>
  <si>
    <t>PORTER, GEORGE</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</si>
</sst>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4" formatCode="_(&quot;$&quot;* #,##0.00_);_(&quot;$&quot;* \(#,##0.00\);_(&quot;$&quot;* &quot;-&quot;??_);_(@_)"/>
    <numFmt numFmtId="43" formatCode="_(* #,##0.00_);_(* \(#,##0.00\);_(* &quot;-&quot;??_);_(@_)"/>
    <numFmt numFmtId="164" formatCode="000\-00\-0000"/>
    <numFmt numFmtId="165" formatCode="[&lt;=9999999]###\-####;\(###\)\ ###\-####"/>
    <numFmt numFmtId="166" formatCode="_(* #,##0_);_(* \(#,##0\);_(* &quot;-&quot;??_);_(@_)"/>
    <numFmt numFmtId="167" formatCode="0.00%;\(0.00%\)"/>
    <numFmt numFmtId="168" formatCode="0_);\(0\)"/>
    <numFmt numFmtId="169" formatCode="_(* #,##0.0_);_(* \(#,##0.0\);_(* &quot;-&quot;??_);_(@_)"/>
    <numFmt numFmtId="170" formatCode="m/d/yy;@"/>
    <numFmt numFmtId="171" formatCode="yyyy"/>
    <numFmt numFmtId="173" formatCode="0.0%;[Red]\-0.0%"/>
    <numFmt numFmtId="174" formatCode="0.0%"/>
    <numFmt numFmtId="175" formatCode="[h]:mm"/>
    <numFmt numFmtId="176" formatCode="h:mm;@"/>
    <numFmt numFmtId="177" formatCode="000000000"/>
    <numFmt numFmtId="178" formatCode="00000"/>
    <numFmt numFmtId="182" formatCode="mm/dd/yyyy"/>
    <numFmt numFmtId="184" formatCode="[h]:mm:ss;@"/>
  </numFmts>
  <fonts count="31">
    <font>
      <sz val="11"/>
      <color theme="1"/>
      <name val="Calibri"/>
      <family val="2"/>
      <scheme val="minor"/>
    </font>
    <font>
      <b/>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9"/>
      <color theme="0"/>
      <name val="Calibri"/>
      <family val="2"/>
      <scheme val="minor"/>
    </font>
    <font>
      <sz val="14"/>
      <color theme="0"/>
      <name val="Calibri"/>
      <family val="2"/>
      <scheme val="minor"/>
    </font>
    <font>
      <sz val="16"/>
      <color theme="0"/>
      <name val="Calibri"/>
      <family val="2"/>
      <scheme val="minor"/>
    </font>
    <font>
      <sz val="10"/>
      <name val="Arial"/>
      <family val="2"/>
    </font>
    <font>
      <b/>
      <sz val="11"/>
      <name val="Calibri"/>
      <family val="2"/>
    </font>
    <font>
      <sz val="11"/>
      <name val="Calibri"/>
      <family val="2"/>
    </font>
    <font>
      <b/>
      <i/>
      <sz val="11"/>
      <color indexed="10"/>
      <name val="Calibri"/>
      <family val="2"/>
    </font>
    <font>
      <b/>
      <sz val="10"/>
      <name val="Century Gothic"/>
      <family val="2"/>
    </font>
    <font>
      <sz val="10"/>
      <name val="Century Gothic"/>
      <family val="2"/>
    </font>
    <font>
      <sz val="12"/>
      <name val="Helv"/>
    </font>
    <font>
      <sz val="12"/>
      <name val="Calibri"/>
      <family val="2"/>
      <scheme val="minor"/>
    </font>
    <font>
      <b/>
      <sz val="12"/>
      <name val="Calibri"/>
      <family val="2"/>
      <scheme val="minor"/>
    </font>
    <font>
      <sz val="10"/>
      <name val="Arial"/>
      <family val="2"/>
    </font>
    <font>
      <b/>
      <sz val="11"/>
      <color theme="1"/>
      <name val="Calibri"/>
      <family val="2"/>
    </font>
    <font>
      <sz val="10"/>
      <name val="Calibri"/>
      <family val="2"/>
    </font>
    <font>
      <b/>
      <sz val="10"/>
      <name val="Calibri"/>
      <family val="2"/>
    </font>
    <font>
      <b/>
      <sz val="14"/>
      <name val="Calibri"/>
      <family val="2"/>
    </font>
    <font>
      <b/>
      <sz val="14"/>
      <name val="Arial"/>
      <family val="2"/>
    </font>
    <font>
      <sz val="11"/>
      <color theme="1"/>
      <name val="Calibri"/>
      <family val="2"/>
    </font>
    <font>
      <b/>
      <sz val="9"/>
      <color indexed="81"/>
      <name val="Tahoma"/>
      <family val="2"/>
    </font>
    <font>
      <sz val="9"/>
      <color indexed="81"/>
      <name val="Tahoma"/>
      <family val="2"/>
    </font>
    <font>
      <sz val="11"/>
      <name val="Calibri"/>
      <family val="2"/>
    </font>
    <font>
      <sz val="11"/>
      <name val="Century Gothic"/>
      <family val="2"/>
    </font>
    <font>
      <sz val="11"/>
      <color theme="0"/>
      <name val="Calibri"/>
      <family val="2"/>
      <scheme val="minor"/>
    </font>
    <font>
      <sz val="11"/>
      <name val="Calibri"/>
    </font>
    <font>
      <sz val="18"/>
      <color theme="0"/>
      <name val="Calibri"/>
      <family val="2"/>
      <scheme val="minor"/>
    </font>
  </fonts>
  <fills count="13">
    <fill>
      <patternFill patternType="none"/>
    </fill>
    <fill>
      <patternFill patternType="gray125"/>
    </fill>
    <fill>
      <patternFill patternType="solid">
        <fgColor rgb="FF0000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4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79998168889431442"/>
        <bgColor theme="4" tint="0.79998168889431442"/>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style="thin">
        <color indexed="22"/>
      </left>
      <right style="thin">
        <color indexed="22"/>
      </right>
      <top/>
      <bottom style="thin">
        <color indexed="2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22"/>
      </top>
      <bottom/>
      <diagonal/>
    </border>
    <border>
      <left style="thin">
        <color indexed="22"/>
      </left>
      <right/>
      <top style="thin">
        <color indexed="22"/>
      </top>
      <bottom/>
      <diagonal/>
    </border>
    <border>
      <left style="thin">
        <color indexed="22"/>
      </left>
      <right style="thin">
        <color indexed="22"/>
      </right>
      <top style="thin">
        <color indexed="22"/>
      </top>
      <bottom/>
      <diagonal/>
    </border>
    <border>
      <left style="thin">
        <color theme="4" tint="0.39997558519241921"/>
      </left>
      <right/>
      <top style="thin">
        <color indexed="22"/>
      </top>
      <bottom/>
      <diagonal/>
    </border>
    <border>
      <left/>
      <right style="thin">
        <color theme="4" tint="0.39997558519241921"/>
      </right>
      <top style="thin">
        <color indexed="22"/>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10">
    <xf numFmtId="0" fontId="0" fillId="0" borderId="0"/>
    <xf numFmtId="44" fontId="2"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xf numFmtId="37" fontId="14" fillId="0" borderId="0"/>
    <xf numFmtId="0" fontId="17" fillId="0" borderId="0"/>
    <xf numFmtId="44" fontId="8" fillId="0" borderId="0" applyFont="0" applyFill="0" applyBorder="0" applyAlignment="0" applyProtection="0"/>
    <xf numFmtId="0" fontId="23" fillId="0" borderId="0"/>
    <xf numFmtId="43" fontId="23" fillId="0" borderId="0" applyFont="0" applyFill="0" applyBorder="0" applyAlignment="0" applyProtection="0"/>
  </cellStyleXfs>
  <cellXfs count="335">
    <xf numFmtId="0" fontId="0" fillId="0" borderId="0" xfId="0"/>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xf numFmtId="0" fontId="4" fillId="0" borderId="1" xfId="0" applyFont="1" applyBorder="1" applyAlignment="1">
      <alignment horizontal="left" indent="1"/>
    </xf>
    <xf numFmtId="0" fontId="4" fillId="0" borderId="0" xfId="0" applyFont="1" applyAlignment="1">
      <alignment horizontal="left" indent="1"/>
    </xf>
    <xf numFmtId="0" fontId="4" fillId="0" borderId="1" xfId="0" applyFont="1" applyBorder="1"/>
    <xf numFmtId="15" fontId="4" fillId="0" borderId="1" xfId="0" applyNumberFormat="1" applyFont="1" applyBorder="1"/>
    <xf numFmtId="15" fontId="4" fillId="0" borderId="1" xfId="0" applyNumberFormat="1" applyFont="1" applyBorder="1" applyAlignment="1">
      <alignment horizontal="left" indent="1"/>
    </xf>
    <xf numFmtId="0" fontId="4" fillId="0" borderId="1" xfId="0" applyFont="1" applyFill="1" applyBorder="1" applyAlignment="1">
      <alignment horizontal="left" indent="1"/>
    </xf>
    <xf numFmtId="44" fontId="4" fillId="0" borderId="1" xfId="1" applyFont="1" applyBorder="1" applyAlignment="1">
      <alignment horizontal="left" indent="1"/>
    </xf>
    <xf numFmtId="44" fontId="4" fillId="0" borderId="1" xfId="1" applyFont="1" applyBorder="1"/>
    <xf numFmtId="0" fontId="5" fillId="2" borderId="4" xfId="0" applyFont="1" applyFill="1" applyBorder="1" applyAlignment="1">
      <alignment horizontal="left" indent="1"/>
    </xf>
    <xf numFmtId="0" fontId="5" fillId="2" borderId="3" xfId="0" applyFont="1" applyFill="1" applyBorder="1" applyAlignment="1">
      <alignment horizontal="left" indent="1"/>
    </xf>
    <xf numFmtId="0" fontId="7" fillId="2" borderId="0" xfId="0" applyFont="1" applyFill="1" applyAlignment="1">
      <alignment horizontal="center" vertical="center"/>
    </xf>
    <xf numFmtId="0" fontId="4" fillId="3" borderId="1" xfId="0" applyFont="1" applyFill="1" applyBorder="1"/>
    <xf numFmtId="0" fontId="4" fillId="4" borderId="1" xfId="0" applyFont="1" applyFill="1" applyBorder="1"/>
    <xf numFmtId="0" fontId="4" fillId="5" borderId="1" xfId="0" applyFont="1" applyFill="1" applyBorder="1" applyAlignment="1">
      <alignment horizontal="left" indent="1"/>
    </xf>
    <xf numFmtId="0" fontId="4" fillId="4" borderId="1" xfId="0" applyFont="1" applyFill="1" applyBorder="1" applyAlignment="1">
      <alignment horizontal="left" indent="1"/>
    </xf>
    <xf numFmtId="0" fontId="7" fillId="2" borderId="0" xfId="0" applyFont="1" applyFill="1"/>
    <xf numFmtId="0" fontId="0" fillId="0" borderId="0" xfId="0" applyAlignment="1">
      <alignment horizontal="center"/>
    </xf>
    <xf numFmtId="0" fontId="9" fillId="6" borderId="5" xfId="2" applyFont="1" applyFill="1" applyBorder="1" applyAlignment="1" applyProtection="1">
      <alignment horizontal="left" vertical="top"/>
      <protection locked="0"/>
    </xf>
    <xf numFmtId="0" fontId="9" fillId="6" borderId="5" xfId="2" applyFont="1" applyFill="1" applyBorder="1" applyAlignment="1" applyProtection="1">
      <alignment horizontal="center" vertical="top"/>
      <protection locked="0"/>
    </xf>
    <xf numFmtId="0" fontId="9" fillId="6" borderId="5" xfId="2" applyFont="1" applyFill="1" applyBorder="1" applyAlignment="1" applyProtection="1">
      <alignment vertical="top"/>
      <protection locked="0"/>
    </xf>
    <xf numFmtId="164" fontId="9" fillId="6" borderId="5" xfId="2" applyNumberFormat="1" applyFont="1" applyFill="1" applyBorder="1" applyAlignment="1" applyProtection="1">
      <alignment horizontal="center" vertical="top"/>
      <protection locked="0"/>
    </xf>
    <xf numFmtId="165" fontId="9" fillId="6" borderId="5" xfId="2" applyNumberFormat="1" applyFont="1" applyFill="1" applyBorder="1" applyAlignment="1" applyProtection="1">
      <alignment horizontal="center" vertical="top"/>
      <protection locked="0"/>
    </xf>
    <xf numFmtId="15" fontId="9" fillId="6" borderId="5" xfId="2" applyNumberFormat="1" applyFont="1" applyFill="1" applyBorder="1" applyAlignment="1" applyProtection="1">
      <alignment horizontal="right" vertical="top"/>
      <protection locked="0"/>
    </xf>
    <xf numFmtId="15" fontId="9" fillId="6" borderId="5" xfId="2" applyNumberFormat="1" applyFont="1" applyFill="1" applyBorder="1" applyAlignment="1" applyProtection="1">
      <alignment horizontal="center" vertical="top"/>
      <protection locked="0"/>
    </xf>
    <xf numFmtId="0" fontId="9" fillId="6" borderId="5" xfId="2" applyFont="1" applyFill="1" applyBorder="1" applyAlignment="1" applyProtection="1">
      <alignment horizontal="right" vertical="top"/>
    </xf>
    <xf numFmtId="166" fontId="9" fillId="6" borderId="5" xfId="3" applyNumberFormat="1" applyFont="1" applyFill="1" applyBorder="1" applyAlignment="1" applyProtection="1">
      <alignment vertical="top"/>
      <protection locked="0"/>
    </xf>
    <xf numFmtId="43" fontId="9" fillId="6" borderId="5" xfId="3" applyFont="1" applyFill="1" applyBorder="1" applyAlignment="1" applyProtection="1">
      <alignment horizontal="right" vertical="top"/>
    </xf>
    <xf numFmtId="9" fontId="9" fillId="6" borderId="5" xfId="4" applyFont="1" applyFill="1" applyBorder="1" applyAlignment="1" applyProtection="1">
      <alignment vertical="top"/>
      <protection locked="0"/>
    </xf>
    <xf numFmtId="167" fontId="9" fillId="0" borderId="0" xfId="4" applyNumberFormat="1" applyFont="1" applyFill="1" applyBorder="1" applyAlignment="1" applyProtection="1">
      <alignment vertical="top" wrapText="1"/>
      <protection locked="0"/>
    </xf>
    <xf numFmtId="0" fontId="9" fillId="0" borderId="6" xfId="2" applyFont="1" applyBorder="1" applyAlignment="1" applyProtection="1">
      <alignment vertical="center"/>
      <protection locked="0"/>
    </xf>
    <xf numFmtId="0" fontId="10" fillId="0" borderId="0" xfId="2" applyFont="1" applyProtection="1">
      <protection locked="0"/>
    </xf>
    <xf numFmtId="0" fontId="11" fillId="0" borderId="0" xfId="2" applyFont="1" applyAlignment="1" applyProtection="1"/>
    <xf numFmtId="0" fontId="11" fillId="0" borderId="0" xfId="2" applyFont="1" applyAlignment="1" applyProtection="1">
      <alignment horizontal="right"/>
    </xf>
    <xf numFmtId="0" fontId="10" fillId="0" borderId="0" xfId="2" applyFont="1" applyProtection="1"/>
    <xf numFmtId="0" fontId="10" fillId="0" borderId="0" xfId="2" applyFont="1" applyAlignment="1" applyProtection="1"/>
    <xf numFmtId="0" fontId="10" fillId="0" borderId="0" xfId="2" applyFont="1" applyAlignment="1" applyProtection="1">
      <alignment horizontal="right"/>
    </xf>
    <xf numFmtId="0" fontId="10" fillId="0" borderId="0" xfId="2" applyFont="1" applyFill="1" applyProtection="1">
      <protection locked="0"/>
    </xf>
    <xf numFmtId="0" fontId="10" fillId="0" borderId="0" xfId="2" applyFont="1" applyFill="1" applyAlignment="1" applyProtection="1">
      <alignment horizontal="center"/>
      <protection locked="0"/>
    </xf>
    <xf numFmtId="164" fontId="10" fillId="0" borderId="0" xfId="2" applyNumberFormat="1" applyFont="1" applyFill="1" applyAlignment="1" applyProtection="1">
      <alignment horizontal="right"/>
      <protection locked="0"/>
    </xf>
    <xf numFmtId="165" fontId="10" fillId="0" borderId="0" xfId="2" applyNumberFormat="1" applyFont="1" applyFill="1" applyAlignment="1" applyProtection="1">
      <alignment horizontal="right"/>
      <protection locked="0"/>
    </xf>
    <xf numFmtId="14" fontId="10" fillId="0" borderId="0" xfId="3" applyNumberFormat="1" applyFont="1" applyFill="1" applyProtection="1">
      <protection locked="0"/>
    </xf>
    <xf numFmtId="15" fontId="10" fillId="0" borderId="0" xfId="2" applyNumberFormat="1" applyFont="1" applyFill="1" applyAlignment="1" applyProtection="1">
      <alignment horizontal="center"/>
      <protection locked="0"/>
    </xf>
    <xf numFmtId="166" fontId="10" fillId="0" borderId="0" xfId="3" applyNumberFormat="1" applyFont="1" applyFill="1" applyProtection="1"/>
    <xf numFmtId="166" fontId="10" fillId="0" borderId="0" xfId="3" applyNumberFormat="1" applyFont="1" applyProtection="1">
      <protection locked="0"/>
    </xf>
    <xf numFmtId="166" fontId="10" fillId="0" borderId="0" xfId="3" applyNumberFormat="1" applyFont="1" applyFill="1" applyAlignment="1" applyProtection="1">
      <protection locked="0"/>
    </xf>
    <xf numFmtId="0" fontId="10" fillId="0" borderId="0" xfId="2" applyFont="1" applyAlignment="1" applyProtection="1">
      <alignment horizontal="center"/>
      <protection locked="0"/>
    </xf>
    <xf numFmtId="166" fontId="10" fillId="0" borderId="0" xfId="3" applyNumberFormat="1" applyFont="1" applyFill="1" applyProtection="1">
      <protection locked="0"/>
    </xf>
    <xf numFmtId="9" fontId="10" fillId="0" borderId="0" xfId="4" applyFont="1" applyProtection="1">
      <protection locked="0"/>
    </xf>
    <xf numFmtId="168" fontId="10" fillId="7" borderId="5" xfId="3" applyNumberFormat="1" applyFont="1" applyFill="1" applyBorder="1" applyProtection="1">
      <protection locked="0"/>
    </xf>
    <xf numFmtId="0" fontId="10" fillId="7" borderId="5" xfId="2" applyFont="1" applyFill="1" applyBorder="1" applyProtection="1">
      <protection locked="0"/>
    </xf>
    <xf numFmtId="166" fontId="10" fillId="0" borderId="0" xfId="3" applyNumberFormat="1" applyFont="1" applyProtection="1"/>
    <xf numFmtId="166" fontId="10" fillId="0" borderId="0" xfId="3" applyNumberFormat="1" applyFont="1" applyAlignment="1" applyProtection="1"/>
    <xf numFmtId="166" fontId="10" fillId="7" borderId="5" xfId="3" applyNumberFormat="1" applyFont="1" applyFill="1" applyBorder="1" applyProtection="1">
      <protection locked="0"/>
    </xf>
    <xf numFmtId="9" fontId="10" fillId="7" borderId="5" xfId="2" applyNumberFormat="1" applyFont="1" applyFill="1" applyBorder="1" applyProtection="1">
      <protection locked="0"/>
    </xf>
    <xf numFmtId="9" fontId="10" fillId="0" borderId="0" xfId="4" applyFont="1" applyBorder="1" applyProtection="1">
      <protection locked="0"/>
    </xf>
    <xf numFmtId="0" fontId="11" fillId="0" borderId="0" xfId="2" applyFont="1" applyAlignment="1" applyProtection="1">
      <protection locked="0"/>
    </xf>
    <xf numFmtId="0" fontId="11" fillId="0" borderId="0" xfId="2" applyFont="1" applyAlignment="1" applyProtection="1">
      <alignment horizontal="right"/>
      <protection locked="0"/>
    </xf>
    <xf numFmtId="0" fontId="10" fillId="0" borderId="0" xfId="2" applyFont="1" applyAlignment="1" applyProtection="1">
      <protection locked="0"/>
    </xf>
    <xf numFmtId="0" fontId="10" fillId="0" borderId="0" xfId="2" applyFont="1" applyAlignment="1" applyProtection="1">
      <alignment horizontal="right"/>
      <protection locked="0"/>
    </xf>
    <xf numFmtId="169" fontId="10" fillId="0" borderId="0" xfId="3" applyNumberFormat="1" applyFont="1" applyProtection="1">
      <protection locked="0"/>
    </xf>
    <xf numFmtId="43" fontId="10" fillId="0" borderId="0" xfId="3" applyFont="1" applyProtection="1">
      <protection locked="0"/>
    </xf>
    <xf numFmtId="166" fontId="10" fillId="0" borderId="0" xfId="3" applyNumberFormat="1" applyFont="1" applyAlignment="1" applyProtection="1">
      <protection locked="0"/>
    </xf>
    <xf numFmtId="0" fontId="10" fillId="0" borderId="0" xfId="2" applyFont="1" applyBorder="1" applyProtection="1">
      <protection locked="0"/>
    </xf>
    <xf numFmtId="164" fontId="10" fillId="0" borderId="0" xfId="2" applyNumberFormat="1" applyFont="1" applyAlignment="1" applyProtection="1">
      <alignment horizontal="right"/>
      <protection locked="0"/>
    </xf>
    <xf numFmtId="165" fontId="10" fillId="0" borderId="0" xfId="2" applyNumberFormat="1" applyFont="1" applyAlignment="1" applyProtection="1">
      <alignment horizontal="right"/>
      <protection locked="0"/>
    </xf>
    <xf numFmtId="166" fontId="10" fillId="0" borderId="0" xfId="2" applyNumberFormat="1" applyFont="1" applyProtection="1">
      <protection locked="0"/>
    </xf>
    <xf numFmtId="0" fontId="10" fillId="0" borderId="0" xfId="2" applyNumberFormat="1" applyFont="1" applyProtection="1">
      <protection locked="0"/>
    </xf>
    <xf numFmtId="166" fontId="10" fillId="0" borderId="0" xfId="3" applyNumberFormat="1" applyFont="1" applyFill="1" applyBorder="1" applyProtection="1"/>
    <xf numFmtId="166" fontId="10" fillId="0" borderId="0" xfId="3" applyNumberFormat="1" applyFont="1" applyBorder="1" applyProtection="1">
      <protection locked="0"/>
    </xf>
    <xf numFmtId="165" fontId="10" fillId="0" borderId="0" xfId="2" quotePrefix="1" applyNumberFormat="1" applyFont="1" applyAlignment="1" applyProtection="1">
      <alignment horizontal="right"/>
      <protection locked="0"/>
    </xf>
    <xf numFmtId="164" fontId="10" fillId="0" borderId="0" xfId="2" applyNumberFormat="1" applyFont="1" applyProtection="1">
      <protection locked="0"/>
    </xf>
    <xf numFmtId="165" fontId="10" fillId="0" borderId="0" xfId="2" applyNumberFormat="1" applyFont="1" applyProtection="1">
      <protection locked="0"/>
    </xf>
    <xf numFmtId="15" fontId="10" fillId="0" borderId="0" xfId="2" applyNumberFormat="1" applyFont="1" applyProtection="1">
      <protection locked="0"/>
    </xf>
    <xf numFmtId="15" fontId="10" fillId="0" borderId="0" xfId="2" applyNumberFormat="1" applyFont="1" applyAlignment="1" applyProtection="1">
      <alignment horizontal="center"/>
      <protection locked="0"/>
    </xf>
    <xf numFmtId="0" fontId="10" fillId="0" borderId="0" xfId="2" applyFont="1" applyFill="1" applyProtection="1"/>
    <xf numFmtId="43" fontId="10" fillId="0" borderId="0" xfId="3" applyFont="1" applyProtection="1"/>
    <xf numFmtId="0" fontId="12" fillId="6" borderId="5" xfId="2" applyFont="1" applyFill="1" applyBorder="1" applyAlignment="1" applyProtection="1">
      <alignment horizontal="left" vertical="top"/>
    </xf>
    <xf numFmtId="0" fontId="12" fillId="6" borderId="5" xfId="2" applyFont="1" applyFill="1" applyBorder="1" applyAlignment="1" applyProtection="1">
      <alignment horizontal="center" vertical="top"/>
    </xf>
    <xf numFmtId="0" fontId="12" fillId="6" borderId="5" xfId="2" applyFont="1" applyFill="1" applyBorder="1" applyAlignment="1" applyProtection="1">
      <alignment vertical="top"/>
    </xf>
    <xf numFmtId="0" fontId="12" fillId="6" borderId="5" xfId="2" applyFont="1" applyFill="1" applyBorder="1" applyAlignment="1" applyProtection="1">
      <alignment horizontal="right" vertical="top"/>
    </xf>
    <xf numFmtId="166" fontId="12" fillId="6" borderId="5" xfId="3" applyNumberFormat="1" applyFont="1" applyFill="1" applyBorder="1" applyAlignment="1" applyProtection="1">
      <alignment horizontal="right" vertical="top"/>
    </xf>
    <xf numFmtId="0" fontId="8" fillId="0" borderId="0" xfId="2"/>
    <xf numFmtId="0" fontId="13" fillId="0" borderId="0" xfId="2" applyFont="1" applyProtection="1"/>
    <xf numFmtId="0" fontId="13" fillId="0" borderId="0" xfId="2" applyFont="1" applyFill="1" applyAlignment="1" applyProtection="1">
      <alignment horizontal="center"/>
      <protection locked="0"/>
    </xf>
    <xf numFmtId="170" fontId="13" fillId="0" borderId="0" xfId="2" applyNumberFormat="1" applyFont="1" applyProtection="1"/>
    <xf numFmtId="166" fontId="13" fillId="0" borderId="0" xfId="3" applyNumberFormat="1" applyFont="1" applyFill="1" applyProtection="1"/>
    <xf numFmtId="166" fontId="13" fillId="0" borderId="0" xfId="3" applyNumberFormat="1" applyFont="1" applyProtection="1"/>
    <xf numFmtId="166" fontId="13" fillId="0" borderId="0" xfId="3" applyNumberFormat="1" applyFont="1" applyFill="1" applyAlignment="1" applyProtection="1">
      <alignment horizontal="left" indent="1"/>
    </xf>
    <xf numFmtId="0" fontId="13" fillId="0" borderId="0" xfId="2" applyFont="1" applyAlignment="1" applyProtection="1">
      <alignment horizontal="center"/>
    </xf>
    <xf numFmtId="0" fontId="12" fillId="0" borderId="0" xfId="2" applyFont="1" applyProtection="1"/>
    <xf numFmtId="170" fontId="13" fillId="0" borderId="0" xfId="3" applyNumberFormat="1" applyFont="1" applyProtection="1"/>
    <xf numFmtId="9" fontId="10" fillId="0" borderId="0" xfId="4" applyFont="1" applyAlignment="1" applyProtection="1">
      <alignment horizontal="center"/>
      <protection locked="0"/>
    </xf>
    <xf numFmtId="0" fontId="10" fillId="0" borderId="0" xfId="2" applyNumberFormat="1" applyFont="1" applyFill="1" applyProtection="1">
      <protection locked="0"/>
    </xf>
    <xf numFmtId="0" fontId="10" fillId="0" borderId="0" xfId="2" applyNumberFormat="1" applyFont="1" applyAlignment="1" applyProtection="1">
      <alignment horizontal="right"/>
      <protection locked="0"/>
    </xf>
    <xf numFmtId="15" fontId="10" fillId="0" borderId="0" xfId="3" applyNumberFormat="1" applyFont="1" applyProtection="1">
      <protection locked="0"/>
    </xf>
    <xf numFmtId="9" fontId="10" fillId="0" borderId="0" xfId="4" applyFont="1" applyFill="1" applyProtection="1">
      <protection locked="0"/>
    </xf>
    <xf numFmtId="15" fontId="10" fillId="0" borderId="0" xfId="2" applyNumberFormat="1" applyFont="1" applyFill="1" applyProtection="1">
      <protection locked="0"/>
    </xf>
    <xf numFmtId="0" fontId="10" fillId="0" borderId="0" xfId="2" applyNumberFormat="1" applyFont="1" applyFill="1" applyAlignment="1" applyProtection="1">
      <alignment horizontal="right"/>
      <protection locked="0"/>
    </xf>
    <xf numFmtId="9" fontId="10" fillId="0" borderId="0" xfId="4" applyFont="1" applyBorder="1" applyAlignment="1" applyProtection="1">
      <alignment horizontal="center"/>
      <protection locked="0"/>
    </xf>
    <xf numFmtId="15" fontId="10" fillId="0" borderId="0" xfId="2" applyNumberFormat="1" applyFont="1" applyBorder="1" applyProtection="1">
      <protection locked="0"/>
    </xf>
    <xf numFmtId="15" fontId="10" fillId="0" borderId="0" xfId="3" applyNumberFormat="1" applyFont="1" applyBorder="1" applyProtection="1">
      <protection locked="0"/>
    </xf>
    <xf numFmtId="0" fontId="10" fillId="0" borderId="0" xfId="2" quotePrefix="1" applyNumberFormat="1" applyFont="1" applyAlignment="1" applyProtection="1">
      <alignment horizontal="right"/>
      <protection locked="0"/>
    </xf>
    <xf numFmtId="0" fontId="9" fillId="0" borderId="0" xfId="2" applyFont="1" applyProtection="1">
      <protection locked="0"/>
    </xf>
    <xf numFmtId="0" fontId="9" fillId="0" borderId="0" xfId="2" applyFont="1" applyAlignment="1" applyProtection="1">
      <alignment horizontal="right"/>
    </xf>
    <xf numFmtId="0" fontId="9" fillId="0" borderId="0" xfId="2" applyFont="1" applyAlignment="1" applyProtection="1"/>
    <xf numFmtId="0" fontId="9" fillId="0" borderId="0" xfId="2" applyFont="1" applyProtection="1"/>
    <xf numFmtId="0" fontId="9" fillId="0" borderId="0" xfId="2" applyFont="1" applyFill="1" applyProtection="1">
      <protection locked="0"/>
    </xf>
    <xf numFmtId="0" fontId="9" fillId="8" borderId="5" xfId="2" applyFont="1" applyFill="1" applyBorder="1" applyAlignment="1" applyProtection="1">
      <alignment horizontal="right" vertical="top"/>
      <protection locked="0"/>
    </xf>
    <xf numFmtId="0" fontId="9" fillId="8" borderId="5" xfId="2" applyFont="1" applyFill="1" applyBorder="1" applyAlignment="1" applyProtection="1">
      <alignment horizontal="center" vertical="top"/>
      <protection locked="0"/>
    </xf>
    <xf numFmtId="0" fontId="9" fillId="8" borderId="5" xfId="2" applyFont="1" applyFill="1" applyBorder="1" applyAlignment="1" applyProtection="1">
      <alignment horizontal="left" vertical="top"/>
      <protection locked="0"/>
    </xf>
    <xf numFmtId="0" fontId="9" fillId="8" borderId="5" xfId="2" applyFont="1" applyFill="1" applyBorder="1" applyAlignment="1" applyProtection="1">
      <alignment horizontal="left" vertical="top" wrapText="1"/>
      <protection locked="0"/>
    </xf>
    <xf numFmtId="167" fontId="9" fillId="8" borderId="0" xfId="4" applyNumberFormat="1" applyFont="1" applyFill="1" applyBorder="1" applyAlignment="1" applyProtection="1">
      <alignment horizontal="left" vertical="top" wrapText="1"/>
      <protection locked="0"/>
    </xf>
    <xf numFmtId="0" fontId="9" fillId="0" borderId="0" xfId="2" applyFont="1" applyFill="1" applyAlignment="1" applyProtection="1">
      <alignment horizontal="left"/>
      <protection locked="0"/>
    </xf>
    <xf numFmtId="0" fontId="10" fillId="0" borderId="0" xfId="2" applyFont="1"/>
    <xf numFmtId="15" fontId="10" fillId="0" borderId="0" xfId="2" applyNumberFormat="1" applyFont="1"/>
    <xf numFmtId="0" fontId="9" fillId="0" borderId="0" xfId="2" applyFont="1"/>
    <xf numFmtId="14" fontId="9" fillId="0" borderId="0" xfId="2" applyNumberFormat="1" applyFont="1"/>
    <xf numFmtId="37" fontId="15" fillId="0" borderId="0" xfId="5" applyFont="1"/>
    <xf numFmtId="37" fontId="15" fillId="0" borderId="0" xfId="5" applyFont="1" applyFill="1"/>
    <xf numFmtId="15" fontId="15" fillId="0" borderId="0" xfId="5" applyNumberFormat="1" applyFont="1"/>
    <xf numFmtId="37" fontId="15" fillId="9" borderId="0" xfId="5" applyFont="1" applyFill="1"/>
    <xf numFmtId="171" fontId="15" fillId="0" borderId="0" xfId="5" applyNumberFormat="1" applyFont="1" applyAlignment="1">
      <alignment horizontal="left"/>
    </xf>
    <xf numFmtId="37" fontId="16" fillId="0" borderId="0" xfId="5" applyFont="1"/>
    <xf numFmtId="37" fontId="16" fillId="0" borderId="0" xfId="5" applyFont="1" applyFill="1" applyAlignment="1">
      <alignment horizontal="center" vertical="center"/>
    </xf>
    <xf numFmtId="37" fontId="16" fillId="10" borderId="0" xfId="5" applyFont="1" applyFill="1" applyAlignment="1">
      <alignment horizontal="center" vertical="center"/>
    </xf>
    <xf numFmtId="37" fontId="15" fillId="10" borderId="0" xfId="5" applyFont="1" applyFill="1"/>
    <xf numFmtId="37" fontId="16" fillId="10" borderId="0" xfId="5" applyFont="1" applyFill="1"/>
    <xf numFmtId="0" fontId="15" fillId="0" borderId="0" xfId="5" applyNumberFormat="1" applyFont="1" applyAlignment="1">
      <alignment horizontal="left"/>
    </xf>
    <xf numFmtId="0" fontId="16" fillId="0" borderId="0" xfId="5" applyNumberFormat="1" applyFont="1" applyAlignment="1">
      <alignment horizontal="left"/>
    </xf>
    <xf numFmtId="10" fontId="15" fillId="0" borderId="0" xfId="5" applyNumberFormat="1" applyFont="1"/>
    <xf numFmtId="0" fontId="16" fillId="10" borderId="0" xfId="5" applyNumberFormat="1" applyFont="1" applyFill="1" applyAlignment="1">
      <alignment horizontal="left"/>
    </xf>
    <xf numFmtId="37" fontId="15" fillId="0" borderId="0" xfId="5" applyFont="1" applyAlignment="1">
      <alignment horizontal="right"/>
    </xf>
    <xf numFmtId="37" fontId="15" fillId="0" borderId="0" xfId="5" applyFont="1" applyFill="1" applyAlignment="1">
      <alignment horizontal="right"/>
    </xf>
    <xf numFmtId="164" fontId="10" fillId="0" borderId="0" xfId="2" applyNumberFormat="1" applyFont="1" applyFill="1" applyProtection="1">
      <protection locked="0"/>
    </xf>
    <xf numFmtId="43" fontId="10" fillId="0" borderId="0" xfId="3" applyFont="1" applyFill="1" applyProtection="1">
      <protection locked="0"/>
    </xf>
    <xf numFmtId="164" fontId="9" fillId="6" borderId="5" xfId="2" applyNumberFormat="1" applyFont="1" applyFill="1" applyBorder="1" applyAlignment="1" applyProtection="1">
      <alignment vertical="top"/>
      <protection locked="0"/>
    </xf>
    <xf numFmtId="0" fontId="2" fillId="0" borderId="0" xfId="0" applyFont="1"/>
    <xf numFmtId="0" fontId="10" fillId="0" borderId="0" xfId="6" applyFont="1" applyProtection="1">
      <protection locked="0"/>
    </xf>
    <xf numFmtId="15" fontId="10" fillId="0" borderId="0" xfId="6" applyNumberFormat="1" applyFont="1" applyProtection="1">
      <protection locked="0"/>
    </xf>
    <xf numFmtId="0" fontId="10" fillId="0" borderId="0" xfId="6" applyFont="1" applyFill="1" applyProtection="1"/>
    <xf numFmtId="164" fontId="10" fillId="0" borderId="0" xfId="6" applyNumberFormat="1" applyFont="1" applyProtection="1">
      <protection locked="0"/>
    </xf>
    <xf numFmtId="165" fontId="10" fillId="0" borderId="0" xfId="6" applyNumberFormat="1" applyFont="1" applyProtection="1">
      <protection locked="0"/>
    </xf>
    <xf numFmtId="0" fontId="10" fillId="0" borderId="0" xfId="6" applyFont="1" applyAlignment="1" applyProtection="1">
      <alignment horizontal="center"/>
      <protection locked="0"/>
    </xf>
    <xf numFmtId="15" fontId="10" fillId="0" borderId="0" xfId="6" applyNumberFormat="1" applyFont="1" applyFill="1" applyProtection="1">
      <protection locked="0"/>
    </xf>
    <xf numFmtId="14" fontId="10" fillId="0" borderId="0" xfId="6" applyNumberFormat="1" applyFont="1" applyProtection="1">
      <protection locked="0"/>
    </xf>
    <xf numFmtId="164" fontId="10" fillId="0" borderId="0" xfId="6" applyNumberFormat="1" applyFont="1" applyAlignment="1" applyProtection="1">
      <alignment horizontal="right"/>
      <protection locked="0"/>
    </xf>
    <xf numFmtId="165" fontId="10" fillId="0" borderId="0" xfId="6" applyNumberFormat="1" applyFont="1" applyAlignment="1" applyProtection="1">
      <alignment horizontal="right"/>
      <protection locked="0"/>
    </xf>
    <xf numFmtId="0" fontId="10" fillId="0" borderId="0" xfId="6" applyFont="1" applyFill="1" applyAlignment="1" applyProtection="1">
      <alignment horizontal="center"/>
      <protection locked="0"/>
    </xf>
    <xf numFmtId="0" fontId="10" fillId="0" borderId="0" xfId="6" applyFont="1" applyFill="1" applyProtection="1">
      <protection locked="0"/>
    </xf>
    <xf numFmtId="165" fontId="10" fillId="0" borderId="0" xfId="6" quotePrefix="1" applyNumberFormat="1" applyFont="1" applyAlignment="1" applyProtection="1">
      <alignment horizontal="right"/>
      <protection locked="0"/>
    </xf>
    <xf numFmtId="164" fontId="10" fillId="0" borderId="0" xfId="6" applyNumberFormat="1" applyFont="1" applyFill="1" applyAlignment="1" applyProtection="1">
      <alignment horizontal="right"/>
      <protection locked="0"/>
    </xf>
    <xf numFmtId="165" fontId="10" fillId="0" borderId="0" xfId="6" applyNumberFormat="1" applyFont="1" applyFill="1" applyAlignment="1" applyProtection="1">
      <alignment horizontal="right"/>
      <protection locked="0"/>
    </xf>
    <xf numFmtId="0" fontId="9" fillId="6" borderId="5" xfId="6" applyFont="1" applyFill="1" applyBorder="1" applyAlignment="1" applyProtection="1">
      <alignment horizontal="center" vertical="top"/>
      <protection locked="0"/>
    </xf>
    <xf numFmtId="0" fontId="9" fillId="6" borderId="5" xfId="6" applyFont="1" applyFill="1" applyBorder="1" applyAlignment="1" applyProtection="1">
      <alignment vertical="top"/>
      <protection locked="0"/>
    </xf>
    <xf numFmtId="15" fontId="9" fillId="6" borderId="5" xfId="6" applyNumberFormat="1" applyFont="1" applyFill="1" applyBorder="1" applyAlignment="1" applyProtection="1">
      <alignment horizontal="left" vertical="top"/>
      <protection locked="0"/>
    </xf>
    <xf numFmtId="0" fontId="9" fillId="6" borderId="5" xfId="6" applyFont="1" applyFill="1" applyBorder="1" applyAlignment="1" applyProtection="1">
      <alignment horizontal="right" vertical="top"/>
    </xf>
    <xf numFmtId="15" fontId="9" fillId="6" borderId="5" xfId="6" applyNumberFormat="1" applyFont="1" applyFill="1" applyBorder="1" applyAlignment="1" applyProtection="1">
      <alignment horizontal="right" vertical="top"/>
      <protection locked="0"/>
    </xf>
    <xf numFmtId="164" fontId="9" fillId="6" borderId="5" xfId="6" applyNumberFormat="1" applyFont="1" applyFill="1" applyBorder="1" applyAlignment="1" applyProtection="1">
      <alignment horizontal="center" vertical="top"/>
      <protection locked="0"/>
    </xf>
    <xf numFmtId="165" fontId="9" fillId="6" borderId="5" xfId="6" applyNumberFormat="1" applyFont="1" applyFill="1" applyBorder="1" applyAlignment="1" applyProtection="1">
      <alignment horizontal="center" vertical="top"/>
      <protection locked="0"/>
    </xf>
    <xf numFmtId="0" fontId="9" fillId="6" borderId="5" xfId="6" applyFont="1" applyFill="1" applyBorder="1" applyAlignment="1" applyProtection="1">
      <alignment horizontal="left" vertical="top"/>
      <protection locked="0"/>
    </xf>
    <xf numFmtId="0" fontId="10" fillId="0" borderId="0" xfId="6" applyFont="1"/>
    <xf numFmtId="164" fontId="10" fillId="0" borderId="0" xfId="2" applyNumberFormat="1" applyFont="1" applyFill="1" applyAlignment="1" applyProtection="1">
      <alignment horizontal="left"/>
    </xf>
    <xf numFmtId="0" fontId="10" fillId="0" borderId="0" xfId="2" applyFont="1" applyFill="1" applyAlignment="1" applyProtection="1">
      <alignment horizontal="left"/>
    </xf>
    <xf numFmtId="164" fontId="10" fillId="0" borderId="0" xfId="2" applyNumberFormat="1" applyFont="1" applyAlignment="1" applyProtection="1">
      <alignment horizontal="left"/>
    </xf>
    <xf numFmtId="164" fontId="9" fillId="6" borderId="5" xfId="2" applyNumberFormat="1" applyFont="1" applyFill="1" applyBorder="1" applyAlignment="1" applyProtection="1">
      <alignment vertical="top"/>
    </xf>
    <xf numFmtId="0" fontId="10" fillId="0" borderId="0" xfId="2" applyFont="1" applyAlignment="1" applyProtection="1">
      <alignment horizontal="left"/>
    </xf>
    <xf numFmtId="0" fontId="9" fillId="6" borderId="5" xfId="2" applyFont="1" applyFill="1" applyBorder="1" applyAlignment="1" applyProtection="1">
      <alignment vertical="top"/>
    </xf>
    <xf numFmtId="0" fontId="10" fillId="0" borderId="0" xfId="2" applyFont="1" applyFill="1" applyAlignment="1" applyProtection="1">
      <alignment horizontal="left"/>
      <protection locked="0"/>
    </xf>
    <xf numFmtId="164" fontId="9" fillId="0" borderId="5" xfId="2" applyNumberFormat="1" applyFont="1" applyFill="1" applyBorder="1" applyAlignment="1" applyProtection="1">
      <alignment vertical="top"/>
    </xf>
    <xf numFmtId="0" fontId="9" fillId="0" borderId="5" xfId="2" applyFont="1" applyFill="1" applyBorder="1" applyAlignment="1" applyProtection="1">
      <alignment vertical="top"/>
    </xf>
    <xf numFmtId="0" fontId="18" fillId="0" borderId="0" xfId="2" applyFont="1" applyBorder="1" applyAlignment="1">
      <alignment horizontal="left"/>
    </xf>
    <xf numFmtId="0" fontId="19" fillId="0" borderId="0" xfId="2" applyFont="1"/>
    <xf numFmtId="0" fontId="19" fillId="0" borderId="0" xfId="2" applyFont="1" applyFill="1"/>
    <xf numFmtId="169" fontId="19" fillId="0" borderId="0" xfId="3" applyNumberFormat="1" applyFont="1" applyFill="1"/>
    <xf numFmtId="0" fontId="20" fillId="0" borderId="0" xfId="2" applyFont="1"/>
    <xf numFmtId="0" fontId="21" fillId="0" borderId="0" xfId="2" applyFont="1"/>
    <xf numFmtId="0" fontId="22" fillId="0" borderId="0" xfId="2" applyFont="1"/>
    <xf numFmtId="173" fontId="19" fillId="0" borderId="0" xfId="2" applyNumberFormat="1" applyFont="1" applyFill="1"/>
    <xf numFmtId="174" fontId="19" fillId="0" borderId="0" xfId="4" applyNumberFormat="1" applyFont="1" applyFill="1"/>
    <xf numFmtId="0" fontId="19" fillId="0" borderId="0" xfId="2" applyFont="1" applyFill="1" applyBorder="1"/>
    <xf numFmtId="40" fontId="19" fillId="0" borderId="0" xfId="2" applyNumberFormat="1" applyFont="1" applyFill="1" applyBorder="1"/>
    <xf numFmtId="0" fontId="20" fillId="0" borderId="0" xfId="2" applyFont="1" applyBorder="1"/>
    <xf numFmtId="43" fontId="19" fillId="0" borderId="0" xfId="3" applyFont="1" applyFill="1" applyBorder="1"/>
    <xf numFmtId="18" fontId="19" fillId="0" borderId="0" xfId="2" applyNumberFormat="1" applyFont="1" applyFill="1"/>
    <xf numFmtId="14" fontId="19" fillId="0" borderId="0" xfId="2" applyNumberFormat="1" applyFont="1" applyFill="1"/>
    <xf numFmtId="44" fontId="19" fillId="0" borderId="0" xfId="7" applyFont="1" applyFill="1" applyBorder="1"/>
    <xf numFmtId="43" fontId="19" fillId="0" borderId="0" xfId="3" applyFont="1" applyFill="1"/>
    <xf numFmtId="0" fontId="20" fillId="0" borderId="0" xfId="2" applyFont="1" applyFill="1" applyBorder="1" applyAlignment="1">
      <alignment horizontal="center"/>
    </xf>
    <xf numFmtId="0" fontId="19" fillId="0" borderId="0" xfId="2" applyFont="1" applyBorder="1"/>
    <xf numFmtId="0" fontId="19" fillId="0" borderId="0" xfId="2" applyFont="1" applyFill="1" applyBorder="1" applyAlignment="1">
      <alignment horizontal="right"/>
    </xf>
    <xf numFmtId="0" fontId="19" fillId="0" borderId="0" xfId="2" applyFont="1" applyFill="1" applyAlignment="1">
      <alignment horizontal="centerContinuous"/>
    </xf>
    <xf numFmtId="0" fontId="20" fillId="0" borderId="0" xfId="2" applyFont="1" applyAlignment="1">
      <alignment horizontal="left"/>
    </xf>
    <xf numFmtId="0" fontId="10" fillId="0" borderId="0" xfId="2" applyFont="1" applyAlignment="1">
      <alignment horizontal="center"/>
    </xf>
    <xf numFmtId="166" fontId="10" fillId="0" borderId="0" xfId="3" applyNumberFormat="1" applyFont="1"/>
    <xf numFmtId="170" fontId="10" fillId="0" borderId="0" xfId="2" applyNumberFormat="1" applyFont="1"/>
    <xf numFmtId="0" fontId="10" fillId="0" borderId="0" xfId="2" applyFont="1" applyAlignment="1">
      <alignment horizontal="left" indent="1"/>
    </xf>
    <xf numFmtId="0" fontId="9" fillId="0" borderId="0" xfId="2" applyFont="1" applyAlignment="1">
      <alignment horizontal="left"/>
    </xf>
    <xf numFmtId="0" fontId="9" fillId="0" borderId="0" xfId="2" applyFont="1" applyFill="1" applyAlignment="1">
      <alignment horizontal="center"/>
    </xf>
    <xf numFmtId="166" fontId="9" fillId="0" borderId="0" xfId="3" applyNumberFormat="1" applyFont="1" applyFill="1"/>
    <xf numFmtId="0" fontId="9" fillId="0" borderId="0" xfId="2" applyFont="1" applyFill="1"/>
    <xf numFmtId="170" fontId="9" fillId="0" borderId="0" xfId="2" applyNumberFormat="1" applyFont="1" applyFill="1"/>
    <xf numFmtId="0" fontId="9" fillId="0" borderId="0" xfId="2" applyFont="1" applyFill="1" applyAlignment="1">
      <alignment horizontal="left"/>
    </xf>
    <xf numFmtId="0" fontId="9" fillId="11" borderId="0" xfId="2" applyFont="1" applyFill="1" applyAlignment="1">
      <alignment horizontal="center"/>
    </xf>
    <xf numFmtId="166" fontId="9" fillId="11" borderId="0" xfId="3" applyNumberFormat="1" applyFont="1" applyFill="1"/>
    <xf numFmtId="0" fontId="9" fillId="11" borderId="0" xfId="2" applyFont="1" applyFill="1"/>
    <xf numFmtId="170" fontId="9" fillId="11" borderId="0" xfId="2" applyNumberFormat="1" applyFont="1" applyFill="1"/>
    <xf numFmtId="0" fontId="9" fillId="11" borderId="0" xfId="2" applyFont="1" applyFill="1" applyAlignment="1">
      <alignment horizontal="left"/>
    </xf>
    <xf numFmtId="0" fontId="23" fillId="0" borderId="0" xfId="8"/>
    <xf numFmtId="15" fontId="23" fillId="0" borderId="0" xfId="8" applyNumberFormat="1"/>
    <xf numFmtId="14" fontId="23" fillId="0" borderId="0" xfId="8" applyNumberFormat="1"/>
    <xf numFmtId="0" fontId="18" fillId="0" borderId="0" xfId="8" applyFont="1"/>
    <xf numFmtId="0" fontId="10" fillId="0" borderId="0" xfId="2" applyNumberFormat="1" applyFont="1"/>
    <xf numFmtId="49" fontId="10" fillId="0" borderId="0" xfId="2" applyNumberFormat="1" applyFont="1"/>
    <xf numFmtId="49" fontId="9" fillId="0" borderId="0" xfId="2" applyNumberFormat="1" applyFont="1"/>
    <xf numFmtId="0" fontId="9" fillId="0" borderId="0" xfId="2" applyNumberFormat="1" applyFont="1"/>
    <xf numFmtId="0" fontId="23" fillId="0" borderId="0" xfId="8" applyNumberFormat="1"/>
    <xf numFmtId="43" fontId="0" fillId="0" borderId="0" xfId="9" applyFont="1"/>
    <xf numFmtId="176" fontId="0" fillId="0" borderId="0" xfId="9" applyNumberFormat="1" applyFont="1"/>
    <xf numFmtId="175" fontId="0" fillId="0" borderId="0" xfId="9" applyNumberFormat="1" applyFont="1"/>
    <xf numFmtId="0" fontId="23" fillId="0" borderId="0" xfId="8" quotePrefix="1" applyNumberFormat="1"/>
    <xf numFmtId="0" fontId="18" fillId="0" borderId="0" xfId="8" applyFont="1" applyAlignment="1">
      <alignment horizontal="center"/>
    </xf>
    <xf numFmtId="0" fontId="18" fillId="0" borderId="0" xfId="8" applyNumberFormat="1" applyFont="1"/>
    <xf numFmtId="0" fontId="18" fillId="0" borderId="0" xfId="8" quotePrefix="1" applyNumberFormat="1" applyFont="1" applyAlignment="1">
      <alignment horizontal="center"/>
    </xf>
    <xf numFmtId="0" fontId="26" fillId="0" borderId="0" xfId="2" applyFont="1" applyFill="1" applyProtection="1">
      <protection locked="0"/>
    </xf>
    <xf numFmtId="0" fontId="26" fillId="0" borderId="0" xfId="2" applyFont="1" applyFill="1" applyAlignment="1" applyProtection="1">
      <alignment horizontal="center"/>
      <protection locked="0"/>
    </xf>
    <xf numFmtId="164" fontId="26" fillId="0" borderId="0" xfId="2" applyNumberFormat="1" applyFont="1" applyFill="1" applyProtection="1">
      <protection locked="0"/>
    </xf>
    <xf numFmtId="15" fontId="26" fillId="0" borderId="0" xfId="2" applyNumberFormat="1" applyFont="1" applyFill="1" applyProtection="1">
      <protection locked="0"/>
    </xf>
    <xf numFmtId="166" fontId="26" fillId="0" borderId="0" xfId="3" applyNumberFormat="1" applyFont="1" applyFill="1" applyProtection="1"/>
    <xf numFmtId="166" fontId="26" fillId="0" borderId="0" xfId="3" applyNumberFormat="1" applyFont="1" applyProtection="1">
      <protection locked="0"/>
    </xf>
    <xf numFmtId="166" fontId="26" fillId="0" borderId="0" xfId="3" applyNumberFormat="1" applyFont="1" applyFill="1" applyAlignment="1" applyProtection="1">
      <protection locked="0"/>
    </xf>
    <xf numFmtId="43" fontId="26" fillId="0" borderId="0" xfId="3" applyFont="1" applyProtection="1"/>
    <xf numFmtId="9" fontId="26" fillId="0" borderId="0" xfId="4" applyFont="1" applyProtection="1">
      <protection locked="0"/>
    </xf>
    <xf numFmtId="0" fontId="9" fillId="6" borderId="5" xfId="2" applyNumberFormat="1" applyFont="1" applyFill="1" applyBorder="1" applyAlignment="1">
      <alignment horizontal="left" vertical="top"/>
    </xf>
    <xf numFmtId="0" fontId="9" fillId="6" borderId="5" xfId="2" applyNumberFormat="1" applyFont="1" applyFill="1" applyBorder="1" applyAlignment="1">
      <alignment horizontal="center" vertical="top"/>
    </xf>
    <xf numFmtId="0" fontId="9" fillId="6" borderId="5" xfId="2" applyNumberFormat="1" applyFont="1" applyFill="1" applyBorder="1" applyAlignment="1">
      <alignment vertical="top"/>
    </xf>
    <xf numFmtId="15" fontId="9" fillId="6" borderId="5" xfId="2" applyNumberFormat="1" applyFont="1" applyFill="1" applyBorder="1" applyAlignment="1">
      <alignment horizontal="right" vertical="top"/>
    </xf>
    <xf numFmtId="0" fontId="9" fillId="6" borderId="5" xfId="2" applyNumberFormat="1" applyFont="1" applyFill="1" applyBorder="1" applyAlignment="1">
      <alignment horizontal="right" vertical="top"/>
    </xf>
    <xf numFmtId="166" fontId="9" fillId="6" borderId="5" xfId="3" applyNumberFormat="1" applyFont="1" applyFill="1" applyBorder="1" applyAlignment="1">
      <alignment vertical="top"/>
    </xf>
    <xf numFmtId="0" fontId="10" fillId="0" borderId="0" xfId="2" applyFont="1" applyAlignment="1">
      <alignment horizontal="right"/>
    </xf>
    <xf numFmtId="177" fontId="10" fillId="0" borderId="0" xfId="2" applyNumberFormat="1" applyFont="1"/>
    <xf numFmtId="0" fontId="9" fillId="0" borderId="0" xfId="2" applyFont="1" applyAlignment="1">
      <alignment horizontal="right"/>
    </xf>
    <xf numFmtId="0" fontId="9" fillId="0" borderId="0" xfId="2" applyFont="1" applyAlignment="1">
      <alignment horizontal="center"/>
    </xf>
    <xf numFmtId="178" fontId="10" fillId="0" borderId="0" xfId="2" applyNumberFormat="1" applyFont="1"/>
    <xf numFmtId="166" fontId="9" fillId="6" borderId="5" xfId="3" applyNumberFormat="1" applyFont="1" applyFill="1" applyBorder="1" applyAlignment="1" applyProtection="1">
      <alignment horizontal="right" vertical="top"/>
      <protection locked="0"/>
    </xf>
    <xf numFmtId="0" fontId="9" fillId="6" borderId="5" xfId="2" applyFont="1" applyFill="1" applyBorder="1" applyAlignment="1" applyProtection="1">
      <alignment horizontal="left" vertical="top"/>
    </xf>
    <xf numFmtId="43" fontId="10" fillId="0" borderId="0" xfId="3" applyFont="1"/>
    <xf numFmtId="14" fontId="10" fillId="0" borderId="0" xfId="2" applyNumberFormat="1" applyFont="1" applyProtection="1">
      <protection locked="0"/>
    </xf>
    <xf numFmtId="166" fontId="27" fillId="0" borderId="0" xfId="3" applyNumberFormat="1" applyFont="1" applyFill="1" applyAlignment="1" applyProtection="1">
      <alignment horizontal="left" indent="1"/>
    </xf>
    <xf numFmtId="0" fontId="10" fillId="12" borderId="8" xfId="2" applyNumberFormat="1" applyFont="1" applyFill="1" applyBorder="1" applyAlignment="1"/>
    <xf numFmtId="0" fontId="10" fillId="12" borderId="9" xfId="2" applyNumberFormat="1" applyFont="1" applyFill="1" applyBorder="1" applyAlignment="1">
      <alignment horizontal="center"/>
    </xf>
    <xf numFmtId="0" fontId="10" fillId="12" borderId="9" xfId="2" applyNumberFormat="1" applyFont="1" applyFill="1" applyBorder="1" applyAlignment="1"/>
    <xf numFmtId="164" fontId="10" fillId="12" borderId="9" xfId="2" applyNumberFormat="1" applyFont="1" applyFill="1" applyBorder="1" applyAlignment="1">
      <alignment horizontal="right"/>
    </xf>
    <xf numFmtId="165" fontId="10" fillId="12" borderId="9" xfId="2" applyNumberFormat="1" applyFont="1" applyFill="1" applyBorder="1" applyAlignment="1">
      <alignment horizontal="right"/>
    </xf>
    <xf numFmtId="14" fontId="10" fillId="12" borderId="9" xfId="2" applyNumberFormat="1" applyFont="1" applyFill="1" applyBorder="1" applyAlignment="1"/>
    <xf numFmtId="15" fontId="10" fillId="12" borderId="9" xfId="2" applyNumberFormat="1" applyFont="1" applyFill="1" applyBorder="1" applyAlignment="1"/>
    <xf numFmtId="49" fontId="10" fillId="0" borderId="0" xfId="2" applyNumberFormat="1" applyFont="1" applyAlignment="1" applyProtection="1">
      <alignment horizontal="center"/>
    </xf>
    <xf numFmtId="14" fontId="10" fillId="0" borderId="0" xfId="2" applyNumberFormat="1" applyFont="1" applyProtection="1"/>
    <xf numFmtId="166" fontId="10" fillId="12" borderId="9" xfId="3" applyNumberFormat="1" applyFont="1" applyFill="1" applyBorder="1"/>
    <xf numFmtId="166" fontId="10" fillId="12" borderId="9" xfId="3" applyNumberFormat="1" applyFont="1" applyFill="1" applyBorder="1" applyAlignment="1"/>
    <xf numFmtId="0" fontId="10" fillId="12" borderId="10" xfId="2" applyNumberFormat="1" applyFont="1" applyFill="1" applyBorder="1" applyAlignment="1">
      <alignment horizontal="center"/>
    </xf>
    <xf numFmtId="49" fontId="9" fillId="6" borderId="7" xfId="2" applyNumberFormat="1" applyFont="1" applyFill="1" applyBorder="1" applyAlignment="1" applyProtection="1">
      <alignment horizontal="center" vertical="top"/>
    </xf>
    <xf numFmtId="14" fontId="9" fillId="6" borderId="7" xfId="2" applyNumberFormat="1" applyFont="1" applyFill="1" applyBorder="1" applyAlignment="1" applyProtection="1">
      <alignment horizontal="right" vertical="top"/>
    </xf>
    <xf numFmtId="164" fontId="9" fillId="6" borderId="5" xfId="2" applyNumberFormat="1" applyFont="1" applyFill="1" applyBorder="1" applyAlignment="1">
      <alignment horizontal="center" vertical="top"/>
    </xf>
    <xf numFmtId="165" fontId="9" fillId="6" borderId="5" xfId="2" applyNumberFormat="1" applyFont="1" applyFill="1" applyBorder="1" applyAlignment="1">
      <alignment horizontal="center" vertical="top"/>
    </xf>
    <xf numFmtId="0" fontId="9" fillId="6" borderId="12" xfId="2" applyNumberFormat="1" applyFont="1" applyFill="1" applyBorder="1" applyAlignment="1">
      <alignment horizontal="left" vertical="top"/>
    </xf>
    <xf numFmtId="0" fontId="9" fillId="6" borderId="12" xfId="2" applyNumberFormat="1" applyFont="1" applyFill="1" applyBorder="1" applyAlignment="1">
      <alignment horizontal="center" vertical="top"/>
    </xf>
    <xf numFmtId="0" fontId="9" fillId="6" borderId="12" xfId="2" applyNumberFormat="1" applyFont="1" applyFill="1" applyBorder="1" applyAlignment="1">
      <alignment vertical="top"/>
    </xf>
    <xf numFmtId="164" fontId="9" fillId="6" borderId="12" xfId="2" applyNumberFormat="1" applyFont="1" applyFill="1" applyBorder="1" applyAlignment="1">
      <alignment horizontal="center" vertical="top"/>
    </xf>
    <xf numFmtId="165" fontId="9" fillId="6" borderId="12" xfId="2" applyNumberFormat="1" applyFont="1" applyFill="1" applyBorder="1" applyAlignment="1">
      <alignment horizontal="center" vertical="top"/>
    </xf>
    <xf numFmtId="15" fontId="9" fillId="6" borderId="12" xfId="2" applyNumberFormat="1" applyFont="1" applyFill="1" applyBorder="1" applyAlignment="1">
      <alignment horizontal="right" vertical="top"/>
    </xf>
    <xf numFmtId="0" fontId="9" fillId="6" borderId="12" xfId="2" applyNumberFormat="1" applyFont="1" applyFill="1" applyBorder="1" applyAlignment="1">
      <alignment horizontal="right" vertical="top"/>
    </xf>
    <xf numFmtId="0" fontId="9" fillId="6" borderId="13" xfId="2" applyNumberFormat="1" applyFont="1" applyFill="1" applyBorder="1" applyAlignment="1">
      <alignment horizontal="center" vertical="top"/>
    </xf>
    <xf numFmtId="0" fontId="10" fillId="12" borderId="14" xfId="2" applyNumberFormat="1" applyFont="1" applyFill="1" applyBorder="1" applyAlignment="1"/>
    <xf numFmtId="0" fontId="10" fillId="12" borderId="11" xfId="2" applyNumberFormat="1" applyFont="1" applyFill="1" applyBorder="1" applyAlignment="1">
      <alignment horizontal="center"/>
    </xf>
    <xf numFmtId="0" fontId="10" fillId="12" borderId="11" xfId="2" applyNumberFormat="1" applyFont="1" applyFill="1" applyBorder="1" applyAlignment="1"/>
    <xf numFmtId="164" fontId="10" fillId="12" borderId="11" xfId="2" applyNumberFormat="1" applyFont="1" applyFill="1" applyBorder="1" applyAlignment="1">
      <alignment horizontal="right"/>
    </xf>
    <xf numFmtId="165" fontId="10" fillId="12" borderId="11" xfId="2" applyNumberFormat="1" applyFont="1" applyFill="1" applyBorder="1" applyAlignment="1">
      <alignment horizontal="right"/>
    </xf>
    <xf numFmtId="14" fontId="10" fillId="12" borderId="11" xfId="2" applyNumberFormat="1" applyFont="1" applyFill="1" applyBorder="1" applyAlignment="1"/>
    <xf numFmtId="15" fontId="10" fillId="12" borderId="11" xfId="2" applyNumberFormat="1" applyFont="1" applyFill="1" applyBorder="1" applyAlignment="1"/>
    <xf numFmtId="166" fontId="10" fillId="12" borderId="11" xfId="3" applyNumberFormat="1" applyFont="1" applyFill="1" applyBorder="1"/>
    <xf numFmtId="166" fontId="10" fillId="12" borderId="11" xfId="3" applyNumberFormat="1" applyFont="1" applyFill="1" applyBorder="1" applyAlignment="1"/>
    <xf numFmtId="0" fontId="10" fillId="12" borderId="15" xfId="2" applyNumberFormat="1" applyFont="1" applyFill="1" applyBorder="1" applyAlignment="1">
      <alignment horizontal="center"/>
    </xf>
    <xf numFmtId="0" fontId="10" fillId="0" borderId="16" xfId="2" applyNumberFormat="1" applyFont="1" applyBorder="1" applyAlignment="1"/>
    <xf numFmtId="0" fontId="10" fillId="0" borderId="17" xfId="2" applyNumberFormat="1" applyFont="1" applyBorder="1" applyAlignment="1">
      <alignment horizontal="center"/>
    </xf>
    <xf numFmtId="0" fontId="10" fillId="0" borderId="17" xfId="2" applyNumberFormat="1" applyFont="1" applyBorder="1" applyAlignment="1"/>
    <xf numFmtId="164" fontId="10" fillId="0" borderId="17" xfId="2" applyNumberFormat="1" applyFont="1" applyBorder="1" applyAlignment="1">
      <alignment horizontal="right"/>
    </xf>
    <xf numFmtId="165" fontId="10" fillId="0" borderId="17" xfId="2" applyNumberFormat="1" applyFont="1" applyBorder="1" applyAlignment="1">
      <alignment horizontal="right"/>
    </xf>
    <xf numFmtId="14" fontId="10" fillId="0" borderId="17" xfId="2" applyNumberFormat="1" applyFont="1" applyBorder="1" applyAlignment="1"/>
    <xf numFmtId="15" fontId="10" fillId="0" borderId="17" xfId="2" applyNumberFormat="1" applyFont="1" applyBorder="1" applyAlignment="1"/>
    <xf numFmtId="166" fontId="10" fillId="0" borderId="17" xfId="3" applyNumberFormat="1" applyFont="1" applyBorder="1"/>
    <xf numFmtId="166" fontId="10" fillId="0" borderId="17" xfId="3" applyNumberFormat="1" applyFont="1" applyBorder="1" applyAlignment="1"/>
    <xf numFmtId="0" fontId="10" fillId="0" borderId="18" xfId="2" applyNumberFormat="1" applyFont="1" applyBorder="1" applyAlignment="1">
      <alignment horizontal="center"/>
    </xf>
    <xf numFmtId="0" fontId="10" fillId="12" borderId="16" xfId="2" applyNumberFormat="1" applyFont="1" applyFill="1" applyBorder="1" applyAlignment="1"/>
    <xf numFmtId="0" fontId="10" fillId="12" borderId="17" xfId="2" applyNumberFormat="1" applyFont="1" applyFill="1" applyBorder="1" applyAlignment="1">
      <alignment horizontal="center"/>
    </xf>
    <xf numFmtId="0" fontId="10" fillId="12" borderId="17" xfId="2" applyNumberFormat="1" applyFont="1" applyFill="1" applyBorder="1" applyAlignment="1"/>
    <xf numFmtId="164" fontId="10" fillId="12" borderId="17" xfId="2" applyNumberFormat="1" applyFont="1" applyFill="1" applyBorder="1" applyAlignment="1">
      <alignment horizontal="right"/>
    </xf>
    <xf numFmtId="165" fontId="10" fillId="12" borderId="17" xfId="2" applyNumberFormat="1" applyFont="1" applyFill="1" applyBorder="1" applyAlignment="1">
      <alignment horizontal="right"/>
    </xf>
    <xf numFmtId="14" fontId="10" fillId="12" borderId="17" xfId="2" applyNumberFormat="1" applyFont="1" applyFill="1" applyBorder="1" applyAlignment="1"/>
    <xf numFmtId="15" fontId="10" fillId="12" borderId="17" xfId="2" applyNumberFormat="1" applyFont="1" applyFill="1" applyBorder="1" applyAlignment="1"/>
    <xf numFmtId="166" fontId="10" fillId="12" borderId="17" xfId="3" applyNumberFormat="1" applyFont="1" applyFill="1" applyBorder="1"/>
    <xf numFmtId="166" fontId="10" fillId="12" borderId="17" xfId="3" applyNumberFormat="1" applyFont="1" applyFill="1" applyBorder="1" applyAlignment="1"/>
    <xf numFmtId="0" fontId="10" fillId="12" borderId="18" xfId="2" applyNumberFormat="1" applyFont="1" applyFill="1" applyBorder="1" applyAlignment="1">
      <alignment horizontal="center"/>
    </xf>
    <xf numFmtId="18" fontId="23" fillId="0" borderId="0" xfId="2" applyNumberFormat="1" applyFont="1"/>
    <xf numFmtId="14" fontId="23" fillId="0" borderId="0" xfId="2" applyNumberFormat="1" applyFont="1"/>
    <xf numFmtId="166" fontId="10" fillId="0" borderId="0" xfId="3" applyNumberFormat="1" applyFont="1" applyBorder="1"/>
    <xf numFmtId="0" fontId="10" fillId="0" borderId="0" xfId="2" applyFont="1" applyFill="1"/>
    <xf numFmtId="0" fontId="10" fillId="0" borderId="0" xfId="2" applyFont="1" applyBorder="1"/>
    <xf numFmtId="0" fontId="23" fillId="0" borderId="0" xfId="2" applyFont="1"/>
    <xf numFmtId="166" fontId="18" fillId="8" borderId="19" xfId="3" applyNumberFormat="1" applyFont="1" applyFill="1" applyBorder="1" applyAlignment="1">
      <alignment horizontal="right"/>
    </xf>
    <xf numFmtId="0" fontId="18" fillId="8" borderId="19" xfId="2" applyFont="1" applyFill="1" applyBorder="1" applyAlignment="1">
      <alignment horizontal="center"/>
    </xf>
    <xf numFmtId="0" fontId="18" fillId="8" borderId="19" xfId="2" applyFont="1" applyFill="1" applyBorder="1" applyAlignment="1">
      <alignment horizontal="left"/>
    </xf>
    <xf numFmtId="0" fontId="6" fillId="2" borderId="0" xfId="0" applyFont="1" applyFill="1" applyAlignment="1">
      <alignment horizontal="center" vertical="center"/>
    </xf>
    <xf numFmtId="0" fontId="3" fillId="2" borderId="0" xfId="0" applyFont="1" applyFill="1" applyAlignment="1">
      <alignment horizontal="center"/>
    </xf>
    <xf numFmtId="0" fontId="3" fillId="2" borderId="2" xfId="0" applyFont="1" applyFill="1" applyBorder="1" applyAlignment="1">
      <alignment horizontal="center"/>
    </xf>
    <xf numFmtId="0" fontId="29" fillId="0" borderId="0" xfId="0" applyNumberFormat="1" applyFont="1" applyFill="1" applyBorder="1" applyAlignment="1" applyProtection="1">
      <protection locked="0"/>
    </xf>
    <xf numFmtId="0" fontId="29" fillId="0" borderId="0" xfId="0" applyNumberFormat="1" applyFont="1" applyFill="1" applyBorder="1" applyAlignment="1" applyProtection="1">
      <alignment horizontal="center"/>
      <protection locked="0"/>
    </xf>
    <xf numFmtId="0" fontId="29" fillId="0" borderId="0" xfId="0" applyNumberFormat="1" applyFont="1" applyFill="1" applyProtection="1"/>
    <xf numFmtId="0" fontId="29" fillId="0" borderId="0" xfId="0" applyNumberFormat="1" applyFont="1" applyProtection="1">
      <protection locked="0"/>
    </xf>
    <xf numFmtId="0" fontId="29" fillId="0" borderId="0" xfId="0" applyNumberFormat="1" applyFont="1" applyFill="1" applyAlignment="1" applyProtection="1">
      <protection locked="0"/>
    </xf>
    <xf numFmtId="0" fontId="29" fillId="0" borderId="0" xfId="0" applyNumberFormat="1" applyFont="1" applyProtection="1"/>
    <xf numFmtId="0" fontId="30" fillId="2" borderId="0" xfId="0" applyFont="1" applyFill="1"/>
    <xf numFmtId="0" fontId="28" fillId="2" borderId="0" xfId="0" applyFont="1" applyFill="1"/>
    <xf numFmtId="182" fontId="23" fillId="0" borderId="0" xfId="8" applyNumberFormat="1"/>
    <xf numFmtId="0" fontId="23" fillId="0" borderId="0" xfId="8" quotePrefix="1"/>
    <xf numFmtId="184" fontId="0" fillId="0" borderId="0" xfId="9" applyNumberFormat="1" applyFont="1"/>
    <xf numFmtId="44" fontId="23" fillId="0" borderId="0" xfId="1" applyFont="1"/>
  </cellXfs>
  <cellStyles count="10">
    <cellStyle name="Comma 2" xfId="3"/>
    <cellStyle name="Comma 3" xfId="9"/>
    <cellStyle name="Currency" xfId="1" builtinId="4"/>
    <cellStyle name="Currency 2" xfId="7"/>
    <cellStyle name="Normal" xfId="0" builtinId="0"/>
    <cellStyle name="Normal 2" xfId="2"/>
    <cellStyle name="Normal 2 2" xfId="5"/>
    <cellStyle name="Normal 3" xfId="6"/>
    <cellStyle name="Normal 4" xfId="8"/>
    <cellStyle name="Percent 2" xfId="4"/>
  </cellStyles>
  <dxfs count="35">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1" hidden="0"/>
    </dxf>
    <dxf>
      <font>
        <b val="0"/>
        <i val="0"/>
        <strike val="0"/>
        <condense val="0"/>
        <extend val="0"/>
        <outline val="0"/>
        <shadow val="0"/>
        <u val="none"/>
        <vertAlign val="baseline"/>
        <sz val="11"/>
        <color auto="1"/>
        <name val="Calibri"/>
        <scheme val="none"/>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protection locked="1" hidden="0"/>
    </dxf>
    <dxf>
      <font>
        <b val="0"/>
        <i val="0"/>
        <strike val="0"/>
        <condense val="0"/>
        <extend val="0"/>
        <outline val="0"/>
        <shadow val="0"/>
        <u val="none"/>
        <vertAlign val="baseline"/>
        <sz val="11"/>
        <color auto="1"/>
        <name val="Calibri"/>
        <scheme val="none"/>
      </font>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numFmt numFmtId="179" formatCode="m/d/yyyy"/>
      <protection locked="1" hidden="0"/>
    </dxf>
    <dxf>
      <font>
        <b val="0"/>
        <i val="0"/>
        <strike val="0"/>
        <condense val="0"/>
        <extend val="0"/>
        <outline val="0"/>
        <shadow val="0"/>
        <u val="none"/>
        <vertAlign val="baseline"/>
        <sz val="11"/>
        <color auto="1"/>
        <name val="Calibri"/>
        <scheme val="none"/>
      </font>
      <numFmt numFmtId="179" formatCode="m/d/yyyy"/>
      <protection locked="1" hidden="0"/>
    </dxf>
    <dxf>
      <font>
        <b val="0"/>
        <i val="0"/>
        <strike val="0"/>
        <condense val="0"/>
        <extend val="0"/>
        <outline val="0"/>
        <shadow val="0"/>
        <u val="none"/>
        <vertAlign val="baseline"/>
        <sz val="11"/>
        <color auto="1"/>
        <name val="Calibri"/>
        <scheme val="none"/>
      </font>
      <numFmt numFmtId="30" formatCode="@"/>
      <alignment horizontal="center" vertical="bottom" textRotation="0" wrapText="0" indent="0" justifyLastLine="0" shrinkToFit="0" readingOrder="0"/>
      <protection locked="1" hidden="0"/>
    </dxf>
    <dxf>
      <border outline="0">
        <top style="thin">
          <color indexed="22"/>
        </top>
      </border>
    </dxf>
    <dxf>
      <border outline="0">
        <bottom style="thin">
          <color indexed="22"/>
        </bottom>
      </border>
    </dxf>
    <dxf>
      <font>
        <b/>
        <i val="0"/>
        <strike val="0"/>
        <condense val="0"/>
        <extend val="0"/>
        <outline val="0"/>
        <shadow val="0"/>
        <u val="none"/>
        <vertAlign val="baseline"/>
        <sz val="11"/>
        <color auto="1"/>
        <name val="Calibri"/>
        <scheme val="none"/>
      </font>
      <numFmt numFmtId="179" formatCode="m/d/yyyy"/>
      <fill>
        <patternFill patternType="solid">
          <fgColor indexed="64"/>
          <bgColor indexed="42"/>
        </patternFill>
      </fill>
      <alignment horizontal="right" vertical="top" textRotation="0" wrapText="0"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1" hidden="0"/>
    </dxf>
    <dxf>
      <font>
        <b val="0"/>
        <i val="0"/>
        <strike val="0"/>
        <condense val="0"/>
        <extend val="0"/>
        <outline val="0"/>
        <shadow val="0"/>
        <u val="none"/>
        <vertAlign val="baseline"/>
        <sz val="11"/>
        <color auto="1"/>
        <name val="Calibri"/>
        <scheme val="none"/>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protection locked="1" hidden="0"/>
    </dxf>
    <dxf>
      <font>
        <b val="0"/>
        <i val="0"/>
        <strike val="0"/>
        <condense val="0"/>
        <extend val="0"/>
        <outline val="0"/>
        <shadow val="0"/>
        <u val="none"/>
        <vertAlign val="baseline"/>
        <sz val="11"/>
        <color auto="1"/>
        <name val="Calibri"/>
        <scheme val="none"/>
      </font>
      <numFmt numFmtId="20" formatCode="d\-mmm\-yy"/>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numFmt numFmtId="20" formatCode="d\-mmm\-yy"/>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numFmt numFmtId="164" formatCode="000\-00\-0000"/>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protection locked="0" hidden="0"/>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07/relationships/slicerCache" Target="slicerCaches/slicerCache3.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770541408"/>
        <c:axId val="1770540320"/>
      </c:barChart>
      <c:catAx>
        <c:axId val="17705414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770540320"/>
        <c:crosses val="autoZero"/>
        <c:auto val="1"/>
        <c:lblAlgn val="ctr"/>
        <c:lblOffset val="100"/>
        <c:tickLblSkip val="3"/>
        <c:tickMarkSkip val="1"/>
        <c:noMultiLvlLbl val="0"/>
      </c:catAx>
      <c:valAx>
        <c:axId val="1770540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77054140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770543040"/>
        <c:axId val="1770536512"/>
      </c:barChart>
      <c:catAx>
        <c:axId val="17705430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770536512"/>
        <c:crosses val="autoZero"/>
        <c:auto val="1"/>
        <c:lblAlgn val="ctr"/>
        <c:lblOffset val="100"/>
        <c:tickLblSkip val="3"/>
        <c:tickMarkSkip val="1"/>
        <c:noMultiLvlLbl val="0"/>
      </c:catAx>
      <c:valAx>
        <c:axId val="177053651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77054304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774151808"/>
        <c:axId val="1774150720"/>
      </c:barChart>
      <c:catAx>
        <c:axId val="1774151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774150720"/>
        <c:crosses val="autoZero"/>
        <c:auto val="1"/>
        <c:lblAlgn val="ctr"/>
        <c:lblOffset val="100"/>
        <c:tickLblSkip val="3"/>
        <c:tickMarkSkip val="1"/>
        <c:noMultiLvlLbl val="0"/>
      </c:catAx>
      <c:valAx>
        <c:axId val="17741507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77415180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95250</xdr:rowOff>
    </xdr:from>
    <xdr:to>
      <xdr:col>10</xdr:col>
      <xdr:colOff>427862</xdr:colOff>
      <xdr:row>31</xdr:row>
      <xdr:rowOff>56417</xdr:rowOff>
    </xdr:to>
    <xdr:pic>
      <xdr:nvPicPr>
        <xdr:cNvPr id="11" name="Picture 10"/>
        <xdr:cNvPicPr>
          <a:picLocks noChangeAspect="1"/>
        </xdr:cNvPicPr>
      </xdr:nvPicPr>
      <xdr:blipFill>
        <a:blip xmlns:r="http://schemas.openxmlformats.org/officeDocument/2006/relationships" r:embed="rId1"/>
        <a:stretch>
          <a:fillRect/>
        </a:stretch>
      </xdr:blipFill>
      <xdr:spPr>
        <a:xfrm>
          <a:off x="419100" y="95250"/>
          <a:ext cx="6104762" cy="5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200025</xdr:colOff>
      <xdr:row>1</xdr:row>
      <xdr:rowOff>47626</xdr:rowOff>
    </xdr:from>
    <xdr:to>
      <xdr:col>10</xdr:col>
      <xdr:colOff>400051</xdr:colOff>
      <xdr:row>56</xdr:row>
      <xdr:rowOff>161926</xdr:rowOff>
    </xdr:to>
    <mc:AlternateContent xmlns:mc="http://schemas.openxmlformats.org/markup-compatibility/2006">
      <mc:Choice xmlns:sle15="http://schemas.microsoft.com/office/drawing/2012/slicer" Requires="sle15">
        <xdr:graphicFrame macro="">
          <xdr:nvGraphicFramePr>
            <xdr:cNvPr id="2" name="Salespers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095875" y="342901"/>
              <a:ext cx="2028826" cy="2019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333375</xdr:colOff>
      <xdr:row>57</xdr:row>
      <xdr:rowOff>104775</xdr:rowOff>
    </xdr:from>
    <xdr:to>
      <xdr:col>10</xdr:col>
      <xdr:colOff>533401</xdr:colOff>
      <xdr:row>95</xdr:row>
      <xdr:rowOff>57150</xdr:rowOff>
    </xdr:to>
    <mc:AlternateContent xmlns:mc="http://schemas.openxmlformats.org/markup-compatibility/2006">
      <mc:Choice xmlns:sle15="http://schemas.microsoft.com/office/drawing/2012/slicer" Requires="sle15">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229225" y="2495550"/>
              <a:ext cx="2028826" cy="1095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552450</xdr:colOff>
      <xdr:row>1</xdr:row>
      <xdr:rowOff>104776</xdr:rowOff>
    </xdr:from>
    <xdr:to>
      <xdr:col>14</xdr:col>
      <xdr:colOff>142876</xdr:colOff>
      <xdr:row>28</xdr:row>
      <xdr:rowOff>142876</xdr:rowOff>
    </xdr:to>
    <mc:AlternateContent xmlns:mc="http://schemas.openxmlformats.org/markup-compatibility/2006">
      <mc:Choice xmlns:sle15="http://schemas.microsoft.com/office/drawing/2012/slicer" Requires="sle15">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277100" y="400051"/>
              <a:ext cx="2028826" cy="800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0</xdr:colOff>
      <xdr:row>36</xdr:row>
      <xdr:rowOff>28575</xdr:rowOff>
    </xdr:from>
    <xdr:to>
      <xdr:col>14</xdr:col>
      <xdr:colOff>200026</xdr:colOff>
      <xdr:row>56</xdr:row>
      <xdr:rowOff>142876</xdr:rowOff>
    </xdr:to>
    <mc:AlternateContent xmlns:mc="http://schemas.openxmlformats.org/markup-compatibility/2006">
      <mc:Choice xmlns:sle15="http://schemas.microsoft.com/office/drawing/2012/slicer" Requires="sle15">
        <xdr:graphicFrame macro="">
          <xdr:nvGraphicFramePr>
            <xdr:cNvPr id="5"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7334250" y="1276350"/>
              <a:ext cx="2028826" cy="1066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315</xdr:row>
      <xdr:rowOff>0</xdr:rowOff>
    </xdr:from>
    <xdr:to>
      <xdr:col>8</xdr:col>
      <xdr:colOff>0</xdr:colOff>
      <xdr:row>315</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6</xdr:row>
      <xdr:rowOff>0</xdr:rowOff>
    </xdr:from>
    <xdr:to>
      <xdr:col>8</xdr:col>
      <xdr:colOff>0</xdr:colOff>
      <xdr:row>7</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0</xdr:row>
      <xdr:rowOff>0</xdr:rowOff>
    </xdr:from>
    <xdr:to>
      <xdr:col>8</xdr:col>
      <xdr:colOff>0</xdr:colOff>
      <xdr:row>1</xdr:row>
      <xdr:rowOff>0</xdr:rowOff>
    </xdr:to>
    <xdr:graphicFrame macro="">
      <xdr:nvGraphicFramePr>
        <xdr:cNvPr id="4"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Dennis-Jan2010\Desktop\__________2DayExcelSeminar\GeneralFil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G\____LyndaCom\General-altered%20for%20db%20cour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 List"/>
      <sheetName val="MultiFieldData"/>
      <sheetName val="HR List with Duplicates"/>
      <sheetName val="HR List - 2"/>
      <sheetName val="ProjBudget2012"/>
      <sheetName val="CitySales"/>
      <sheetName val="AutoFill"/>
      <sheetName val="Arrays"/>
      <sheetName val="Profits"/>
      <sheetName val="Form"/>
      <sheetName val="TaxDep"/>
      <sheetName val="Lookups"/>
      <sheetName val="TwoWayLookup"/>
      <sheetName val="IndexMatch"/>
      <sheetName val="MasterSSList"/>
      <sheetName val="AutoSum"/>
      <sheetName val="Hyperlinks"/>
      <sheetName val="DataValidation"/>
      <sheetName val="MixedNames"/>
      <sheetName val="FindFormulas"/>
      <sheetName val="MissingTitles"/>
      <sheetName val="Rounding"/>
      <sheetName val="GoalSeek"/>
      <sheetName val="Solver"/>
      <sheetName val="Scenarios"/>
      <sheetName val="MostCommonNamesInUS"/>
      <sheetName val="WellData"/>
      <sheetName val="FifthLineFormatting"/>
      <sheetName val="Time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extLst>
    <x:ext xmlns:x15="http://schemas.microsoft.com/office/spreadsheetml/2010/11/main" uri="{2F2917AC-EB37-4324-AD4E-5DD8C200BD13}">
      <x15:tableSlicerCache tableId="4" column="1"/>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4" column="2"/>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columnCount="2" showCaption="0" lockedPosition="1" rowHeight="274320"/>
  <slicer name="Product" cache="Slicer_Product" caption="Product" columnCount="2" showCaption="0" rowHeight="274320"/>
  <slicer name="Region" cache="Slicer_Region" caption="Region" columnCount="2" showCaption="0" rowHeight="274320"/>
  <slicer name="Customer" cache="Slicer_Customer" caption="Customer" columnCount="2" showCaption="0" rowHeight="274320"/>
</slicers>
</file>

<file path=xl/tables/table1.xml><?xml version="1.0" encoding="utf-8"?>
<table xmlns="http://schemas.openxmlformats.org/spreadsheetml/2006/main" id="1" name="Table1" displayName="Table1" ref="A1:N745" totalsRowCount="1">
  <autoFilter ref="A1:N744">
    <filterColumn colId="1">
      <filters>
        <filter val="Main"/>
      </filters>
    </filterColumn>
  </autoFilter>
  <tableColumns count="14">
    <tableColumn id="1" name="Employee Name" totalsRowLabel="Total" dataDxfId="34" totalsRowDxfId="13" dataCellStyle="Normal 2"/>
    <tableColumn id="2" name="Building" dataDxfId="33" totalsRowDxfId="12" dataCellStyle="Normal 2"/>
    <tableColumn id="3" name="Department" dataDxfId="32" totalsRowDxfId="11" dataCellStyle="Normal 2"/>
    <tableColumn id="4" name="SS#" dataDxfId="31" totalsRowDxfId="10" dataCellStyle="Normal 2"/>
    <tableColumn id="5" name="Status" dataDxfId="30" totalsRowDxfId="9" dataCellStyle="Normal 2"/>
    <tableColumn id="6" name="Hire Date" dataDxfId="29" totalsRowDxfId="8" dataCellStyle="Normal 2"/>
    <tableColumn id="7" name="Month" dataDxfId="28" totalsRowDxfId="7" dataCellStyle="Normal 2">
      <calculatedColumnFormula>CHOOSE(MONTH(F2),"Jan","Feb","Mar","Apr","May","Jun","Jul","Aug","Sep","Oct","Nov","Dec")</calculatedColumnFormula>
    </tableColumn>
    <tableColumn id="8" name="Years" dataDxfId="27" totalsRowDxfId="6" dataCellStyle="Comma 2">
      <calculatedColumnFormula>DATEDIF(F2,TODAY(),"Y")</calculatedColumnFormula>
    </tableColumn>
    <tableColumn id="9" name="Benefits" dataDxfId="26" totalsRowDxfId="5" dataCellStyle="Comma 2"/>
    <tableColumn id="10" name="Salary" dataDxfId="25" totalsRowDxfId="4" dataCellStyle="Comma 2"/>
    <tableColumn id="11" name="Job Rating" dataDxfId="24" totalsRowDxfId="3" dataCellStyle="Normal 2"/>
    <tableColumn id="12" name="New Salary" dataDxfId="23" totalsRowDxfId="2" dataCellStyle="Comma 2"/>
    <tableColumn id="13" name="Tax Rate" dataDxfId="22" totalsRowDxfId="1" dataCellStyle="Percent 2"/>
    <tableColumn id="14" name="2.91%" totalsRowFunction="count" dataDxfId="21" totalsRowDxfId="0" dataCellStyle="Normal 2"/>
  </tableColumns>
  <tableStyleInfo name="TableStyleLight15" showFirstColumn="0" showLastColumn="0" showRowStripes="1" showColumnStripes="0"/>
</table>
</file>

<file path=xl/tables/table2.xml><?xml version="1.0" encoding="utf-8"?>
<table xmlns="http://schemas.openxmlformats.org/spreadsheetml/2006/main" id="4" name="Table4" displayName="Table4" ref="A3:G912" totalsRowShown="0">
  <autoFilter ref="A3:G912">
    <filterColumn colId="3">
      <filters>
        <filter val="Kitchen Center"/>
      </filters>
    </filterColumn>
  </autoFilter>
  <tableColumns count="7">
    <tableColumn id="1" name="Salesperson"/>
    <tableColumn id="2" name="Product"/>
    <tableColumn id="3" name="Region"/>
    <tableColumn id="4" name="Customer"/>
    <tableColumn id="5" name="Date"/>
    <tableColumn id="6" name="Items"/>
    <tableColumn id="7" name="Amount"/>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Q5:T703" totalsRowShown="0" headerRowDxfId="20" headerRowBorderDxfId="19" tableBorderDxfId="18" headerRowCellStyle="Normal 2">
  <tableColumns count="4">
    <tableColumn id="1" name="Contract #" dataDxfId="17" dataCellStyle="Normal 2"/>
    <tableColumn id="2" name="Start Date" dataDxfId="16" dataCellStyle="Normal 2"/>
    <tableColumn id="3" name="End Date" dataDxfId="15" dataCellStyle="Normal 2"/>
    <tableColumn id="4" name="Project Length" dataDxfId="14" dataCellStyle="Normal 2">
      <calculatedColumnFormula>DATEDIF(R6,S6,"d")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32"/>
  <sheetViews>
    <sheetView showGridLines="0" topLeftCell="A16" workbookViewId="0">
      <selection activeCell="I32" sqref="I32"/>
    </sheetView>
  </sheetViews>
  <sheetFormatPr defaultRowHeight="15"/>
  <sheetData>
    <row r="3" spans="2:5" ht="21">
      <c r="B3" s="24" t="s">
        <v>224</v>
      </c>
      <c r="C3" s="24"/>
      <c r="D3" s="24"/>
      <c r="E3" s="24"/>
    </row>
    <row r="4" spans="2:5">
      <c r="B4" s="25">
        <v>1</v>
      </c>
      <c r="C4" t="s">
        <v>225</v>
      </c>
    </row>
    <row r="5" spans="2:5">
      <c r="B5" s="25">
        <v>2</v>
      </c>
      <c r="C5" t="s">
        <v>226</v>
      </c>
    </row>
    <row r="6" spans="2:5">
      <c r="B6" s="25">
        <v>3</v>
      </c>
      <c r="C6" t="s">
        <v>228</v>
      </c>
    </row>
    <row r="7" spans="2:5">
      <c r="B7" s="25">
        <v>4</v>
      </c>
      <c r="C7" t="s">
        <v>227</v>
      </c>
    </row>
    <row r="8" spans="2:5">
      <c r="B8" s="25">
        <v>5</v>
      </c>
      <c r="C8" t="s">
        <v>1426</v>
      </c>
    </row>
    <row r="9" spans="2:5">
      <c r="B9" s="25">
        <v>6</v>
      </c>
      <c r="C9" t="s">
        <v>1427</v>
      </c>
    </row>
    <row r="10" spans="2:5">
      <c r="B10" s="25">
        <v>7</v>
      </c>
      <c r="C10" t="s">
        <v>1428</v>
      </c>
    </row>
    <row r="11" spans="2:5">
      <c r="B11" s="25">
        <v>8</v>
      </c>
      <c r="C11" t="s">
        <v>1429</v>
      </c>
    </row>
    <row r="12" spans="2:5">
      <c r="B12" s="25">
        <v>9</v>
      </c>
      <c r="C12" t="s">
        <v>1430</v>
      </c>
    </row>
    <row r="13" spans="2:5">
      <c r="B13" s="25">
        <v>10</v>
      </c>
      <c r="C13" t="s">
        <v>1431</v>
      </c>
    </row>
    <row r="14" spans="2:5">
      <c r="B14" s="25">
        <v>11</v>
      </c>
      <c r="C14" t="s">
        <v>1432</v>
      </c>
    </row>
    <row r="15" spans="2:5">
      <c r="B15" s="25" t="s">
        <v>1434</v>
      </c>
      <c r="C15" t="s">
        <v>1433</v>
      </c>
    </row>
    <row r="16" spans="2:5">
      <c r="B16" s="25">
        <v>12</v>
      </c>
      <c r="C16" t="s">
        <v>1467</v>
      </c>
    </row>
    <row r="17" spans="2:3">
      <c r="B17" s="25">
        <v>13</v>
      </c>
      <c r="C17" t="s">
        <v>1469</v>
      </c>
    </row>
    <row r="18" spans="2:3">
      <c r="B18" s="25">
        <v>14</v>
      </c>
      <c r="C18" t="s">
        <v>1496</v>
      </c>
    </row>
    <row r="19" spans="2:3">
      <c r="B19" s="25">
        <v>15</v>
      </c>
      <c r="C19" t="s">
        <v>1497</v>
      </c>
    </row>
    <row r="20" spans="2:3">
      <c r="B20" s="25">
        <v>16</v>
      </c>
      <c r="C20" t="s">
        <v>1484</v>
      </c>
    </row>
    <row r="21" spans="2:3">
      <c r="B21" s="25">
        <v>17</v>
      </c>
      <c r="C21" t="s">
        <v>1557</v>
      </c>
    </row>
    <row r="22" spans="2:3">
      <c r="B22" s="25">
        <v>18</v>
      </c>
      <c r="C22" t="s">
        <v>1559</v>
      </c>
    </row>
    <row r="23" spans="2:3">
      <c r="B23" s="25">
        <v>19</v>
      </c>
      <c r="C23" t="s">
        <v>1558</v>
      </c>
    </row>
    <row r="24" spans="2:3">
      <c r="B24" s="25">
        <v>20</v>
      </c>
      <c r="C24" t="s">
        <v>1585</v>
      </c>
    </row>
    <row r="25" spans="2:3">
      <c r="B25" s="25">
        <v>21</v>
      </c>
      <c r="C25" t="s">
        <v>1586</v>
      </c>
    </row>
    <row r="26" spans="2:3">
      <c r="B26" s="25">
        <v>22</v>
      </c>
      <c r="C26" t="s">
        <v>1590</v>
      </c>
    </row>
    <row r="27" spans="2:3">
      <c r="B27" s="25">
        <v>23</v>
      </c>
      <c r="C27" t="s">
        <v>2273</v>
      </c>
    </row>
    <row r="28" spans="2:3">
      <c r="B28" s="25">
        <v>24</v>
      </c>
      <c r="C28" t="s">
        <v>2385</v>
      </c>
    </row>
    <row r="29" spans="2:3">
      <c r="B29" s="25">
        <v>25</v>
      </c>
      <c r="C29" t="s">
        <v>2386</v>
      </c>
    </row>
    <row r="30" spans="2:3">
      <c r="B30" s="25">
        <v>26</v>
      </c>
      <c r="C30" t="s">
        <v>2433</v>
      </c>
    </row>
    <row r="31" spans="2:3">
      <c r="B31" s="25">
        <v>27</v>
      </c>
      <c r="C31" t="s">
        <v>2434</v>
      </c>
    </row>
    <row r="32" spans="2:3">
      <c r="B32" s="25">
        <v>28</v>
      </c>
      <c r="C32" t="s">
        <v>3140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A5" sqref="A5"/>
    </sheetView>
  </sheetViews>
  <sheetFormatPr defaultRowHeight="15"/>
  <cols>
    <col min="1" max="1" width="22.85546875" style="4" customWidth="1"/>
    <col min="2" max="2" width="38" style="4" customWidth="1"/>
    <col min="3" max="3" width="29.140625" style="4" customWidth="1"/>
    <col min="4" max="16384" width="9.140625" style="4"/>
  </cols>
  <sheetData>
    <row r="1" spans="1:3" ht="21">
      <c r="B1" s="19" t="s">
        <v>6</v>
      </c>
      <c r="C1" s="19" t="s">
        <v>7</v>
      </c>
    </row>
    <row r="2" spans="1:3">
      <c r="A2" s="2" t="s">
        <v>5</v>
      </c>
      <c r="B2" s="1" t="s">
        <v>0</v>
      </c>
      <c r="C2" s="1" t="s">
        <v>8</v>
      </c>
    </row>
    <row r="3" spans="1:3">
      <c r="A3" s="2" t="s">
        <v>1</v>
      </c>
      <c r="B3" s="1" t="s">
        <v>2</v>
      </c>
      <c r="C3" s="1" t="s">
        <v>4</v>
      </c>
    </row>
    <row r="4" spans="1:3">
      <c r="A4" s="2" t="s">
        <v>28</v>
      </c>
      <c r="B4" s="1" t="s">
        <v>3</v>
      </c>
      <c r="C4" s="1" t="s">
        <v>4</v>
      </c>
    </row>
    <row r="5" spans="1:3">
      <c r="A5" s="2" t="s">
        <v>29</v>
      </c>
      <c r="B5" s="1" t="s">
        <v>9</v>
      </c>
      <c r="C5" s="1" t="s">
        <v>10</v>
      </c>
    </row>
    <row r="6" spans="1:3">
      <c r="A6" s="1"/>
      <c r="B6" s="1" t="s">
        <v>11</v>
      </c>
      <c r="C6" s="1" t="s">
        <v>12</v>
      </c>
    </row>
    <row r="7" spans="1:3">
      <c r="A7" s="1"/>
      <c r="B7" s="1" t="s">
        <v>13</v>
      </c>
      <c r="C7" s="1" t="s">
        <v>14</v>
      </c>
    </row>
    <row r="8" spans="1:3">
      <c r="A8" s="1"/>
      <c r="B8" s="1"/>
      <c r="C8" s="1" t="s">
        <v>15</v>
      </c>
    </row>
    <row r="9" spans="1:3">
      <c r="A9" s="1"/>
      <c r="B9" s="1"/>
      <c r="C9" s="1" t="s">
        <v>16</v>
      </c>
    </row>
    <row r="10" spans="1:3">
      <c r="A10" s="1"/>
      <c r="B10" s="1"/>
      <c r="C10" s="1"/>
    </row>
    <row r="11" spans="1:3">
      <c r="A11" s="6" t="s">
        <v>39</v>
      </c>
      <c r="B11" s="1" t="s">
        <v>17</v>
      </c>
      <c r="C11" s="1" t="s">
        <v>18</v>
      </c>
    </row>
    <row r="12" spans="1:3">
      <c r="A12" s="7"/>
      <c r="B12" s="4" t="s">
        <v>42</v>
      </c>
      <c r="C12" s="1" t="s">
        <v>41</v>
      </c>
    </row>
    <row r="13" spans="1:3">
      <c r="A13" s="7"/>
      <c r="B13" s="1" t="s">
        <v>38</v>
      </c>
      <c r="C13" s="1" t="s">
        <v>40</v>
      </c>
    </row>
    <row r="14" spans="1:3">
      <c r="A14" s="7"/>
    </row>
    <row r="15" spans="1:3">
      <c r="A15" s="5" t="s">
        <v>30</v>
      </c>
      <c r="B15" s="4" t="s">
        <v>43</v>
      </c>
      <c r="C15" s="1" t="s">
        <v>26</v>
      </c>
    </row>
    <row r="16" spans="1:3">
      <c r="A16" s="2"/>
      <c r="B16" s="1" t="s">
        <v>25</v>
      </c>
    </row>
    <row r="17" spans="1:3">
      <c r="A17" s="2"/>
      <c r="B17" s="1"/>
      <c r="C17" s="1"/>
    </row>
    <row r="18" spans="1:3">
      <c r="A18" s="5" t="s">
        <v>27</v>
      </c>
      <c r="B18" s="4" t="s">
        <v>31</v>
      </c>
      <c r="C18" s="4" t="s">
        <v>35</v>
      </c>
    </row>
    <row r="19" spans="1:3">
      <c r="A19" s="5"/>
      <c r="B19" s="4" t="s">
        <v>32</v>
      </c>
      <c r="C19" s="4" t="s">
        <v>37</v>
      </c>
    </row>
    <row r="20" spans="1:3">
      <c r="A20" s="5"/>
      <c r="B20" s="4" t="s">
        <v>33</v>
      </c>
    </row>
    <row r="21" spans="1:3">
      <c r="A21" s="5"/>
      <c r="B21" s="4" t="s">
        <v>34</v>
      </c>
    </row>
    <row r="22" spans="1:3">
      <c r="A22" s="5"/>
      <c r="B22" s="4" t="s">
        <v>36</v>
      </c>
    </row>
    <row r="23" spans="1:3">
      <c r="A23" s="5"/>
    </row>
    <row r="24" spans="1:3">
      <c r="A24" s="2" t="s">
        <v>22</v>
      </c>
      <c r="B24" s="1" t="s">
        <v>24</v>
      </c>
      <c r="C24" s="1" t="s">
        <v>23</v>
      </c>
    </row>
    <row r="25" spans="1:3">
      <c r="A25" s="2"/>
      <c r="B25" s="1"/>
      <c r="C25" s="1"/>
    </row>
    <row r="26" spans="1:3">
      <c r="A26" s="2" t="s">
        <v>19</v>
      </c>
      <c r="B26" s="1" t="s">
        <v>20</v>
      </c>
      <c r="C26" s="1" t="s">
        <v>21</v>
      </c>
    </row>
    <row r="27" spans="1:3">
      <c r="A27" s="2"/>
      <c r="B27" s="1"/>
      <c r="C27" s="1"/>
    </row>
    <row r="29" spans="1:3">
      <c r="A29" s="3"/>
      <c r="B29" s="1"/>
      <c r="C29" s="1"/>
    </row>
    <row r="30" spans="1:3">
      <c r="A30" s="3"/>
      <c r="B30" s="1"/>
      <c r="C30" s="1"/>
    </row>
    <row r="31" spans="1:3">
      <c r="A31" s="1"/>
      <c r="B31" s="1"/>
      <c r="C31" s="1"/>
    </row>
    <row r="32" spans="1:3">
      <c r="A32" s="1"/>
      <c r="B32" s="1"/>
      <c r="C32" s="1"/>
    </row>
    <row r="33" spans="1:3">
      <c r="A33" s="1"/>
      <c r="B33" s="1"/>
      <c r="C33"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35" sqref="B35"/>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B52"/>
  <sheetViews>
    <sheetView workbookViewId="0">
      <selection activeCell="B35" sqref="B35"/>
    </sheetView>
  </sheetViews>
  <sheetFormatPr defaultRowHeight="12"/>
  <cols>
    <col min="1" max="7" width="9.140625" style="8"/>
    <col min="8" max="8" width="9" style="8" customWidth="1"/>
    <col min="9" max="10" width="9.140625" style="8"/>
    <col min="11" max="11" width="16.7109375" style="8" customWidth="1"/>
    <col min="12" max="12" width="11.5703125" style="8" customWidth="1"/>
    <col min="13" max="13" width="6.28515625" style="8" customWidth="1"/>
    <col min="14" max="14" width="11.140625" style="8" customWidth="1"/>
    <col min="15" max="18" width="9.140625" style="8"/>
    <col min="19" max="19" width="10.85546875" style="8" bestFit="1" customWidth="1"/>
    <col min="20" max="23" width="9.140625" style="8"/>
    <col min="24" max="24" width="11" style="8" customWidth="1"/>
    <col min="25" max="16384" width="9.140625" style="8"/>
  </cols>
  <sheetData>
    <row r="2" spans="1:28" ht="24" customHeight="1">
      <c r="B2" s="320" t="s">
        <v>222</v>
      </c>
      <c r="C2" s="320"/>
      <c r="D2" s="320"/>
      <c r="E2" s="320"/>
      <c r="F2" s="320"/>
      <c r="G2" s="320"/>
      <c r="H2" s="320"/>
      <c r="I2" s="320"/>
      <c r="J2" s="320"/>
      <c r="K2" s="320"/>
      <c r="L2" s="320"/>
      <c r="M2" s="320"/>
      <c r="N2" s="320"/>
    </row>
    <row r="4" spans="1:28">
      <c r="A4" s="17" t="s">
        <v>54</v>
      </c>
      <c r="B4" s="17" t="s">
        <v>46</v>
      </c>
      <c r="C4" s="17" t="s">
        <v>47</v>
      </c>
      <c r="D4" s="17" t="s">
        <v>48</v>
      </c>
      <c r="E4" s="17" t="s">
        <v>49</v>
      </c>
      <c r="F4" s="17" t="s">
        <v>50</v>
      </c>
      <c r="G4" s="17" t="s">
        <v>51</v>
      </c>
      <c r="H4" s="17" t="s">
        <v>52</v>
      </c>
      <c r="I4" s="17" t="s">
        <v>217</v>
      </c>
      <c r="J4" s="17" t="s">
        <v>218</v>
      </c>
      <c r="K4" s="17" t="s">
        <v>219</v>
      </c>
      <c r="L4" s="17" t="s">
        <v>220</v>
      </c>
      <c r="M4" s="17" t="s">
        <v>221</v>
      </c>
      <c r="N4" s="18" t="s">
        <v>183</v>
      </c>
      <c r="O4" s="18" t="s">
        <v>185</v>
      </c>
      <c r="P4" s="18" t="s">
        <v>215</v>
      </c>
      <c r="Q4" s="18" t="s">
        <v>188</v>
      </c>
      <c r="R4" s="18" t="s">
        <v>216</v>
      </c>
      <c r="S4" s="18" t="s">
        <v>183</v>
      </c>
      <c r="T4" s="18" t="s">
        <v>185</v>
      </c>
      <c r="U4" s="18" t="s">
        <v>215</v>
      </c>
      <c r="V4" s="18" t="s">
        <v>188</v>
      </c>
      <c r="W4" s="18" t="s">
        <v>216</v>
      </c>
      <c r="X4" s="18" t="s">
        <v>183</v>
      </c>
      <c r="Y4" s="18" t="s">
        <v>185</v>
      </c>
      <c r="Z4" s="18" t="s">
        <v>215</v>
      </c>
      <c r="AA4" s="18" t="s">
        <v>188</v>
      </c>
      <c r="AB4" s="18" t="s">
        <v>216</v>
      </c>
    </row>
    <row r="5" spans="1:28">
      <c r="A5" s="11">
        <v>1199</v>
      </c>
      <c r="B5" s="11">
        <v>1001</v>
      </c>
      <c r="C5" s="11" t="s">
        <v>61</v>
      </c>
      <c r="D5" s="11" t="s">
        <v>62</v>
      </c>
      <c r="E5" s="11" t="s">
        <v>63</v>
      </c>
      <c r="F5" s="11" t="s">
        <v>67</v>
      </c>
      <c r="G5" s="11" t="s">
        <v>68</v>
      </c>
      <c r="H5" s="11">
        <v>32328</v>
      </c>
      <c r="I5" s="12">
        <v>37711</v>
      </c>
      <c r="J5" s="12">
        <v>37712</v>
      </c>
      <c r="K5" s="11" t="s">
        <v>66</v>
      </c>
      <c r="L5" s="11" t="s">
        <v>67</v>
      </c>
      <c r="M5" s="11" t="s">
        <v>68</v>
      </c>
      <c r="N5" s="9">
        <v>4981341710</v>
      </c>
      <c r="O5" s="9" t="s">
        <v>195</v>
      </c>
      <c r="P5" s="11">
        <v>1</v>
      </c>
      <c r="Q5" s="15">
        <v>14.2</v>
      </c>
      <c r="R5" s="15">
        <f t="shared" ref="R5:R9" si="0">P5*Q5</f>
        <v>14.2</v>
      </c>
      <c r="S5" s="9">
        <v>8843172113</v>
      </c>
      <c r="T5" s="9" t="s">
        <v>197</v>
      </c>
      <c r="U5" s="14">
        <v>1</v>
      </c>
      <c r="V5" s="15">
        <v>37.799999999999997</v>
      </c>
      <c r="W5" s="15">
        <f t="shared" ref="W5" si="1">U5*V5</f>
        <v>37.799999999999997</v>
      </c>
      <c r="X5" s="11"/>
      <c r="Y5" s="11"/>
      <c r="Z5" s="11"/>
      <c r="AA5" s="11"/>
      <c r="AB5" s="11"/>
    </row>
    <row r="6" spans="1:28">
      <c r="A6" s="11">
        <v>2681</v>
      </c>
      <c r="B6" s="11">
        <v>1001</v>
      </c>
      <c r="C6" s="11" t="s">
        <v>61</v>
      </c>
      <c r="D6" s="11" t="s">
        <v>62</v>
      </c>
      <c r="E6" s="11" t="s">
        <v>63</v>
      </c>
      <c r="F6" s="11" t="s">
        <v>67</v>
      </c>
      <c r="G6" s="11" t="s">
        <v>68</v>
      </c>
      <c r="H6" s="11">
        <v>32328</v>
      </c>
      <c r="I6" s="12">
        <v>37714</v>
      </c>
      <c r="J6" s="12">
        <v>37716</v>
      </c>
      <c r="K6" s="11" t="s">
        <v>66</v>
      </c>
      <c r="L6" s="11" t="s">
        <v>67</v>
      </c>
      <c r="M6" s="11" t="s">
        <v>68</v>
      </c>
      <c r="N6" s="9">
        <v>1059831198</v>
      </c>
      <c r="O6" s="9" t="s">
        <v>191</v>
      </c>
      <c r="P6" s="11">
        <v>3</v>
      </c>
      <c r="Q6" s="16">
        <v>18.75</v>
      </c>
      <c r="R6" s="16">
        <f>P6*Q6</f>
        <v>56.25</v>
      </c>
      <c r="S6" s="11"/>
      <c r="T6" s="11"/>
      <c r="U6" s="11"/>
      <c r="V6" s="16"/>
      <c r="W6" s="16"/>
      <c r="X6" s="11"/>
      <c r="Y6" s="11"/>
      <c r="Z6" s="11"/>
      <c r="AA6" s="11"/>
      <c r="AB6" s="11"/>
    </row>
    <row r="7" spans="1:28">
      <c r="A7" s="11">
        <v>3150</v>
      </c>
      <c r="B7" s="11">
        <v>1001</v>
      </c>
      <c r="C7" s="11" t="s">
        <v>61</v>
      </c>
      <c r="D7" s="11" t="s">
        <v>62</v>
      </c>
      <c r="E7" s="11" t="s">
        <v>63</v>
      </c>
      <c r="F7" s="11" t="s">
        <v>67</v>
      </c>
      <c r="G7" s="11" t="s">
        <v>68</v>
      </c>
      <c r="H7" s="11">
        <v>32328</v>
      </c>
      <c r="I7" s="12">
        <v>37714</v>
      </c>
      <c r="J7" s="11"/>
      <c r="K7" s="11" t="s">
        <v>66</v>
      </c>
      <c r="L7" s="11" t="s">
        <v>67</v>
      </c>
      <c r="M7" s="11" t="s">
        <v>68</v>
      </c>
      <c r="N7" s="9">
        <v>3437212490</v>
      </c>
      <c r="O7" s="9" t="s">
        <v>199</v>
      </c>
      <c r="P7" s="11">
        <v>4</v>
      </c>
      <c r="Q7" s="16">
        <v>12.5</v>
      </c>
      <c r="R7" s="16">
        <f t="shared" si="0"/>
        <v>50</v>
      </c>
      <c r="S7" s="11"/>
      <c r="T7" s="11"/>
      <c r="U7" s="11"/>
      <c r="V7" s="16"/>
      <c r="W7" s="16"/>
      <c r="X7" s="11"/>
      <c r="Y7" s="11"/>
      <c r="Z7" s="11"/>
      <c r="AA7" s="11"/>
      <c r="AB7" s="11"/>
    </row>
    <row r="8" spans="1:28">
      <c r="A8" s="11">
        <v>4570</v>
      </c>
      <c r="B8" s="11">
        <v>1001</v>
      </c>
      <c r="C8" s="11" t="s">
        <v>61</v>
      </c>
      <c r="D8" s="11" t="s">
        <v>62</v>
      </c>
      <c r="E8" s="11" t="s">
        <v>63</v>
      </c>
      <c r="F8" s="11" t="s">
        <v>67</v>
      </c>
      <c r="G8" s="11" t="s">
        <v>68</v>
      </c>
      <c r="H8" s="11">
        <v>32328</v>
      </c>
      <c r="I8" s="12">
        <v>37714</v>
      </c>
      <c r="J8" s="12">
        <v>37715</v>
      </c>
      <c r="K8" s="11" t="s">
        <v>66</v>
      </c>
      <c r="L8" s="11" t="s">
        <v>67</v>
      </c>
      <c r="M8" s="11" t="s">
        <v>68</v>
      </c>
      <c r="N8" s="9">
        <v>3957136468</v>
      </c>
      <c r="O8" s="9" t="s">
        <v>201</v>
      </c>
      <c r="P8" s="11">
        <v>3</v>
      </c>
      <c r="Q8" s="16">
        <v>47.25</v>
      </c>
      <c r="R8" s="16">
        <f t="shared" si="0"/>
        <v>141.75</v>
      </c>
      <c r="S8" s="11"/>
      <c r="T8" s="11"/>
      <c r="U8" s="11"/>
      <c r="V8" s="16"/>
      <c r="W8" s="16"/>
      <c r="X8" s="11"/>
      <c r="Y8" s="11"/>
      <c r="Z8" s="11"/>
      <c r="AA8" s="11"/>
      <c r="AB8" s="11"/>
    </row>
    <row r="9" spans="1:28">
      <c r="A9" s="11">
        <v>5414</v>
      </c>
      <c r="B9" s="11">
        <v>1001</v>
      </c>
      <c r="C9" s="11" t="s">
        <v>61</v>
      </c>
      <c r="D9" s="11" t="s">
        <v>62</v>
      </c>
      <c r="E9" s="11" t="s">
        <v>63</v>
      </c>
      <c r="F9" s="11" t="s">
        <v>67</v>
      </c>
      <c r="G9" s="11" t="s">
        <v>68</v>
      </c>
      <c r="H9" s="11">
        <v>32328</v>
      </c>
      <c r="I9" s="12">
        <v>37714</v>
      </c>
      <c r="J9" s="12">
        <v>37716</v>
      </c>
      <c r="K9" s="11" t="s">
        <v>66</v>
      </c>
      <c r="L9" s="11" t="s">
        <v>67</v>
      </c>
      <c r="M9" s="11" t="s">
        <v>68</v>
      </c>
      <c r="N9" s="9">
        <v>1915762492</v>
      </c>
      <c r="O9" s="9" t="s">
        <v>202</v>
      </c>
      <c r="P9" s="11">
        <v>1</v>
      </c>
      <c r="Q9" s="16">
        <v>21.8</v>
      </c>
      <c r="R9" s="16">
        <f t="shared" si="0"/>
        <v>21.8</v>
      </c>
      <c r="S9" s="11"/>
      <c r="T9" s="11"/>
      <c r="U9" s="11"/>
      <c r="V9" s="16"/>
      <c r="W9" s="16"/>
      <c r="X9" s="11"/>
      <c r="Y9" s="11"/>
      <c r="Z9" s="11"/>
      <c r="AA9" s="11"/>
      <c r="AB9" s="11"/>
    </row>
    <row r="10" spans="1:28">
      <c r="A10" s="11">
        <v>6324</v>
      </c>
      <c r="B10" s="11">
        <v>1001</v>
      </c>
      <c r="C10" s="11" t="s">
        <v>61</v>
      </c>
      <c r="D10" s="11" t="s">
        <v>62</v>
      </c>
      <c r="E10" s="11" t="s">
        <v>63</v>
      </c>
      <c r="F10" s="11" t="s">
        <v>67</v>
      </c>
      <c r="G10" s="11" t="s">
        <v>68</v>
      </c>
      <c r="H10" s="11">
        <v>32328</v>
      </c>
      <c r="I10" s="12">
        <v>37713</v>
      </c>
      <c r="J10" s="12">
        <v>37715</v>
      </c>
      <c r="K10" s="11" t="s">
        <v>66</v>
      </c>
      <c r="L10" s="11" t="s">
        <v>67</v>
      </c>
      <c r="M10" s="11" t="s">
        <v>68</v>
      </c>
      <c r="N10" s="9">
        <v>1059831198</v>
      </c>
      <c r="O10" s="9" t="s">
        <v>191</v>
      </c>
      <c r="P10" s="11">
        <v>3</v>
      </c>
      <c r="Q10" s="16">
        <v>18.75</v>
      </c>
      <c r="R10" s="16">
        <f>P10*Q10</f>
        <v>56.25</v>
      </c>
      <c r="S10" s="11"/>
      <c r="T10" s="11"/>
      <c r="U10" s="11"/>
      <c r="V10" s="16"/>
      <c r="W10" s="16"/>
      <c r="X10" s="11"/>
      <c r="Y10" s="11"/>
      <c r="Z10" s="11"/>
      <c r="AA10" s="11"/>
      <c r="AB10" s="11"/>
    </row>
    <row r="11" spans="1:28">
      <c r="A11" s="11">
        <v>6754</v>
      </c>
      <c r="B11" s="11">
        <v>1001</v>
      </c>
      <c r="C11" s="11" t="s">
        <v>61</v>
      </c>
      <c r="D11" s="11" t="s">
        <v>62</v>
      </c>
      <c r="E11" s="11" t="s">
        <v>63</v>
      </c>
      <c r="F11" s="11" t="s">
        <v>67</v>
      </c>
      <c r="G11" s="11" t="s">
        <v>68</v>
      </c>
      <c r="H11" s="11">
        <v>32328</v>
      </c>
      <c r="I11" s="12">
        <v>37713</v>
      </c>
      <c r="J11" s="12">
        <v>37714</v>
      </c>
      <c r="K11" s="11" t="s">
        <v>66</v>
      </c>
      <c r="L11" s="11" t="s">
        <v>67</v>
      </c>
      <c r="M11" s="11" t="s">
        <v>68</v>
      </c>
      <c r="N11" s="9">
        <v>1915762492</v>
      </c>
      <c r="O11" s="9" t="s">
        <v>202</v>
      </c>
      <c r="P11" s="11">
        <v>1</v>
      </c>
      <c r="Q11" s="15">
        <v>21.8</v>
      </c>
      <c r="R11" s="15">
        <f t="shared" ref="R11:R15" si="2">P11*Q11</f>
        <v>21.8</v>
      </c>
      <c r="S11" s="9">
        <v>3957136468</v>
      </c>
      <c r="T11" s="9" t="s">
        <v>201</v>
      </c>
      <c r="U11" s="11">
        <v>3</v>
      </c>
      <c r="V11" s="15">
        <v>47.25</v>
      </c>
      <c r="W11" s="15">
        <f t="shared" ref="W11:W12" si="3">U11*V11</f>
        <v>141.75</v>
      </c>
      <c r="X11" s="11"/>
      <c r="Y11" s="11"/>
      <c r="Z11" s="11"/>
      <c r="AA11" s="11"/>
      <c r="AB11" s="11"/>
    </row>
    <row r="12" spans="1:28">
      <c r="A12" s="11">
        <v>6867</v>
      </c>
      <c r="B12" s="11">
        <v>1001</v>
      </c>
      <c r="C12" s="11" t="s">
        <v>61</v>
      </c>
      <c r="D12" s="11" t="s">
        <v>62</v>
      </c>
      <c r="E12" s="11" t="s">
        <v>63</v>
      </c>
      <c r="F12" s="11" t="s">
        <v>67</v>
      </c>
      <c r="G12" s="11" t="s">
        <v>68</v>
      </c>
      <c r="H12" s="11">
        <v>32328</v>
      </c>
      <c r="I12" s="12">
        <v>37712</v>
      </c>
      <c r="J12" s="12">
        <v>37712</v>
      </c>
      <c r="K12" s="11" t="s">
        <v>66</v>
      </c>
      <c r="L12" s="11" t="s">
        <v>67</v>
      </c>
      <c r="M12" s="11" t="s">
        <v>68</v>
      </c>
      <c r="N12" s="9">
        <v>9959789321</v>
      </c>
      <c r="O12" s="9" t="s">
        <v>203</v>
      </c>
      <c r="P12" s="11">
        <v>1</v>
      </c>
      <c r="Q12" s="15">
        <v>37.9</v>
      </c>
      <c r="R12" s="15">
        <f t="shared" si="2"/>
        <v>37.9</v>
      </c>
      <c r="S12" s="9">
        <v>1915762492</v>
      </c>
      <c r="T12" s="9" t="s">
        <v>202</v>
      </c>
      <c r="U12" s="11">
        <v>1</v>
      </c>
      <c r="V12" s="15">
        <v>21.8</v>
      </c>
      <c r="W12" s="15">
        <f t="shared" si="3"/>
        <v>21.8</v>
      </c>
      <c r="X12" s="11"/>
      <c r="Y12" s="11"/>
      <c r="Z12" s="11"/>
      <c r="AA12" s="11"/>
      <c r="AB12" s="11"/>
    </row>
    <row r="13" spans="1:28">
      <c r="A13" s="11">
        <v>7091</v>
      </c>
      <c r="B13" s="11">
        <v>1001</v>
      </c>
      <c r="C13" s="11" t="s">
        <v>61</v>
      </c>
      <c r="D13" s="11" t="s">
        <v>62</v>
      </c>
      <c r="E13" s="11" t="s">
        <v>63</v>
      </c>
      <c r="F13" s="11" t="s">
        <v>67</v>
      </c>
      <c r="G13" s="11" t="s">
        <v>68</v>
      </c>
      <c r="H13" s="11">
        <v>32328</v>
      </c>
      <c r="I13" s="12">
        <v>37712</v>
      </c>
      <c r="J13" s="12">
        <v>37713</v>
      </c>
      <c r="K13" s="11" t="s">
        <v>66</v>
      </c>
      <c r="L13" s="11" t="s">
        <v>67</v>
      </c>
      <c r="M13" s="11" t="s">
        <v>68</v>
      </c>
      <c r="N13" s="9">
        <v>2491748320</v>
      </c>
      <c r="O13" s="9" t="s">
        <v>204</v>
      </c>
      <c r="P13" s="11">
        <v>2</v>
      </c>
      <c r="Q13" s="16">
        <v>48</v>
      </c>
      <c r="R13" s="16">
        <f t="shared" si="2"/>
        <v>96</v>
      </c>
      <c r="S13" s="11"/>
      <c r="T13" s="11"/>
      <c r="U13" s="11"/>
      <c r="V13" s="16"/>
      <c r="W13" s="16"/>
      <c r="X13" s="11"/>
      <c r="Y13" s="11"/>
      <c r="Z13" s="11"/>
      <c r="AA13" s="11"/>
      <c r="AB13" s="11"/>
    </row>
    <row r="14" spans="1:28">
      <c r="A14" s="11">
        <v>7764</v>
      </c>
      <c r="B14" s="11">
        <v>1001</v>
      </c>
      <c r="C14" s="11" t="s">
        <v>61</v>
      </c>
      <c r="D14" s="11" t="s">
        <v>62</v>
      </c>
      <c r="E14" s="11" t="s">
        <v>63</v>
      </c>
      <c r="F14" s="11" t="s">
        <v>67</v>
      </c>
      <c r="G14" s="11" t="s">
        <v>68</v>
      </c>
      <c r="H14" s="11">
        <v>32328</v>
      </c>
      <c r="I14" s="12">
        <v>37712</v>
      </c>
      <c r="J14" s="12">
        <v>37716</v>
      </c>
      <c r="K14" s="11" t="s">
        <v>66</v>
      </c>
      <c r="L14" s="11" t="s">
        <v>67</v>
      </c>
      <c r="M14" s="11" t="s">
        <v>68</v>
      </c>
      <c r="N14" s="9">
        <v>299282519</v>
      </c>
      <c r="O14" s="9" t="s">
        <v>205</v>
      </c>
      <c r="P14" s="11">
        <v>2</v>
      </c>
      <c r="Q14" s="16">
        <v>19</v>
      </c>
      <c r="R14" s="16">
        <f t="shared" si="2"/>
        <v>38</v>
      </c>
      <c r="S14" s="11"/>
      <c r="T14" s="11"/>
      <c r="U14" s="11"/>
      <c r="V14" s="16"/>
      <c r="W14" s="16"/>
      <c r="X14" s="11"/>
      <c r="Y14" s="11"/>
      <c r="Z14" s="11"/>
      <c r="AA14" s="11"/>
      <c r="AB14" s="11"/>
    </row>
    <row r="15" spans="1:28">
      <c r="A15" s="11">
        <v>7778</v>
      </c>
      <c r="B15" s="11">
        <v>1001</v>
      </c>
      <c r="C15" s="11" t="s">
        <v>61</v>
      </c>
      <c r="D15" s="11" t="s">
        <v>62</v>
      </c>
      <c r="E15" s="11" t="s">
        <v>63</v>
      </c>
      <c r="F15" s="11" t="s">
        <v>67</v>
      </c>
      <c r="G15" s="11" t="s">
        <v>68</v>
      </c>
      <c r="H15" s="11">
        <v>32328</v>
      </c>
      <c r="I15" s="12">
        <v>37734</v>
      </c>
      <c r="J15" s="12">
        <v>37738</v>
      </c>
      <c r="K15" s="11" t="s">
        <v>66</v>
      </c>
      <c r="L15" s="11" t="s">
        <v>67</v>
      </c>
      <c r="M15" s="11" t="s">
        <v>68</v>
      </c>
      <c r="N15" s="9">
        <v>1915762492</v>
      </c>
      <c r="O15" s="9" t="s">
        <v>202</v>
      </c>
      <c r="P15" s="11">
        <v>1</v>
      </c>
      <c r="Q15" s="16">
        <v>21.8</v>
      </c>
      <c r="R15" s="16">
        <f t="shared" si="2"/>
        <v>21.8</v>
      </c>
      <c r="S15" s="11"/>
      <c r="T15" s="11"/>
      <c r="U15" s="11"/>
      <c r="V15" s="16"/>
      <c r="W15" s="16"/>
      <c r="X15" s="11"/>
      <c r="Y15" s="11"/>
      <c r="Z15" s="11"/>
      <c r="AA15" s="11"/>
      <c r="AB15" s="11"/>
    </row>
    <row r="16" spans="1:28">
      <c r="A16" s="11">
        <v>7822</v>
      </c>
      <c r="B16" s="11">
        <v>1001</v>
      </c>
      <c r="C16" s="11" t="s">
        <v>61</v>
      </c>
      <c r="D16" s="11" t="s">
        <v>62</v>
      </c>
      <c r="E16" s="11" t="s">
        <v>63</v>
      </c>
      <c r="F16" s="11" t="s">
        <v>67</v>
      </c>
      <c r="G16" s="11" t="s">
        <v>68</v>
      </c>
      <c r="H16" s="11">
        <v>32328</v>
      </c>
      <c r="I16" s="12">
        <v>37712</v>
      </c>
      <c r="J16" s="12">
        <v>37713</v>
      </c>
      <c r="K16" s="11" t="s">
        <v>66</v>
      </c>
      <c r="L16" s="11" t="s">
        <v>67</v>
      </c>
      <c r="M16" s="11" t="s">
        <v>68</v>
      </c>
      <c r="N16" s="9">
        <v>1059831198</v>
      </c>
      <c r="O16" s="9" t="s">
        <v>191</v>
      </c>
      <c r="P16" s="11">
        <v>3</v>
      </c>
      <c r="Q16" s="16">
        <v>18.75</v>
      </c>
      <c r="R16" s="16">
        <f>P16*Q16</f>
        <v>56.25</v>
      </c>
      <c r="S16" s="11"/>
      <c r="T16" s="11"/>
      <c r="U16" s="11"/>
      <c r="V16" s="16"/>
      <c r="W16" s="16"/>
      <c r="X16" s="11"/>
      <c r="Y16" s="11"/>
      <c r="Z16" s="11"/>
      <c r="AA16" s="11"/>
      <c r="AB16" s="11"/>
    </row>
    <row r="17" spans="1:28">
      <c r="A17" s="11">
        <v>8144</v>
      </c>
      <c r="B17" s="11">
        <v>1001</v>
      </c>
      <c r="C17" s="11" t="s">
        <v>61</v>
      </c>
      <c r="D17" s="11" t="s">
        <v>62</v>
      </c>
      <c r="E17" s="11" t="s">
        <v>63</v>
      </c>
      <c r="F17" s="11" t="s">
        <v>67</v>
      </c>
      <c r="G17" s="11" t="s">
        <v>68</v>
      </c>
      <c r="H17" s="11">
        <v>32328</v>
      </c>
      <c r="I17" s="12">
        <v>37714</v>
      </c>
      <c r="J17" s="12">
        <v>37715</v>
      </c>
      <c r="K17" s="11" t="s">
        <v>66</v>
      </c>
      <c r="L17" s="11" t="s">
        <v>67</v>
      </c>
      <c r="M17" s="11" t="s">
        <v>68</v>
      </c>
      <c r="N17" s="9">
        <v>8117949391</v>
      </c>
      <c r="O17" s="9" t="s">
        <v>206</v>
      </c>
      <c r="P17" s="11">
        <v>1</v>
      </c>
      <c r="Q17" s="15">
        <v>5.32</v>
      </c>
      <c r="R17" s="15">
        <f t="shared" ref="R17:R19" si="4">P17*Q17</f>
        <v>5.32</v>
      </c>
      <c r="S17" s="9">
        <v>2491748320</v>
      </c>
      <c r="T17" s="9" t="s">
        <v>204</v>
      </c>
      <c r="U17" s="11">
        <v>2</v>
      </c>
      <c r="V17" s="15">
        <v>48</v>
      </c>
      <c r="W17" s="15">
        <f t="shared" ref="W17:W18" si="5">U17*V17</f>
        <v>96</v>
      </c>
      <c r="X17" s="9">
        <v>4981341710</v>
      </c>
      <c r="Y17" s="9" t="s">
        <v>195</v>
      </c>
      <c r="Z17" s="11">
        <v>1</v>
      </c>
      <c r="AA17" s="15">
        <v>14.2</v>
      </c>
      <c r="AB17" s="15">
        <f t="shared" ref="AB17" si="6">Z17*AA17</f>
        <v>14.2</v>
      </c>
    </row>
    <row r="18" spans="1:28">
      <c r="A18" s="11">
        <v>8412</v>
      </c>
      <c r="B18" s="11">
        <v>1001</v>
      </c>
      <c r="C18" s="11" t="s">
        <v>61</v>
      </c>
      <c r="D18" s="11" t="s">
        <v>62</v>
      </c>
      <c r="E18" s="11" t="s">
        <v>63</v>
      </c>
      <c r="F18" s="11" t="s">
        <v>67</v>
      </c>
      <c r="G18" s="11" t="s">
        <v>68</v>
      </c>
      <c r="H18" s="11">
        <v>32328</v>
      </c>
      <c r="I18" s="12">
        <v>37711</v>
      </c>
      <c r="J18" s="12">
        <v>37712</v>
      </c>
      <c r="K18" s="11" t="s">
        <v>66</v>
      </c>
      <c r="L18" s="11" t="s">
        <v>67</v>
      </c>
      <c r="M18" s="11" t="s">
        <v>68</v>
      </c>
      <c r="N18" s="9">
        <v>132149871</v>
      </c>
      <c r="O18" s="9" t="s">
        <v>207</v>
      </c>
      <c r="P18" s="11">
        <v>3</v>
      </c>
      <c r="Q18" s="15">
        <v>17.850000000000001</v>
      </c>
      <c r="R18" s="15">
        <f t="shared" si="4"/>
        <v>53.550000000000004</v>
      </c>
      <c r="S18" s="9">
        <v>299282519</v>
      </c>
      <c r="T18" s="9" t="s">
        <v>205</v>
      </c>
      <c r="U18" s="11">
        <v>2</v>
      </c>
      <c r="V18" s="15">
        <v>19</v>
      </c>
      <c r="W18" s="15">
        <f t="shared" si="5"/>
        <v>38</v>
      </c>
      <c r="X18" s="11"/>
      <c r="Y18" s="11"/>
      <c r="Z18" s="11"/>
      <c r="AA18" s="11"/>
      <c r="AB18" s="11"/>
    </row>
    <row r="19" spans="1:28">
      <c r="A19" s="11">
        <v>9379</v>
      </c>
      <c r="B19" s="11">
        <v>1001</v>
      </c>
      <c r="C19" s="11" t="s">
        <v>61</v>
      </c>
      <c r="D19" s="11" t="s">
        <v>62</v>
      </c>
      <c r="E19" s="11" t="s">
        <v>63</v>
      </c>
      <c r="F19" s="11" t="s">
        <v>67</v>
      </c>
      <c r="G19" s="11" t="s">
        <v>68</v>
      </c>
      <c r="H19" s="11">
        <v>32328</v>
      </c>
      <c r="I19" s="12">
        <v>37711</v>
      </c>
      <c r="J19" s="12">
        <v>37713</v>
      </c>
      <c r="K19" s="11" t="s">
        <v>66</v>
      </c>
      <c r="L19" s="11" t="s">
        <v>67</v>
      </c>
      <c r="M19" s="11" t="s">
        <v>68</v>
      </c>
      <c r="N19" s="9">
        <v>9247381001</v>
      </c>
      <c r="O19" s="9" t="s">
        <v>209</v>
      </c>
      <c r="P19" s="11">
        <v>2</v>
      </c>
      <c r="Q19" s="16">
        <v>15.4</v>
      </c>
      <c r="R19" s="16">
        <f t="shared" si="4"/>
        <v>30.8</v>
      </c>
      <c r="S19" s="11"/>
      <c r="T19" s="11"/>
      <c r="U19" s="11"/>
      <c r="V19" s="16"/>
      <c r="W19" s="16"/>
      <c r="X19" s="11"/>
      <c r="Y19" s="11"/>
      <c r="Z19" s="11"/>
      <c r="AA19" s="11"/>
      <c r="AB19" s="11"/>
    </row>
    <row r="20" spans="1:28">
      <c r="A20" s="8">
        <v>10621</v>
      </c>
      <c r="B20" s="11">
        <v>1001</v>
      </c>
      <c r="C20" s="11" t="s">
        <v>61</v>
      </c>
      <c r="D20" s="11" t="s">
        <v>62</v>
      </c>
      <c r="E20" s="11" t="s">
        <v>63</v>
      </c>
      <c r="F20" s="11" t="s">
        <v>67</v>
      </c>
      <c r="G20" s="11" t="s">
        <v>68</v>
      </c>
      <c r="H20" s="11">
        <v>32328</v>
      </c>
      <c r="I20" s="12">
        <v>37711</v>
      </c>
      <c r="J20" s="12">
        <v>37713</v>
      </c>
      <c r="K20" s="11" t="s">
        <v>66</v>
      </c>
      <c r="L20" s="11" t="s">
        <v>67</v>
      </c>
      <c r="M20" s="11" t="s">
        <v>68</v>
      </c>
      <c r="N20" s="9">
        <v>9247381001</v>
      </c>
      <c r="O20" s="9" t="s">
        <v>209</v>
      </c>
      <c r="P20" s="11">
        <v>2</v>
      </c>
      <c r="Q20" s="16">
        <v>15.4</v>
      </c>
      <c r="R20" s="16">
        <f t="shared" ref="R20:R45" si="7">P20*Q20</f>
        <v>30.8</v>
      </c>
      <c r="S20" s="11"/>
      <c r="T20" s="11"/>
      <c r="U20" s="11"/>
      <c r="V20" s="16"/>
      <c r="W20" s="16"/>
      <c r="X20" s="11"/>
      <c r="Y20" s="11"/>
      <c r="Z20" s="11"/>
      <c r="AA20" s="11"/>
      <c r="AB20" s="11"/>
    </row>
    <row r="21" spans="1:28">
      <c r="A21" s="8">
        <v>11014</v>
      </c>
      <c r="B21" s="11">
        <v>1001</v>
      </c>
      <c r="C21" s="11" t="s">
        <v>61</v>
      </c>
      <c r="D21" s="11" t="s">
        <v>62</v>
      </c>
      <c r="E21" s="11" t="s">
        <v>63</v>
      </c>
      <c r="F21" s="11" t="s">
        <v>67</v>
      </c>
      <c r="G21" s="11" t="s">
        <v>68</v>
      </c>
      <c r="H21" s="11">
        <v>32328</v>
      </c>
      <c r="I21" s="12">
        <v>37711</v>
      </c>
      <c r="J21" s="12">
        <v>37713</v>
      </c>
      <c r="K21" s="11" t="s">
        <v>66</v>
      </c>
      <c r="L21" s="11" t="s">
        <v>67</v>
      </c>
      <c r="M21" s="11" t="s">
        <v>68</v>
      </c>
      <c r="N21" s="9">
        <v>9247381001</v>
      </c>
      <c r="O21" s="9" t="s">
        <v>209</v>
      </c>
      <c r="P21" s="11">
        <v>2</v>
      </c>
      <c r="Q21" s="16">
        <v>15.4</v>
      </c>
      <c r="R21" s="16">
        <f t="shared" si="7"/>
        <v>30.8</v>
      </c>
      <c r="S21" s="11"/>
      <c r="T21" s="11"/>
      <c r="U21" s="11"/>
      <c r="V21" s="16"/>
      <c r="W21" s="16"/>
      <c r="X21" s="11"/>
      <c r="Y21" s="11"/>
      <c r="Z21" s="11"/>
      <c r="AA21" s="11"/>
      <c r="AB21" s="11"/>
    </row>
    <row r="22" spans="1:28">
      <c r="A22" s="8">
        <v>11448</v>
      </c>
      <c r="B22" s="11">
        <v>1001</v>
      </c>
      <c r="C22" s="11" t="s">
        <v>61</v>
      </c>
      <c r="D22" s="11" t="s">
        <v>62</v>
      </c>
      <c r="E22" s="11" t="s">
        <v>63</v>
      </c>
      <c r="F22" s="11" t="s">
        <v>67</v>
      </c>
      <c r="G22" s="11" t="s">
        <v>68</v>
      </c>
      <c r="H22" s="11">
        <v>32328</v>
      </c>
      <c r="I22" s="12">
        <v>37711</v>
      </c>
      <c r="J22" s="12">
        <v>37713</v>
      </c>
      <c r="K22" s="11" t="s">
        <v>66</v>
      </c>
      <c r="L22" s="11" t="s">
        <v>67</v>
      </c>
      <c r="M22" s="11" t="s">
        <v>68</v>
      </c>
      <c r="N22" s="9">
        <v>9247381001</v>
      </c>
      <c r="O22" s="9" t="s">
        <v>191</v>
      </c>
      <c r="P22" s="11">
        <v>2</v>
      </c>
      <c r="Q22" s="16">
        <v>15.4</v>
      </c>
      <c r="R22" s="16">
        <f t="shared" si="7"/>
        <v>30.8</v>
      </c>
      <c r="S22" s="11"/>
      <c r="T22" s="11"/>
      <c r="U22" s="11"/>
      <c r="V22" s="16"/>
      <c r="W22" s="16"/>
      <c r="X22" s="11"/>
      <c r="Y22" s="11"/>
      <c r="Z22" s="11"/>
      <c r="AA22" s="11"/>
      <c r="AB22" s="11"/>
    </row>
    <row r="23" spans="1:28">
      <c r="A23" s="8">
        <v>12214</v>
      </c>
      <c r="B23" s="11">
        <v>1001</v>
      </c>
      <c r="C23" s="11" t="s">
        <v>61</v>
      </c>
      <c r="D23" s="11" t="s">
        <v>62</v>
      </c>
      <c r="E23" s="11" t="s">
        <v>63</v>
      </c>
      <c r="F23" s="11" t="s">
        <v>67</v>
      </c>
      <c r="G23" s="11" t="s">
        <v>68</v>
      </c>
      <c r="H23" s="11">
        <v>32328</v>
      </c>
      <c r="I23" s="12">
        <v>37711</v>
      </c>
      <c r="J23" s="12">
        <v>37713</v>
      </c>
      <c r="K23" s="11" t="s">
        <v>66</v>
      </c>
      <c r="L23" s="11" t="s">
        <v>67</v>
      </c>
      <c r="M23" s="11" t="s">
        <v>68</v>
      </c>
      <c r="N23" s="9">
        <v>9247381001</v>
      </c>
      <c r="O23" s="9" t="s">
        <v>209</v>
      </c>
      <c r="P23" s="11">
        <v>2</v>
      </c>
      <c r="Q23" s="16">
        <v>15.4</v>
      </c>
      <c r="R23" s="16">
        <f t="shared" si="7"/>
        <v>30.8</v>
      </c>
      <c r="S23" s="11"/>
      <c r="T23" s="11"/>
      <c r="U23" s="11"/>
      <c r="V23" s="16"/>
      <c r="W23" s="16"/>
      <c r="X23" s="11"/>
      <c r="Y23" s="11"/>
      <c r="Z23" s="11"/>
      <c r="AA23" s="11"/>
      <c r="AB23" s="11"/>
    </row>
    <row r="24" spans="1:28">
      <c r="A24" s="8">
        <v>12441</v>
      </c>
      <c r="B24" s="11">
        <v>1001</v>
      </c>
      <c r="C24" s="11" t="s">
        <v>61</v>
      </c>
      <c r="D24" s="11" t="s">
        <v>62</v>
      </c>
      <c r="E24" s="11" t="s">
        <v>63</v>
      </c>
      <c r="F24" s="11" t="s">
        <v>67</v>
      </c>
      <c r="G24" s="11" t="s">
        <v>68</v>
      </c>
      <c r="H24" s="11">
        <v>32328</v>
      </c>
      <c r="I24" s="12">
        <v>37711</v>
      </c>
      <c r="J24" s="12">
        <v>37713</v>
      </c>
      <c r="K24" s="11" t="s">
        <v>66</v>
      </c>
      <c r="L24" s="11" t="s">
        <v>67</v>
      </c>
      <c r="M24" s="11" t="s">
        <v>68</v>
      </c>
      <c r="N24" s="9">
        <v>9247381001</v>
      </c>
      <c r="O24" s="9" t="s">
        <v>195</v>
      </c>
      <c r="P24" s="11">
        <v>2</v>
      </c>
      <c r="Q24" s="16">
        <v>15.4</v>
      </c>
      <c r="R24" s="16">
        <f t="shared" si="7"/>
        <v>30.8</v>
      </c>
      <c r="S24" s="11"/>
      <c r="T24" s="11"/>
      <c r="U24" s="11"/>
      <c r="V24" s="16"/>
      <c r="W24" s="16"/>
      <c r="X24" s="11"/>
      <c r="Y24" s="11"/>
      <c r="Z24" s="11"/>
      <c r="AA24" s="11"/>
      <c r="AB24" s="11"/>
    </row>
    <row r="25" spans="1:28">
      <c r="A25" s="8">
        <v>12512</v>
      </c>
      <c r="B25" s="11">
        <v>1001</v>
      </c>
      <c r="C25" s="11" t="s">
        <v>61</v>
      </c>
      <c r="D25" s="11" t="s">
        <v>62</v>
      </c>
      <c r="E25" s="11" t="s">
        <v>63</v>
      </c>
      <c r="F25" s="11" t="s">
        <v>67</v>
      </c>
      <c r="G25" s="11" t="s">
        <v>68</v>
      </c>
      <c r="H25" s="11">
        <v>32328</v>
      </c>
      <c r="I25" s="12">
        <v>37711</v>
      </c>
      <c r="J25" s="12">
        <v>37713</v>
      </c>
      <c r="K25" s="11" t="s">
        <v>66</v>
      </c>
      <c r="L25" s="11" t="s">
        <v>67</v>
      </c>
      <c r="M25" s="11" t="s">
        <v>68</v>
      </c>
      <c r="N25" s="9">
        <v>9247381001</v>
      </c>
      <c r="O25" s="9" t="s">
        <v>191</v>
      </c>
      <c r="P25" s="11">
        <v>2</v>
      </c>
      <c r="Q25" s="16">
        <v>15.4</v>
      </c>
      <c r="R25" s="16">
        <f t="shared" si="7"/>
        <v>30.8</v>
      </c>
      <c r="S25" s="9">
        <v>8117949391</v>
      </c>
      <c r="T25" s="9" t="s">
        <v>206</v>
      </c>
      <c r="U25" s="11">
        <v>1</v>
      </c>
      <c r="V25" s="15">
        <v>5.32</v>
      </c>
      <c r="W25" s="15">
        <f t="shared" ref="W25:W26" si="8">U25*V25</f>
        <v>5.32</v>
      </c>
      <c r="X25" s="11"/>
      <c r="Y25" s="11"/>
      <c r="Z25" s="11"/>
      <c r="AA25" s="11"/>
      <c r="AB25" s="11"/>
    </row>
    <row r="26" spans="1:28">
      <c r="A26" s="8">
        <v>13162</v>
      </c>
      <c r="B26" s="11">
        <v>1001</v>
      </c>
      <c r="C26" s="11" t="s">
        <v>61</v>
      </c>
      <c r="D26" s="11" t="s">
        <v>62</v>
      </c>
      <c r="E26" s="11" t="s">
        <v>63</v>
      </c>
      <c r="F26" s="11" t="s">
        <v>67</v>
      </c>
      <c r="G26" s="11" t="s">
        <v>68</v>
      </c>
      <c r="H26" s="11">
        <v>32328</v>
      </c>
      <c r="I26" s="12">
        <v>37711</v>
      </c>
      <c r="J26" s="12">
        <v>37713</v>
      </c>
      <c r="K26" s="11" t="s">
        <v>66</v>
      </c>
      <c r="L26" s="11" t="s">
        <v>67</v>
      </c>
      <c r="M26" s="11" t="s">
        <v>68</v>
      </c>
      <c r="N26" s="9">
        <v>9247381001</v>
      </c>
      <c r="O26" s="9" t="s">
        <v>199</v>
      </c>
      <c r="P26" s="11">
        <v>2</v>
      </c>
      <c r="Q26" s="16">
        <v>15.4</v>
      </c>
      <c r="R26" s="16">
        <f t="shared" si="7"/>
        <v>30.8</v>
      </c>
      <c r="S26" s="9">
        <v>132149871</v>
      </c>
      <c r="T26" s="9" t="s">
        <v>207</v>
      </c>
      <c r="U26" s="11">
        <v>3</v>
      </c>
      <c r="V26" s="15">
        <v>17.850000000000001</v>
      </c>
      <c r="W26" s="15">
        <f t="shared" si="8"/>
        <v>53.550000000000004</v>
      </c>
      <c r="X26" s="11"/>
      <c r="Y26" s="11"/>
      <c r="Z26" s="11"/>
      <c r="AA26" s="11"/>
      <c r="AB26" s="11"/>
    </row>
    <row r="27" spans="1:28">
      <c r="A27" s="8">
        <v>13897</v>
      </c>
      <c r="B27" s="11">
        <v>1001</v>
      </c>
      <c r="C27" s="11" t="s">
        <v>61</v>
      </c>
      <c r="D27" s="11" t="s">
        <v>62</v>
      </c>
      <c r="E27" s="11" t="s">
        <v>63</v>
      </c>
      <c r="F27" s="11" t="s">
        <v>67</v>
      </c>
      <c r="G27" s="11" t="s">
        <v>68</v>
      </c>
      <c r="H27" s="11">
        <v>32328</v>
      </c>
      <c r="I27" s="12">
        <v>37711</v>
      </c>
      <c r="J27" s="12">
        <v>37713</v>
      </c>
      <c r="K27" s="11" t="s">
        <v>66</v>
      </c>
      <c r="L27" s="11" t="s">
        <v>67</v>
      </c>
      <c r="M27" s="11" t="s">
        <v>68</v>
      </c>
      <c r="N27" s="9">
        <v>9247381001</v>
      </c>
      <c r="O27" s="9" t="s">
        <v>201</v>
      </c>
      <c r="P27" s="11">
        <v>2</v>
      </c>
      <c r="Q27" s="16">
        <v>15.4</v>
      </c>
      <c r="R27" s="16">
        <f t="shared" si="7"/>
        <v>30.8</v>
      </c>
      <c r="S27" s="11"/>
      <c r="T27" s="11"/>
      <c r="U27" s="11"/>
      <c r="V27" s="16"/>
      <c r="W27" s="16"/>
      <c r="X27" s="11"/>
      <c r="Y27" s="11"/>
      <c r="Z27" s="11"/>
      <c r="AA27" s="11"/>
      <c r="AB27" s="11"/>
    </row>
    <row r="28" spans="1:28">
      <c r="A28" s="8">
        <v>14440</v>
      </c>
      <c r="B28" s="11">
        <v>1001</v>
      </c>
      <c r="C28" s="11" t="s">
        <v>61</v>
      </c>
      <c r="D28" s="11" t="s">
        <v>62</v>
      </c>
      <c r="E28" s="11" t="s">
        <v>63</v>
      </c>
      <c r="F28" s="11" t="s">
        <v>67</v>
      </c>
      <c r="G28" s="11" t="s">
        <v>68</v>
      </c>
      <c r="H28" s="11">
        <v>32328</v>
      </c>
      <c r="I28" s="12">
        <v>37711</v>
      </c>
      <c r="J28" s="12">
        <v>37713</v>
      </c>
      <c r="K28" s="11" t="s">
        <v>66</v>
      </c>
      <c r="L28" s="11" t="s">
        <v>67</v>
      </c>
      <c r="M28" s="11" t="s">
        <v>68</v>
      </c>
      <c r="N28" s="9">
        <v>9247381001</v>
      </c>
      <c r="O28" s="9" t="s">
        <v>202</v>
      </c>
      <c r="P28" s="11">
        <v>2</v>
      </c>
      <c r="Q28" s="16">
        <v>15.4</v>
      </c>
      <c r="R28" s="16">
        <f t="shared" si="7"/>
        <v>30.8</v>
      </c>
      <c r="S28" s="11"/>
      <c r="T28" s="11"/>
      <c r="U28" s="11"/>
      <c r="V28" s="16"/>
      <c r="W28" s="16"/>
      <c r="X28" s="11"/>
      <c r="Y28" s="11"/>
      <c r="Z28" s="11"/>
      <c r="AA28" s="11"/>
      <c r="AB28" s="11"/>
    </row>
    <row r="29" spans="1:28">
      <c r="A29" s="8">
        <v>14689</v>
      </c>
      <c r="B29" s="11">
        <v>1001</v>
      </c>
      <c r="C29" s="11" t="s">
        <v>61</v>
      </c>
      <c r="D29" s="11" t="s">
        <v>62</v>
      </c>
      <c r="E29" s="11" t="s">
        <v>63</v>
      </c>
      <c r="F29" s="11" t="s">
        <v>67</v>
      </c>
      <c r="G29" s="11" t="s">
        <v>68</v>
      </c>
      <c r="H29" s="11">
        <v>32328</v>
      </c>
      <c r="I29" s="12">
        <v>37711</v>
      </c>
      <c r="J29" s="12">
        <v>37713</v>
      </c>
      <c r="K29" s="11" t="s">
        <v>66</v>
      </c>
      <c r="L29" s="11" t="s">
        <v>67</v>
      </c>
      <c r="M29" s="11" t="s">
        <v>68</v>
      </c>
      <c r="N29" s="9">
        <v>9247381001</v>
      </c>
      <c r="O29" s="9" t="s">
        <v>191</v>
      </c>
      <c r="P29" s="11">
        <v>2</v>
      </c>
      <c r="Q29" s="16">
        <v>15.4</v>
      </c>
      <c r="R29" s="16">
        <f t="shared" si="7"/>
        <v>30.8</v>
      </c>
      <c r="S29" s="11"/>
      <c r="T29" s="11"/>
      <c r="U29" s="11"/>
      <c r="V29" s="16"/>
      <c r="W29" s="16"/>
      <c r="X29" s="9">
        <v>8117949391</v>
      </c>
      <c r="Y29" s="9" t="s">
        <v>206</v>
      </c>
      <c r="Z29" s="11">
        <v>1</v>
      </c>
      <c r="AA29" s="15">
        <v>5.32</v>
      </c>
      <c r="AB29" s="15">
        <f t="shared" ref="AB29:AB30" si="9">Z29*AA29</f>
        <v>5.32</v>
      </c>
    </row>
    <row r="30" spans="1:28">
      <c r="A30" s="8">
        <v>15596</v>
      </c>
      <c r="B30" s="11">
        <v>1001</v>
      </c>
      <c r="C30" s="11" t="s">
        <v>61</v>
      </c>
      <c r="D30" s="11" t="s">
        <v>62</v>
      </c>
      <c r="E30" s="11" t="s">
        <v>63</v>
      </c>
      <c r="F30" s="11" t="s">
        <v>67</v>
      </c>
      <c r="G30" s="11" t="s">
        <v>68</v>
      </c>
      <c r="H30" s="11">
        <v>32328</v>
      </c>
      <c r="I30" s="12">
        <v>37711</v>
      </c>
      <c r="J30" s="12">
        <v>37713</v>
      </c>
      <c r="K30" s="11" t="s">
        <v>66</v>
      </c>
      <c r="L30" s="11" t="s">
        <v>67</v>
      </c>
      <c r="M30" s="11" t="s">
        <v>68</v>
      </c>
      <c r="N30" s="9">
        <v>9247381001</v>
      </c>
      <c r="O30" s="9" t="s">
        <v>202</v>
      </c>
      <c r="P30" s="11">
        <v>2</v>
      </c>
      <c r="Q30" s="16">
        <v>15.4</v>
      </c>
      <c r="R30" s="16">
        <f t="shared" si="7"/>
        <v>30.8</v>
      </c>
      <c r="S30" s="11"/>
      <c r="T30" s="11"/>
      <c r="U30" s="11"/>
      <c r="V30" s="16"/>
      <c r="W30" s="16"/>
      <c r="X30" s="9">
        <v>132149871</v>
      </c>
      <c r="Y30" s="9" t="s">
        <v>207</v>
      </c>
      <c r="Z30" s="11">
        <v>3</v>
      </c>
      <c r="AA30" s="15">
        <v>17.850000000000001</v>
      </c>
      <c r="AB30" s="15">
        <f t="shared" si="9"/>
        <v>53.550000000000004</v>
      </c>
    </row>
    <row r="31" spans="1:28">
      <c r="A31" s="8">
        <v>15691</v>
      </c>
      <c r="B31" s="11">
        <v>1001</v>
      </c>
      <c r="C31" s="11" t="s">
        <v>61</v>
      </c>
      <c r="D31" s="11" t="s">
        <v>62</v>
      </c>
      <c r="E31" s="11" t="s">
        <v>63</v>
      </c>
      <c r="F31" s="11" t="s">
        <v>67</v>
      </c>
      <c r="G31" s="11" t="s">
        <v>68</v>
      </c>
      <c r="H31" s="11">
        <v>32328</v>
      </c>
      <c r="I31" s="12">
        <v>37711</v>
      </c>
      <c r="J31" s="12">
        <v>37713</v>
      </c>
      <c r="K31" s="11" t="s">
        <v>66</v>
      </c>
      <c r="L31" s="11" t="s">
        <v>67</v>
      </c>
      <c r="M31" s="11" t="s">
        <v>68</v>
      </c>
      <c r="N31" s="9">
        <v>9247381001</v>
      </c>
      <c r="O31" s="9" t="s">
        <v>203</v>
      </c>
      <c r="P31" s="11">
        <v>2</v>
      </c>
      <c r="Q31" s="16">
        <v>15.4</v>
      </c>
      <c r="R31" s="16">
        <f t="shared" si="7"/>
        <v>30.8</v>
      </c>
      <c r="S31" s="11"/>
      <c r="T31" s="11"/>
      <c r="U31" s="11"/>
      <c r="V31" s="16"/>
      <c r="W31" s="16"/>
      <c r="X31" s="11"/>
      <c r="Y31" s="11"/>
      <c r="Z31" s="11"/>
      <c r="AA31" s="11"/>
      <c r="AB31" s="11"/>
    </row>
    <row r="32" spans="1:28">
      <c r="A32" s="8">
        <v>16183</v>
      </c>
      <c r="B32" s="11">
        <v>1001</v>
      </c>
      <c r="C32" s="11" t="s">
        <v>61</v>
      </c>
      <c r="D32" s="11" t="s">
        <v>62</v>
      </c>
      <c r="E32" s="11" t="s">
        <v>63</v>
      </c>
      <c r="F32" s="11" t="s">
        <v>67</v>
      </c>
      <c r="G32" s="11" t="s">
        <v>68</v>
      </c>
      <c r="H32" s="11">
        <v>32328</v>
      </c>
      <c r="I32" s="12">
        <v>37711</v>
      </c>
      <c r="J32" s="12">
        <v>37713</v>
      </c>
      <c r="K32" s="11" t="s">
        <v>66</v>
      </c>
      <c r="L32" s="11" t="s">
        <v>67</v>
      </c>
      <c r="M32" s="11" t="s">
        <v>68</v>
      </c>
      <c r="N32" s="9">
        <v>9247381001</v>
      </c>
      <c r="O32" s="9" t="s">
        <v>204</v>
      </c>
      <c r="P32" s="11">
        <v>2</v>
      </c>
      <c r="Q32" s="16">
        <v>15.4</v>
      </c>
      <c r="R32" s="16">
        <f t="shared" si="7"/>
        <v>30.8</v>
      </c>
      <c r="S32" s="9">
        <v>9247381001</v>
      </c>
      <c r="T32" s="9" t="s">
        <v>209</v>
      </c>
      <c r="U32" s="11">
        <v>2</v>
      </c>
      <c r="V32" s="16">
        <v>15.4</v>
      </c>
      <c r="W32" s="16">
        <f t="shared" ref="W32:W33" si="10">U32*V32</f>
        <v>30.8</v>
      </c>
      <c r="X32" s="11"/>
      <c r="Y32" s="11"/>
      <c r="Z32" s="11"/>
      <c r="AA32" s="11"/>
      <c r="AB32" s="11"/>
    </row>
    <row r="33" spans="1:28">
      <c r="A33" s="8">
        <v>16211</v>
      </c>
      <c r="B33" s="11">
        <v>1001</v>
      </c>
      <c r="C33" s="11" t="s">
        <v>61</v>
      </c>
      <c r="D33" s="11" t="s">
        <v>62</v>
      </c>
      <c r="E33" s="11" t="s">
        <v>63</v>
      </c>
      <c r="F33" s="11" t="s">
        <v>67</v>
      </c>
      <c r="G33" s="11" t="s">
        <v>68</v>
      </c>
      <c r="H33" s="11">
        <v>32328</v>
      </c>
      <c r="I33" s="12">
        <v>37711</v>
      </c>
      <c r="J33" s="12">
        <v>37713</v>
      </c>
      <c r="K33" s="11" t="s">
        <v>66</v>
      </c>
      <c r="L33" s="11" t="s">
        <v>67</v>
      </c>
      <c r="M33" s="11" t="s">
        <v>68</v>
      </c>
      <c r="N33" s="9">
        <v>9247381001</v>
      </c>
      <c r="O33" s="9" t="s">
        <v>205</v>
      </c>
      <c r="P33" s="11">
        <v>2</v>
      </c>
      <c r="Q33" s="16">
        <v>15.4</v>
      </c>
      <c r="R33" s="16">
        <f t="shared" si="7"/>
        <v>30.8</v>
      </c>
      <c r="S33" s="9">
        <v>9247381001</v>
      </c>
      <c r="T33" s="9" t="s">
        <v>195</v>
      </c>
      <c r="U33" s="11">
        <v>2</v>
      </c>
      <c r="V33" s="16">
        <v>15.4</v>
      </c>
      <c r="W33" s="16">
        <f t="shared" si="10"/>
        <v>30.8</v>
      </c>
      <c r="X33" s="11"/>
      <c r="Y33" s="11"/>
      <c r="Z33" s="11"/>
      <c r="AA33" s="11"/>
      <c r="AB33" s="11"/>
    </row>
    <row r="34" spans="1:28">
      <c r="A34" s="8">
        <v>16444</v>
      </c>
      <c r="B34" s="11">
        <v>1001</v>
      </c>
      <c r="C34" s="11" t="s">
        <v>61</v>
      </c>
      <c r="D34" s="11" t="s">
        <v>62</v>
      </c>
      <c r="E34" s="11" t="s">
        <v>63</v>
      </c>
      <c r="F34" s="11" t="s">
        <v>67</v>
      </c>
      <c r="G34" s="11" t="s">
        <v>68</v>
      </c>
      <c r="H34" s="11">
        <v>32328</v>
      </c>
      <c r="I34" s="12">
        <v>37711</v>
      </c>
      <c r="J34" s="12">
        <v>37713</v>
      </c>
      <c r="K34" s="11" t="s">
        <v>66</v>
      </c>
      <c r="L34" s="11" t="s">
        <v>67</v>
      </c>
      <c r="M34" s="11" t="s">
        <v>68</v>
      </c>
      <c r="N34" s="9">
        <v>9247381001</v>
      </c>
      <c r="O34" s="9" t="s">
        <v>202</v>
      </c>
      <c r="P34" s="11">
        <v>2</v>
      </c>
      <c r="Q34" s="16">
        <v>15.4</v>
      </c>
      <c r="R34" s="16">
        <f t="shared" si="7"/>
        <v>30.8</v>
      </c>
      <c r="S34" s="11"/>
      <c r="T34" s="11"/>
      <c r="U34" s="11"/>
      <c r="V34" s="16"/>
      <c r="W34" s="16"/>
      <c r="X34" s="11"/>
      <c r="Y34" s="11"/>
      <c r="Z34" s="11"/>
      <c r="AA34" s="11"/>
      <c r="AB34" s="11"/>
    </row>
    <row r="35" spans="1:28">
      <c r="A35" s="8">
        <v>17524</v>
      </c>
      <c r="B35" s="11">
        <v>1001</v>
      </c>
      <c r="C35" s="11" t="s">
        <v>61</v>
      </c>
      <c r="D35" s="11" t="s">
        <v>62</v>
      </c>
      <c r="E35" s="11" t="s">
        <v>63</v>
      </c>
      <c r="F35" s="11" t="s">
        <v>67</v>
      </c>
      <c r="G35" s="11" t="s">
        <v>68</v>
      </c>
      <c r="H35" s="11">
        <v>32328</v>
      </c>
      <c r="I35" s="12">
        <v>37711</v>
      </c>
      <c r="J35" s="12">
        <v>37713</v>
      </c>
      <c r="K35" s="11" t="s">
        <v>66</v>
      </c>
      <c r="L35" s="11" t="s">
        <v>67</v>
      </c>
      <c r="M35" s="11" t="s">
        <v>68</v>
      </c>
      <c r="N35" s="9">
        <v>9247381001</v>
      </c>
      <c r="O35" s="9" t="s">
        <v>195</v>
      </c>
      <c r="P35" s="11">
        <v>2</v>
      </c>
      <c r="Q35" s="16">
        <v>15.4</v>
      </c>
      <c r="R35" s="16">
        <f t="shared" si="7"/>
        <v>30.8</v>
      </c>
      <c r="S35" s="11"/>
      <c r="T35" s="11"/>
      <c r="U35" s="11"/>
      <c r="V35" s="16"/>
      <c r="W35" s="16"/>
      <c r="X35" s="11"/>
      <c r="Y35" s="11"/>
      <c r="Z35" s="11"/>
      <c r="AA35" s="11"/>
      <c r="AB35" s="11"/>
    </row>
    <row r="36" spans="1:28">
      <c r="A36" s="8">
        <v>18303</v>
      </c>
      <c r="B36" s="11">
        <v>1001</v>
      </c>
      <c r="C36" s="11" t="s">
        <v>61</v>
      </c>
      <c r="D36" s="11" t="s">
        <v>62</v>
      </c>
      <c r="E36" s="11" t="s">
        <v>63</v>
      </c>
      <c r="F36" s="11" t="s">
        <v>67</v>
      </c>
      <c r="G36" s="11" t="s">
        <v>68</v>
      </c>
      <c r="H36" s="11">
        <v>32328</v>
      </c>
      <c r="I36" s="12">
        <v>37711</v>
      </c>
      <c r="J36" s="12">
        <v>37713</v>
      </c>
      <c r="K36" s="11" t="s">
        <v>66</v>
      </c>
      <c r="L36" s="11" t="s">
        <v>67</v>
      </c>
      <c r="M36" s="11" t="s">
        <v>68</v>
      </c>
      <c r="N36" s="9">
        <v>9247381001</v>
      </c>
      <c r="O36" s="9" t="s">
        <v>191</v>
      </c>
      <c r="P36" s="11">
        <v>2</v>
      </c>
      <c r="Q36" s="16">
        <v>15.4</v>
      </c>
      <c r="R36" s="16">
        <f t="shared" si="7"/>
        <v>30.8</v>
      </c>
      <c r="S36" s="11"/>
      <c r="T36" s="11"/>
      <c r="U36" s="11"/>
      <c r="V36" s="16"/>
      <c r="W36" s="16"/>
      <c r="X36" s="11"/>
      <c r="Y36" s="11"/>
      <c r="Z36" s="11"/>
      <c r="AA36" s="11"/>
      <c r="AB36" s="11"/>
    </row>
    <row r="37" spans="1:28">
      <c r="A37" s="8">
        <v>18528</v>
      </c>
      <c r="B37" s="11">
        <v>1001</v>
      </c>
      <c r="C37" s="11" t="s">
        <v>61</v>
      </c>
      <c r="D37" s="11" t="s">
        <v>62</v>
      </c>
      <c r="E37" s="11" t="s">
        <v>63</v>
      </c>
      <c r="F37" s="11" t="s">
        <v>67</v>
      </c>
      <c r="G37" s="11" t="s">
        <v>68</v>
      </c>
      <c r="H37" s="11">
        <v>32328</v>
      </c>
      <c r="I37" s="12">
        <v>37711</v>
      </c>
      <c r="J37" s="12">
        <v>37713</v>
      </c>
      <c r="K37" s="11" t="s">
        <v>66</v>
      </c>
      <c r="L37" s="11" t="s">
        <v>67</v>
      </c>
      <c r="M37" s="11" t="s">
        <v>68</v>
      </c>
      <c r="N37" s="9">
        <v>9247381001</v>
      </c>
      <c r="O37" s="9" t="s">
        <v>199</v>
      </c>
      <c r="P37" s="11">
        <v>2</v>
      </c>
      <c r="Q37" s="16">
        <v>15.4</v>
      </c>
      <c r="R37" s="16">
        <f t="shared" si="7"/>
        <v>30.8</v>
      </c>
      <c r="S37" s="11"/>
      <c r="T37" s="11"/>
      <c r="U37" s="11"/>
      <c r="V37" s="16"/>
      <c r="W37" s="16"/>
      <c r="X37" s="11"/>
      <c r="Y37" s="11"/>
      <c r="Z37" s="11"/>
      <c r="AA37" s="11"/>
      <c r="AB37" s="11"/>
    </row>
    <row r="38" spans="1:28">
      <c r="A38" s="8">
        <v>19687</v>
      </c>
      <c r="B38" s="11">
        <v>1001</v>
      </c>
      <c r="C38" s="11" t="s">
        <v>61</v>
      </c>
      <c r="D38" s="11" t="s">
        <v>62</v>
      </c>
      <c r="E38" s="11" t="s">
        <v>63</v>
      </c>
      <c r="F38" s="11" t="s">
        <v>67</v>
      </c>
      <c r="G38" s="11" t="s">
        <v>68</v>
      </c>
      <c r="H38" s="11">
        <v>32328</v>
      </c>
      <c r="I38" s="12">
        <v>37711</v>
      </c>
      <c r="J38" s="12">
        <v>37713</v>
      </c>
      <c r="K38" s="11" t="s">
        <v>66</v>
      </c>
      <c r="L38" s="11" t="s">
        <v>67</v>
      </c>
      <c r="M38" s="11" t="s">
        <v>68</v>
      </c>
      <c r="N38" s="9">
        <v>9247381001</v>
      </c>
      <c r="O38" s="9" t="s">
        <v>201</v>
      </c>
      <c r="P38" s="11">
        <v>2</v>
      </c>
      <c r="Q38" s="16">
        <v>15.4</v>
      </c>
      <c r="R38" s="16">
        <f t="shared" si="7"/>
        <v>30.8</v>
      </c>
      <c r="S38" s="11"/>
      <c r="T38" s="11"/>
      <c r="U38" s="11"/>
      <c r="V38" s="16"/>
      <c r="W38" s="16"/>
      <c r="X38" s="11"/>
      <c r="Y38" s="11"/>
      <c r="Z38" s="11"/>
      <c r="AA38" s="11"/>
      <c r="AB38" s="11"/>
    </row>
    <row r="39" spans="1:28">
      <c r="A39" s="8">
        <v>19740</v>
      </c>
      <c r="B39" s="11">
        <v>1001</v>
      </c>
      <c r="C39" s="11" t="s">
        <v>61</v>
      </c>
      <c r="D39" s="11" t="s">
        <v>62</v>
      </c>
      <c r="E39" s="11" t="s">
        <v>63</v>
      </c>
      <c r="F39" s="11" t="s">
        <v>67</v>
      </c>
      <c r="G39" s="11" t="s">
        <v>68</v>
      </c>
      <c r="H39" s="11">
        <v>32328</v>
      </c>
      <c r="I39" s="12">
        <v>37711</v>
      </c>
      <c r="J39" s="12">
        <v>37713</v>
      </c>
      <c r="K39" s="11" t="s">
        <v>66</v>
      </c>
      <c r="L39" s="11" t="s">
        <v>67</v>
      </c>
      <c r="M39" s="11" t="s">
        <v>68</v>
      </c>
      <c r="N39" s="9">
        <v>9247381001</v>
      </c>
      <c r="O39" s="9" t="s">
        <v>202</v>
      </c>
      <c r="P39" s="11">
        <v>2</v>
      </c>
      <c r="Q39" s="16">
        <v>15.4</v>
      </c>
      <c r="R39" s="16">
        <f t="shared" si="7"/>
        <v>30.8</v>
      </c>
      <c r="S39" s="11"/>
      <c r="T39" s="11"/>
      <c r="U39" s="11"/>
      <c r="V39" s="16"/>
      <c r="W39" s="16"/>
      <c r="X39" s="11"/>
      <c r="Y39" s="11"/>
      <c r="Z39" s="11"/>
      <c r="AA39" s="11"/>
      <c r="AB39" s="11"/>
    </row>
    <row r="40" spans="1:28">
      <c r="A40" s="8">
        <v>20950</v>
      </c>
      <c r="B40" s="11">
        <v>1001</v>
      </c>
      <c r="C40" s="11" t="s">
        <v>61</v>
      </c>
      <c r="D40" s="11" t="s">
        <v>62</v>
      </c>
      <c r="E40" s="11" t="s">
        <v>63</v>
      </c>
      <c r="F40" s="11" t="s">
        <v>67</v>
      </c>
      <c r="G40" s="11" t="s">
        <v>68</v>
      </c>
      <c r="H40" s="11">
        <v>32328</v>
      </c>
      <c r="I40" s="12">
        <v>37711</v>
      </c>
      <c r="J40" s="12">
        <v>37713</v>
      </c>
      <c r="K40" s="11" t="s">
        <v>66</v>
      </c>
      <c r="L40" s="11" t="s">
        <v>67</v>
      </c>
      <c r="M40" s="11" t="s">
        <v>68</v>
      </c>
      <c r="N40" s="9">
        <v>9247381001</v>
      </c>
      <c r="O40" s="9" t="s">
        <v>191</v>
      </c>
      <c r="P40" s="11">
        <v>2</v>
      </c>
      <c r="Q40" s="16">
        <v>15.4</v>
      </c>
      <c r="R40" s="16">
        <f t="shared" si="7"/>
        <v>30.8</v>
      </c>
      <c r="S40" s="11"/>
      <c r="T40" s="11"/>
      <c r="U40" s="11"/>
      <c r="V40" s="16"/>
      <c r="W40" s="16"/>
      <c r="X40" s="11"/>
      <c r="Y40" s="11"/>
      <c r="Z40" s="11"/>
      <c r="AA40" s="11"/>
      <c r="AB40" s="11"/>
    </row>
    <row r="41" spans="1:28">
      <c r="A41" s="8">
        <v>21769</v>
      </c>
      <c r="B41" s="11">
        <v>1001</v>
      </c>
      <c r="C41" s="11" t="s">
        <v>61</v>
      </c>
      <c r="D41" s="11" t="s">
        <v>62</v>
      </c>
      <c r="E41" s="11" t="s">
        <v>63</v>
      </c>
      <c r="F41" s="11" t="s">
        <v>67</v>
      </c>
      <c r="G41" s="11" t="s">
        <v>68</v>
      </c>
      <c r="H41" s="11">
        <v>32328</v>
      </c>
      <c r="I41" s="12">
        <v>37711</v>
      </c>
      <c r="J41" s="12">
        <v>37713</v>
      </c>
      <c r="K41" s="11" t="s">
        <v>66</v>
      </c>
      <c r="L41" s="11" t="s">
        <v>67</v>
      </c>
      <c r="M41" s="11" t="s">
        <v>68</v>
      </c>
      <c r="N41" s="9">
        <v>9247381001</v>
      </c>
      <c r="O41" s="9" t="s">
        <v>202</v>
      </c>
      <c r="P41" s="11">
        <v>2</v>
      </c>
      <c r="Q41" s="16">
        <v>15.4</v>
      </c>
      <c r="R41" s="16">
        <f t="shared" si="7"/>
        <v>30.8</v>
      </c>
      <c r="S41" s="11"/>
      <c r="T41" s="11"/>
      <c r="U41" s="11"/>
      <c r="V41" s="16"/>
      <c r="W41" s="16"/>
      <c r="X41" s="11"/>
      <c r="Y41" s="11"/>
      <c r="Z41" s="11"/>
      <c r="AA41" s="11"/>
      <c r="AB41" s="11"/>
    </row>
    <row r="42" spans="1:28">
      <c r="A42" s="8">
        <v>21878</v>
      </c>
      <c r="B42" s="11">
        <v>1001</v>
      </c>
      <c r="C42" s="11" t="s">
        <v>61</v>
      </c>
      <c r="D42" s="11" t="s">
        <v>62</v>
      </c>
      <c r="E42" s="11" t="s">
        <v>63</v>
      </c>
      <c r="F42" s="11" t="s">
        <v>67</v>
      </c>
      <c r="G42" s="11" t="s">
        <v>68</v>
      </c>
      <c r="H42" s="11">
        <v>32328</v>
      </c>
      <c r="I42" s="12">
        <v>37711</v>
      </c>
      <c r="J42" s="12">
        <v>37713</v>
      </c>
      <c r="K42" s="11" t="s">
        <v>66</v>
      </c>
      <c r="L42" s="11" t="s">
        <v>67</v>
      </c>
      <c r="M42" s="11" t="s">
        <v>68</v>
      </c>
      <c r="N42" s="9">
        <v>9247381001</v>
      </c>
      <c r="O42" s="9" t="s">
        <v>203</v>
      </c>
      <c r="P42" s="11">
        <v>2</v>
      </c>
      <c r="Q42" s="16">
        <v>15.4</v>
      </c>
      <c r="R42" s="16">
        <f t="shared" si="7"/>
        <v>30.8</v>
      </c>
      <c r="S42" s="11"/>
      <c r="T42" s="11"/>
      <c r="U42" s="11"/>
      <c r="V42" s="16"/>
      <c r="W42" s="16"/>
      <c r="X42" s="11"/>
      <c r="Y42" s="11"/>
      <c r="Z42" s="11"/>
      <c r="AA42" s="11"/>
      <c r="AB42" s="11"/>
    </row>
    <row r="43" spans="1:28">
      <c r="A43" s="8">
        <v>21898</v>
      </c>
      <c r="B43" s="11">
        <v>1001</v>
      </c>
      <c r="C43" s="11" t="s">
        <v>61</v>
      </c>
      <c r="D43" s="11" t="s">
        <v>62</v>
      </c>
      <c r="E43" s="11" t="s">
        <v>63</v>
      </c>
      <c r="F43" s="11" t="s">
        <v>67</v>
      </c>
      <c r="G43" s="11" t="s">
        <v>68</v>
      </c>
      <c r="H43" s="11">
        <v>32328</v>
      </c>
      <c r="I43" s="12">
        <v>37711</v>
      </c>
      <c r="J43" s="12">
        <v>37713</v>
      </c>
      <c r="K43" s="11" t="s">
        <v>66</v>
      </c>
      <c r="L43" s="11" t="s">
        <v>67</v>
      </c>
      <c r="M43" s="11" t="s">
        <v>68</v>
      </c>
      <c r="N43" s="9">
        <v>9247381001</v>
      </c>
      <c r="O43" s="9" t="s">
        <v>204</v>
      </c>
      <c r="P43" s="11">
        <v>2</v>
      </c>
      <c r="Q43" s="16">
        <v>15.4</v>
      </c>
      <c r="R43" s="16">
        <f t="shared" si="7"/>
        <v>30.8</v>
      </c>
      <c r="S43" s="11"/>
      <c r="T43" s="11"/>
      <c r="U43" s="11"/>
      <c r="V43" s="16"/>
      <c r="W43" s="16"/>
      <c r="X43" s="11"/>
      <c r="Y43" s="11"/>
      <c r="Z43" s="11"/>
      <c r="AA43" s="11"/>
      <c r="AB43" s="11"/>
    </row>
    <row r="44" spans="1:28">
      <c r="A44" s="8">
        <v>22535</v>
      </c>
      <c r="B44" s="11">
        <v>1001</v>
      </c>
      <c r="C44" s="11" t="s">
        <v>61</v>
      </c>
      <c r="D44" s="11" t="s">
        <v>62</v>
      </c>
      <c r="E44" s="11" t="s">
        <v>63</v>
      </c>
      <c r="F44" s="11" t="s">
        <v>67</v>
      </c>
      <c r="G44" s="11" t="s">
        <v>68</v>
      </c>
      <c r="H44" s="11">
        <v>32328</v>
      </c>
      <c r="I44" s="12">
        <v>37711</v>
      </c>
      <c r="J44" s="12">
        <v>37713</v>
      </c>
      <c r="K44" s="11" t="s">
        <v>66</v>
      </c>
      <c r="L44" s="11" t="s">
        <v>67</v>
      </c>
      <c r="M44" s="11" t="s">
        <v>68</v>
      </c>
      <c r="N44" s="9">
        <v>9247381001</v>
      </c>
      <c r="O44" s="9" t="s">
        <v>205</v>
      </c>
      <c r="P44" s="11">
        <v>2</v>
      </c>
      <c r="Q44" s="16">
        <v>15.4</v>
      </c>
      <c r="R44" s="16">
        <f t="shared" si="7"/>
        <v>30.8</v>
      </c>
      <c r="S44" s="11"/>
      <c r="T44" s="11"/>
      <c r="U44" s="11"/>
      <c r="V44" s="16"/>
      <c r="W44" s="16"/>
      <c r="X44" s="11"/>
      <c r="Y44" s="11"/>
      <c r="Z44" s="11"/>
      <c r="AA44" s="11"/>
      <c r="AB44" s="11"/>
    </row>
    <row r="45" spans="1:28">
      <c r="A45" s="8">
        <v>23416</v>
      </c>
      <c r="B45" s="11">
        <v>1001</v>
      </c>
      <c r="C45" s="11" t="s">
        <v>61</v>
      </c>
      <c r="D45" s="11" t="s">
        <v>62</v>
      </c>
      <c r="E45" s="11" t="s">
        <v>63</v>
      </c>
      <c r="F45" s="11" t="s">
        <v>67</v>
      </c>
      <c r="G45" s="11" t="s">
        <v>68</v>
      </c>
      <c r="H45" s="11">
        <v>32328</v>
      </c>
      <c r="I45" s="12">
        <v>37711</v>
      </c>
      <c r="J45" s="12">
        <v>37713</v>
      </c>
      <c r="K45" s="11" t="s">
        <v>66</v>
      </c>
      <c r="L45" s="11" t="s">
        <v>67</v>
      </c>
      <c r="M45" s="11" t="s">
        <v>68</v>
      </c>
      <c r="N45" s="9">
        <v>9247381001</v>
      </c>
      <c r="O45" s="9" t="s">
        <v>202</v>
      </c>
      <c r="P45" s="11">
        <v>2</v>
      </c>
      <c r="Q45" s="16">
        <v>15.4</v>
      </c>
      <c r="R45" s="16">
        <f t="shared" si="7"/>
        <v>30.8</v>
      </c>
      <c r="S45" s="11"/>
      <c r="T45" s="11"/>
      <c r="U45" s="11"/>
      <c r="V45" s="16"/>
      <c r="W45" s="16"/>
      <c r="X45" s="11"/>
      <c r="Y45" s="11"/>
      <c r="Z45" s="11"/>
      <c r="AA45" s="11"/>
      <c r="AB45" s="11"/>
    </row>
    <row r="46" spans="1:28" ht="15">
      <c r="O46"/>
    </row>
    <row r="47" spans="1:28" ht="15">
      <c r="O47"/>
    </row>
    <row r="48" spans="1:28" ht="15">
      <c r="O48"/>
    </row>
    <row r="49" spans="15:15" ht="15">
      <c r="O49"/>
    </row>
    <row r="50" spans="15:15" ht="15">
      <c r="O50"/>
    </row>
    <row r="51" spans="15:15" ht="15">
      <c r="O51"/>
    </row>
    <row r="52" spans="15:15" ht="15">
      <c r="O52"/>
    </row>
  </sheetData>
  <sortState ref="A17:A42">
    <sortCondition ref="A21"/>
  </sortState>
  <mergeCells count="1">
    <mergeCell ref="B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Q66"/>
  <sheetViews>
    <sheetView showGridLines="0" topLeftCell="A6" zoomScale="55" zoomScaleNormal="55" workbookViewId="0">
      <selection activeCell="B35" sqref="B35"/>
    </sheetView>
  </sheetViews>
  <sheetFormatPr defaultRowHeight="12"/>
  <cols>
    <col min="1" max="2" width="11.28515625" style="8" bestFit="1" customWidth="1"/>
    <col min="3" max="3" width="10.85546875" style="8" bestFit="1" customWidth="1"/>
    <col min="4" max="4" width="18" style="8" bestFit="1" customWidth="1"/>
    <col min="5" max="5" width="12.42578125" style="8" bestFit="1" customWidth="1"/>
    <col min="6" max="6" width="6.7109375" style="8" bestFit="1" customWidth="1"/>
    <col min="7" max="7" width="5.28515625" style="8" bestFit="1" customWidth="1"/>
    <col min="8" max="8" width="10.85546875" style="8" bestFit="1" customWidth="1"/>
    <col min="9" max="9" width="27.28515625" style="8" customWidth="1"/>
    <col min="10" max="10" width="11.85546875" style="8" bestFit="1" customWidth="1"/>
    <col min="11" max="12" width="11.42578125" style="8" bestFit="1" customWidth="1"/>
    <col min="13" max="13" width="9.7109375" style="8" bestFit="1" customWidth="1"/>
    <col min="14" max="14" width="19.140625" style="8" bestFit="1" customWidth="1"/>
    <col min="15" max="15" width="11.7109375" style="8" bestFit="1" customWidth="1"/>
    <col min="16" max="16" width="10.140625" style="8" bestFit="1" customWidth="1"/>
    <col min="17" max="17" width="8" style="8" bestFit="1" customWidth="1"/>
    <col min="18" max="16384" width="9.140625" style="8"/>
  </cols>
  <sheetData>
    <row r="2" spans="1:17" ht="18.75">
      <c r="B2" s="320" t="s">
        <v>223</v>
      </c>
      <c r="C2" s="320"/>
      <c r="D2" s="320"/>
      <c r="E2" s="320"/>
      <c r="F2" s="320"/>
      <c r="G2" s="320"/>
      <c r="H2" s="320"/>
      <c r="I2" s="320"/>
      <c r="J2" s="320"/>
      <c r="K2" s="320"/>
      <c r="L2" s="320"/>
      <c r="M2" s="320"/>
      <c r="N2" s="320"/>
    </row>
    <row r="5" spans="1:17">
      <c r="A5" s="321" t="s">
        <v>44</v>
      </c>
      <c r="B5" s="321"/>
      <c r="C5" s="321"/>
      <c r="D5" s="321"/>
      <c r="E5" s="321"/>
      <c r="F5" s="321"/>
      <c r="G5" s="321"/>
      <c r="H5" s="321"/>
      <c r="J5" s="321" t="s">
        <v>45</v>
      </c>
      <c r="K5" s="321"/>
      <c r="L5" s="321"/>
      <c r="M5" s="321"/>
      <c r="N5" s="321"/>
      <c r="O5" s="321"/>
      <c r="P5" s="321"/>
      <c r="Q5" s="321"/>
    </row>
    <row r="6" spans="1:17">
      <c r="A6" s="9" t="s">
        <v>46</v>
      </c>
      <c r="B6" s="9" t="s">
        <v>47</v>
      </c>
      <c r="C6" s="9" t="s">
        <v>48</v>
      </c>
      <c r="D6" s="9" t="s">
        <v>49</v>
      </c>
      <c r="E6" s="9" t="s">
        <v>50</v>
      </c>
      <c r="F6" s="9" t="s">
        <v>51</v>
      </c>
      <c r="G6" s="9" t="s">
        <v>52</v>
      </c>
      <c r="H6" s="9" t="s">
        <v>53</v>
      </c>
      <c r="I6" s="10"/>
      <c r="J6" s="9" t="s">
        <v>54</v>
      </c>
      <c r="K6" s="9" t="s">
        <v>46</v>
      </c>
      <c r="L6" s="9" t="s">
        <v>55</v>
      </c>
      <c r="M6" s="9" t="s">
        <v>56</v>
      </c>
      <c r="N6" s="9" t="s">
        <v>57</v>
      </c>
      <c r="O6" s="9" t="s">
        <v>58</v>
      </c>
      <c r="P6" s="9" t="s">
        <v>59</v>
      </c>
      <c r="Q6" s="9" t="s">
        <v>60</v>
      </c>
    </row>
    <row r="7" spans="1:17">
      <c r="A7" s="20">
        <v>1001</v>
      </c>
      <c r="B7" s="11" t="s">
        <v>61</v>
      </c>
      <c r="C7" s="11" t="s">
        <v>62</v>
      </c>
      <c r="D7" s="11" t="s">
        <v>63</v>
      </c>
      <c r="E7" s="11" t="s">
        <v>64</v>
      </c>
      <c r="F7" s="11" t="s">
        <v>65</v>
      </c>
      <c r="G7" s="11">
        <v>32328</v>
      </c>
      <c r="H7" s="11"/>
      <c r="J7" s="21">
        <v>1000</v>
      </c>
      <c r="K7" s="20">
        <v>1005</v>
      </c>
      <c r="L7" s="12">
        <v>37711</v>
      </c>
      <c r="M7" s="12">
        <v>37713</v>
      </c>
      <c r="N7" s="11" t="s">
        <v>66</v>
      </c>
      <c r="O7" s="11" t="s">
        <v>67</v>
      </c>
      <c r="P7" s="11" t="s">
        <v>68</v>
      </c>
      <c r="Q7" s="11"/>
    </row>
    <row r="8" spans="1:17">
      <c r="A8" s="20">
        <v>1002</v>
      </c>
      <c r="B8" s="11" t="s">
        <v>69</v>
      </c>
      <c r="C8" s="11" t="s">
        <v>70</v>
      </c>
      <c r="D8" s="11" t="s">
        <v>71</v>
      </c>
      <c r="E8" s="11" t="s">
        <v>72</v>
      </c>
      <c r="F8" s="11" t="s">
        <v>73</v>
      </c>
      <c r="G8" s="11">
        <v>90404</v>
      </c>
      <c r="H8" s="11"/>
      <c r="J8" s="21">
        <v>1001</v>
      </c>
      <c r="K8" s="20">
        <v>1010</v>
      </c>
      <c r="L8" s="12">
        <v>37711</v>
      </c>
      <c r="M8" s="12">
        <v>37712</v>
      </c>
      <c r="N8" s="11" t="s">
        <v>74</v>
      </c>
      <c r="O8" s="11" t="s">
        <v>75</v>
      </c>
      <c r="P8" s="11" t="s">
        <v>76</v>
      </c>
      <c r="Q8" s="11"/>
    </row>
    <row r="9" spans="1:17">
      <c r="A9" s="20">
        <v>1003</v>
      </c>
      <c r="B9" s="11" t="s">
        <v>77</v>
      </c>
      <c r="C9" s="11" t="s">
        <v>78</v>
      </c>
      <c r="D9" s="11" t="s">
        <v>79</v>
      </c>
      <c r="E9" s="11" t="s">
        <v>80</v>
      </c>
      <c r="F9" s="11" t="s">
        <v>65</v>
      </c>
      <c r="G9" s="11">
        <v>32306</v>
      </c>
      <c r="H9" s="11"/>
      <c r="J9" s="21">
        <v>1002</v>
      </c>
      <c r="K9" s="20">
        <v>1011</v>
      </c>
      <c r="L9" s="12">
        <v>37711</v>
      </c>
      <c r="M9" s="12">
        <v>37712</v>
      </c>
      <c r="N9" s="11" t="s">
        <v>81</v>
      </c>
      <c r="O9" s="11" t="s">
        <v>82</v>
      </c>
      <c r="P9" s="11" t="s">
        <v>83</v>
      </c>
      <c r="Q9" s="11"/>
    </row>
    <row r="10" spans="1:17">
      <c r="A10" s="20">
        <v>1004</v>
      </c>
      <c r="B10" s="11" t="s">
        <v>84</v>
      </c>
      <c r="C10" s="11" t="s">
        <v>85</v>
      </c>
      <c r="D10" s="11" t="s">
        <v>86</v>
      </c>
      <c r="E10" s="11" t="s">
        <v>87</v>
      </c>
      <c r="F10" s="11" t="s">
        <v>88</v>
      </c>
      <c r="G10" s="11">
        <v>83707</v>
      </c>
      <c r="H10" s="11"/>
      <c r="J10" s="21">
        <v>1003</v>
      </c>
      <c r="K10" s="20">
        <v>1001</v>
      </c>
      <c r="L10" s="12">
        <v>37712</v>
      </c>
      <c r="M10" s="12">
        <v>37712</v>
      </c>
      <c r="N10" s="11" t="s">
        <v>89</v>
      </c>
      <c r="O10" s="11" t="s">
        <v>64</v>
      </c>
      <c r="P10" s="11" t="s">
        <v>65</v>
      </c>
      <c r="Q10" s="11"/>
    </row>
    <row r="11" spans="1:17">
      <c r="A11" s="20">
        <v>1005</v>
      </c>
      <c r="B11" s="11" t="s">
        <v>90</v>
      </c>
      <c r="C11" s="11" t="s">
        <v>91</v>
      </c>
      <c r="D11" s="11" t="s">
        <v>92</v>
      </c>
      <c r="E11" s="11" t="s">
        <v>67</v>
      </c>
      <c r="F11" s="11" t="s">
        <v>68</v>
      </c>
      <c r="G11" s="11">
        <v>98115</v>
      </c>
      <c r="H11" s="11"/>
      <c r="J11" s="21">
        <v>1004</v>
      </c>
      <c r="K11" s="20">
        <v>1020</v>
      </c>
      <c r="L11" s="12">
        <v>37712</v>
      </c>
      <c r="M11" s="12">
        <v>37716</v>
      </c>
      <c r="N11" s="11" t="s">
        <v>93</v>
      </c>
      <c r="O11" s="11" t="s">
        <v>94</v>
      </c>
      <c r="P11" s="11" t="s">
        <v>95</v>
      </c>
      <c r="Q11" s="11"/>
    </row>
    <row r="12" spans="1:17">
      <c r="A12" s="20">
        <v>1006</v>
      </c>
      <c r="B12" s="11" t="s">
        <v>96</v>
      </c>
      <c r="C12" s="11" t="s">
        <v>97</v>
      </c>
      <c r="D12" s="11" t="s">
        <v>98</v>
      </c>
      <c r="E12" s="11" t="s">
        <v>99</v>
      </c>
      <c r="F12" s="11" t="s">
        <v>100</v>
      </c>
      <c r="G12" s="11">
        <v>12211</v>
      </c>
      <c r="H12" s="11"/>
      <c r="J12" s="21">
        <v>1005</v>
      </c>
      <c r="K12" s="20">
        <v>1018</v>
      </c>
      <c r="L12" s="12">
        <v>37712</v>
      </c>
      <c r="M12" s="12">
        <v>37713</v>
      </c>
      <c r="N12" s="11" t="s">
        <v>101</v>
      </c>
      <c r="O12" s="11" t="s">
        <v>102</v>
      </c>
      <c r="P12" s="11" t="s">
        <v>76</v>
      </c>
      <c r="Q12" s="11"/>
    </row>
    <row r="13" spans="1:17">
      <c r="A13" s="20">
        <v>1007</v>
      </c>
      <c r="B13" s="11" t="s">
        <v>103</v>
      </c>
      <c r="C13" s="11" t="s">
        <v>104</v>
      </c>
      <c r="D13" s="11" t="s">
        <v>105</v>
      </c>
      <c r="E13" s="11" t="s">
        <v>106</v>
      </c>
      <c r="F13" s="11" t="s">
        <v>107</v>
      </c>
      <c r="G13" s="11">
        <v>78710</v>
      </c>
      <c r="H13" s="11">
        <v>1003</v>
      </c>
      <c r="J13" s="21">
        <v>1006</v>
      </c>
      <c r="K13" s="20">
        <v>1003</v>
      </c>
      <c r="L13" s="12">
        <v>37712</v>
      </c>
      <c r="M13" s="12">
        <v>37713</v>
      </c>
      <c r="N13" s="11" t="s">
        <v>108</v>
      </c>
      <c r="O13" s="11" t="s">
        <v>80</v>
      </c>
      <c r="P13" s="11" t="s">
        <v>65</v>
      </c>
      <c r="Q13" s="11"/>
    </row>
    <row r="14" spans="1:17">
      <c r="A14" s="20">
        <v>1008</v>
      </c>
      <c r="B14" s="11" t="s">
        <v>109</v>
      </c>
      <c r="C14" s="11" t="s">
        <v>110</v>
      </c>
      <c r="D14" s="11" t="s">
        <v>111</v>
      </c>
      <c r="E14" s="11" t="s">
        <v>112</v>
      </c>
      <c r="F14" s="11" t="s">
        <v>113</v>
      </c>
      <c r="G14" s="11">
        <v>82003</v>
      </c>
      <c r="H14" s="11"/>
      <c r="J14" s="21">
        <v>1007</v>
      </c>
      <c r="K14" s="20">
        <v>1007</v>
      </c>
      <c r="L14" s="12">
        <v>37713</v>
      </c>
      <c r="M14" s="12">
        <v>37715</v>
      </c>
      <c r="N14" s="11" t="s">
        <v>105</v>
      </c>
      <c r="O14" s="11" t="s">
        <v>106</v>
      </c>
      <c r="P14" s="11" t="s">
        <v>107</v>
      </c>
      <c r="Q14" s="11"/>
    </row>
    <row r="15" spans="1:17">
      <c r="A15" s="20">
        <v>1009</v>
      </c>
      <c r="B15" s="11" t="s">
        <v>114</v>
      </c>
      <c r="C15" s="11" t="s">
        <v>115</v>
      </c>
      <c r="D15" s="11" t="s">
        <v>116</v>
      </c>
      <c r="E15" s="11" t="s">
        <v>117</v>
      </c>
      <c r="F15" s="11" t="s">
        <v>73</v>
      </c>
      <c r="G15" s="11">
        <v>91510</v>
      </c>
      <c r="H15" s="11">
        <v>1003</v>
      </c>
      <c r="J15" s="21">
        <v>1008</v>
      </c>
      <c r="K15" s="20">
        <v>1004</v>
      </c>
      <c r="L15" s="12">
        <v>37713</v>
      </c>
      <c r="M15" s="12">
        <v>37714</v>
      </c>
      <c r="N15" s="11" t="s">
        <v>86</v>
      </c>
      <c r="O15" s="11" t="s">
        <v>87</v>
      </c>
      <c r="P15" s="11" t="s">
        <v>88</v>
      </c>
      <c r="Q15" s="11"/>
    </row>
    <row r="16" spans="1:17">
      <c r="A16" s="20">
        <v>1010</v>
      </c>
      <c r="B16" s="11" t="s">
        <v>118</v>
      </c>
      <c r="C16" s="11" t="s">
        <v>119</v>
      </c>
      <c r="D16" s="11" t="s">
        <v>74</v>
      </c>
      <c r="E16" s="11" t="s">
        <v>75</v>
      </c>
      <c r="F16" s="11" t="s">
        <v>76</v>
      </c>
      <c r="G16" s="11">
        <v>30314</v>
      </c>
      <c r="H16" s="11"/>
      <c r="J16" s="21">
        <v>1009</v>
      </c>
      <c r="K16" s="20">
        <v>1005</v>
      </c>
      <c r="L16" s="12">
        <v>37714</v>
      </c>
      <c r="M16" s="12">
        <v>37716</v>
      </c>
      <c r="N16" s="11" t="s">
        <v>120</v>
      </c>
      <c r="O16" s="11" t="s">
        <v>67</v>
      </c>
      <c r="P16" s="11" t="s">
        <v>68</v>
      </c>
      <c r="Q16" s="11"/>
    </row>
    <row r="17" spans="1:17">
      <c r="A17" s="20">
        <v>1011</v>
      </c>
      <c r="B17" s="11" t="s">
        <v>121</v>
      </c>
      <c r="C17" s="11" t="s">
        <v>122</v>
      </c>
      <c r="D17" s="11" t="s">
        <v>123</v>
      </c>
      <c r="E17" s="11" t="s">
        <v>82</v>
      </c>
      <c r="F17" s="11" t="s">
        <v>83</v>
      </c>
      <c r="G17" s="11">
        <v>60606</v>
      </c>
      <c r="H17" s="11"/>
      <c r="J17" s="21">
        <v>1010</v>
      </c>
      <c r="K17" s="20">
        <v>1019</v>
      </c>
      <c r="L17" s="12">
        <v>37714</v>
      </c>
      <c r="M17" s="12">
        <v>37715</v>
      </c>
      <c r="N17" s="11" t="s">
        <v>124</v>
      </c>
      <c r="O17" s="11" t="s">
        <v>125</v>
      </c>
      <c r="P17" s="11" t="s">
        <v>95</v>
      </c>
      <c r="Q17" s="11"/>
    </row>
    <row r="18" spans="1:17">
      <c r="A18" s="20">
        <v>1012</v>
      </c>
      <c r="B18" s="11" t="s">
        <v>126</v>
      </c>
      <c r="C18" s="11" t="s">
        <v>127</v>
      </c>
      <c r="D18" s="11" t="s">
        <v>128</v>
      </c>
      <c r="E18" s="11" t="s">
        <v>129</v>
      </c>
      <c r="F18" s="11" t="s">
        <v>130</v>
      </c>
      <c r="G18" s="11">
        <v>2110</v>
      </c>
      <c r="H18" s="11"/>
      <c r="J18" s="21">
        <v>1011</v>
      </c>
      <c r="K18" s="20">
        <v>1010</v>
      </c>
      <c r="L18" s="12">
        <v>37714</v>
      </c>
      <c r="M18" s="12">
        <v>37716</v>
      </c>
      <c r="N18" s="11" t="s">
        <v>131</v>
      </c>
      <c r="O18" s="11" t="s">
        <v>75</v>
      </c>
      <c r="P18" s="11" t="s">
        <v>76</v>
      </c>
      <c r="Q18" s="11"/>
    </row>
    <row r="19" spans="1:17">
      <c r="A19" s="20">
        <v>1013</v>
      </c>
      <c r="B19" s="11" t="s">
        <v>132</v>
      </c>
      <c r="C19" s="11" t="s">
        <v>133</v>
      </c>
      <c r="D19" s="11" t="s">
        <v>134</v>
      </c>
      <c r="E19" s="11" t="s">
        <v>135</v>
      </c>
      <c r="F19" s="11" t="s">
        <v>65</v>
      </c>
      <c r="G19" s="11">
        <v>34711</v>
      </c>
      <c r="H19" s="11">
        <v>1006</v>
      </c>
      <c r="J19" s="21">
        <v>1012</v>
      </c>
      <c r="K19" s="20">
        <v>1017</v>
      </c>
      <c r="L19" s="12">
        <v>37714</v>
      </c>
      <c r="M19" s="11"/>
      <c r="N19" s="11" t="s">
        <v>136</v>
      </c>
      <c r="O19" s="11" t="s">
        <v>137</v>
      </c>
      <c r="P19" s="11" t="s">
        <v>138</v>
      </c>
      <c r="Q19" s="11"/>
    </row>
    <row r="20" spans="1:17">
      <c r="A20" s="20">
        <v>1014</v>
      </c>
      <c r="B20" s="11" t="s">
        <v>139</v>
      </c>
      <c r="C20" s="11" t="s">
        <v>140</v>
      </c>
      <c r="D20" s="11" t="s">
        <v>141</v>
      </c>
      <c r="E20" s="11" t="s">
        <v>142</v>
      </c>
      <c r="F20" s="11" t="s">
        <v>113</v>
      </c>
      <c r="G20" s="11">
        <v>82414</v>
      </c>
      <c r="H20" s="11"/>
      <c r="J20" s="21">
        <v>1013</v>
      </c>
      <c r="K20" s="20">
        <v>1014</v>
      </c>
      <c r="L20" s="12">
        <v>37714</v>
      </c>
      <c r="M20" s="12">
        <v>37715</v>
      </c>
      <c r="N20" s="11" t="s">
        <v>143</v>
      </c>
      <c r="O20" s="11" t="s">
        <v>142</v>
      </c>
      <c r="P20" s="11" t="s">
        <v>113</v>
      </c>
      <c r="Q20" s="11"/>
    </row>
    <row r="21" spans="1:17">
      <c r="A21" s="20">
        <v>1015</v>
      </c>
      <c r="B21" s="11" t="s">
        <v>144</v>
      </c>
      <c r="C21" s="11" t="s">
        <v>145</v>
      </c>
      <c r="D21" s="11" t="s">
        <v>146</v>
      </c>
      <c r="E21" s="11" t="s">
        <v>147</v>
      </c>
      <c r="F21" s="11" t="s">
        <v>65</v>
      </c>
      <c r="G21" s="11">
        <v>33111</v>
      </c>
      <c r="H21" s="11"/>
      <c r="J21" s="21">
        <v>1014</v>
      </c>
      <c r="K21" s="20">
        <v>1007</v>
      </c>
      <c r="L21" s="12">
        <v>37715</v>
      </c>
      <c r="M21" s="12">
        <v>37716</v>
      </c>
      <c r="N21" s="11" t="s">
        <v>105</v>
      </c>
      <c r="O21" s="11" t="s">
        <v>106</v>
      </c>
      <c r="P21" s="11" t="s">
        <v>107</v>
      </c>
      <c r="Q21" s="11"/>
    </row>
    <row r="22" spans="1:17">
      <c r="A22" s="20">
        <v>1016</v>
      </c>
      <c r="B22" s="11" t="s">
        <v>148</v>
      </c>
      <c r="C22" s="11" t="s">
        <v>149</v>
      </c>
      <c r="D22" s="11" t="s">
        <v>150</v>
      </c>
      <c r="E22" s="11" t="s">
        <v>117</v>
      </c>
      <c r="F22" s="11" t="s">
        <v>73</v>
      </c>
      <c r="G22" s="11">
        <v>91508</v>
      </c>
      <c r="H22" s="11">
        <v>1010</v>
      </c>
      <c r="J22" s="21">
        <v>1015</v>
      </c>
      <c r="K22" s="20">
        <v>1020</v>
      </c>
      <c r="L22" s="12">
        <v>37715</v>
      </c>
      <c r="M22" s="11"/>
      <c r="N22" s="11" t="s">
        <v>151</v>
      </c>
      <c r="O22" s="11" t="s">
        <v>94</v>
      </c>
      <c r="P22" s="11" t="s">
        <v>95</v>
      </c>
      <c r="Q22" s="11"/>
    </row>
    <row r="23" spans="1:17">
      <c r="A23" s="20">
        <v>1017</v>
      </c>
      <c r="B23" s="11" t="s">
        <v>152</v>
      </c>
      <c r="C23" s="11" t="s">
        <v>153</v>
      </c>
      <c r="D23" s="11" t="s">
        <v>154</v>
      </c>
      <c r="E23" s="11" t="s">
        <v>137</v>
      </c>
      <c r="F23" s="11" t="s">
        <v>138</v>
      </c>
      <c r="G23" s="11">
        <v>49006</v>
      </c>
      <c r="H23" s="11"/>
      <c r="J23" s="21">
        <v>1016</v>
      </c>
      <c r="K23" s="20">
        <v>1003</v>
      </c>
      <c r="L23" s="12">
        <v>37715</v>
      </c>
      <c r="M23" s="11"/>
      <c r="N23" s="11" t="s">
        <v>155</v>
      </c>
      <c r="O23" s="11" t="s">
        <v>80</v>
      </c>
      <c r="P23" s="11" t="s">
        <v>65</v>
      </c>
      <c r="Q23" s="11"/>
    </row>
    <row r="24" spans="1:17">
      <c r="A24" s="20">
        <v>1018</v>
      </c>
      <c r="B24" s="11" t="s">
        <v>156</v>
      </c>
      <c r="C24" s="11" t="s">
        <v>157</v>
      </c>
      <c r="D24" s="11" t="s">
        <v>101</v>
      </c>
      <c r="E24" s="11" t="s">
        <v>102</v>
      </c>
      <c r="F24" s="11" t="s">
        <v>76</v>
      </c>
      <c r="G24" s="11">
        <v>31206</v>
      </c>
      <c r="H24" s="11"/>
      <c r="J24" s="21">
        <v>1017</v>
      </c>
      <c r="K24" s="20">
        <v>1015</v>
      </c>
      <c r="L24" s="12">
        <v>37715</v>
      </c>
      <c r="M24" s="12">
        <v>37716</v>
      </c>
      <c r="N24" s="11" t="s">
        <v>158</v>
      </c>
      <c r="O24" s="11" t="s">
        <v>147</v>
      </c>
      <c r="P24" s="11" t="s">
        <v>65</v>
      </c>
      <c r="Q24" s="11"/>
    </row>
    <row r="25" spans="1:17">
      <c r="A25" s="20">
        <v>1019</v>
      </c>
      <c r="B25" s="11" t="s">
        <v>77</v>
      </c>
      <c r="C25" s="11" t="s">
        <v>159</v>
      </c>
      <c r="D25" s="11" t="s">
        <v>160</v>
      </c>
      <c r="E25" s="11" t="s">
        <v>125</v>
      </c>
      <c r="F25" s="11" t="s">
        <v>95</v>
      </c>
      <c r="G25" s="11">
        <v>7962</v>
      </c>
      <c r="H25" s="11">
        <v>1003</v>
      </c>
      <c r="J25" s="21">
        <v>1018</v>
      </c>
      <c r="K25" s="20">
        <v>1001</v>
      </c>
      <c r="L25" s="12">
        <v>37716</v>
      </c>
      <c r="M25" s="11"/>
      <c r="N25" s="11" t="s">
        <v>161</v>
      </c>
      <c r="O25" s="11" t="s">
        <v>64</v>
      </c>
      <c r="P25" s="11" t="s">
        <v>65</v>
      </c>
      <c r="Q25" s="11"/>
    </row>
    <row r="26" spans="1:17">
      <c r="A26" s="20">
        <v>1020</v>
      </c>
      <c r="B26" s="11" t="s">
        <v>162</v>
      </c>
      <c r="C26" s="11" t="s">
        <v>110</v>
      </c>
      <c r="D26" s="11" t="s">
        <v>163</v>
      </c>
      <c r="E26" s="11" t="s">
        <v>94</v>
      </c>
      <c r="F26" s="11" t="s">
        <v>95</v>
      </c>
      <c r="G26" s="11">
        <v>8607</v>
      </c>
      <c r="H26" s="11"/>
      <c r="J26" s="21">
        <v>1019</v>
      </c>
      <c r="K26" s="20">
        <v>1018</v>
      </c>
      <c r="L26" s="12">
        <v>37716</v>
      </c>
      <c r="M26" s="11"/>
      <c r="N26" s="11" t="s">
        <v>101</v>
      </c>
      <c r="O26" s="11" t="s">
        <v>102</v>
      </c>
      <c r="P26" s="11" t="s">
        <v>76</v>
      </c>
      <c r="Q26" s="11"/>
    </row>
    <row r="27" spans="1:17">
      <c r="A27" s="20">
        <v>1021</v>
      </c>
      <c r="B27" s="11" t="s">
        <v>164</v>
      </c>
      <c r="C27" s="11" t="s">
        <v>165</v>
      </c>
      <c r="D27" s="11" t="s">
        <v>166</v>
      </c>
      <c r="E27" s="11" t="s">
        <v>167</v>
      </c>
      <c r="F27" s="11" t="s">
        <v>168</v>
      </c>
      <c r="G27" s="11">
        <v>54343</v>
      </c>
      <c r="H27" s="11">
        <v>1018</v>
      </c>
      <c r="J27" s="21">
        <v>1020</v>
      </c>
      <c r="K27" s="20">
        <v>1008</v>
      </c>
      <c r="L27" s="12">
        <v>37716</v>
      </c>
      <c r="M27" s="11"/>
      <c r="N27" s="11" t="s">
        <v>169</v>
      </c>
      <c r="O27" s="11" t="s">
        <v>112</v>
      </c>
      <c r="P27" s="11" t="s">
        <v>113</v>
      </c>
      <c r="Q27" s="11"/>
    </row>
    <row r="28" spans="1:17">
      <c r="A28" s="20">
        <v>1022</v>
      </c>
      <c r="B28" s="11" t="s">
        <v>170</v>
      </c>
      <c r="C28" s="11" t="s">
        <v>70</v>
      </c>
      <c r="D28" s="11" t="s">
        <v>171</v>
      </c>
      <c r="E28" s="11" t="s">
        <v>72</v>
      </c>
      <c r="F28" s="11" t="s">
        <v>73</v>
      </c>
      <c r="G28" s="11">
        <v>90504</v>
      </c>
      <c r="H28" s="11"/>
      <c r="J28" s="21">
        <v>9151</v>
      </c>
      <c r="K28" s="20">
        <v>5005</v>
      </c>
      <c r="L28" s="12">
        <v>37711</v>
      </c>
      <c r="M28" s="12">
        <v>37713</v>
      </c>
      <c r="N28" s="11" t="s">
        <v>172</v>
      </c>
      <c r="O28" s="11" t="s">
        <v>173</v>
      </c>
      <c r="P28" s="11" t="s">
        <v>68</v>
      </c>
      <c r="Q28" s="11"/>
    </row>
    <row r="29" spans="1:17">
      <c r="A29" s="20">
        <v>1023</v>
      </c>
      <c r="B29" s="11" t="s">
        <v>174</v>
      </c>
      <c r="C29" s="11" t="s">
        <v>175</v>
      </c>
      <c r="D29" s="11" t="s">
        <v>176</v>
      </c>
      <c r="E29" s="11" t="s">
        <v>177</v>
      </c>
      <c r="F29" s="11" t="s">
        <v>107</v>
      </c>
      <c r="G29" s="11">
        <v>32306</v>
      </c>
      <c r="H29" s="11"/>
      <c r="J29" s="21">
        <v>9152</v>
      </c>
      <c r="K29" s="20">
        <v>5010</v>
      </c>
      <c r="L29" s="12">
        <v>37711</v>
      </c>
      <c r="M29" s="12">
        <v>37712</v>
      </c>
      <c r="N29" s="11" t="s">
        <v>178</v>
      </c>
      <c r="O29" s="11" t="s">
        <v>179</v>
      </c>
      <c r="P29" s="11" t="s">
        <v>76</v>
      </c>
      <c r="Q29" s="11"/>
    </row>
    <row r="33" spans="2:14">
      <c r="B33" s="322" t="s">
        <v>180</v>
      </c>
      <c r="C33" s="322"/>
      <c r="D33" s="322"/>
      <c r="E33" s="322"/>
      <c r="H33" s="321" t="s">
        <v>181</v>
      </c>
      <c r="I33" s="321"/>
      <c r="J33" s="321"/>
      <c r="K33" s="321"/>
      <c r="L33" s="321"/>
      <c r="M33" s="321"/>
      <c r="N33" s="321"/>
    </row>
    <row r="34" spans="2:14">
      <c r="B34" s="9" t="s">
        <v>54</v>
      </c>
      <c r="C34" s="9" t="s">
        <v>182</v>
      </c>
      <c r="D34" s="9" t="s">
        <v>183</v>
      </c>
      <c r="E34" s="9" t="s">
        <v>184</v>
      </c>
      <c r="H34" s="9" t="s">
        <v>183</v>
      </c>
      <c r="I34" s="9" t="s">
        <v>185</v>
      </c>
      <c r="J34" s="9" t="s">
        <v>186</v>
      </c>
      <c r="K34" s="9" t="s">
        <v>187</v>
      </c>
      <c r="L34" s="9" t="s">
        <v>188</v>
      </c>
      <c r="M34" s="9" t="s">
        <v>189</v>
      </c>
      <c r="N34" s="9" t="s">
        <v>190</v>
      </c>
    </row>
    <row r="35" spans="2:14">
      <c r="B35" s="23">
        <v>1000</v>
      </c>
      <c r="C35" s="9">
        <v>1</v>
      </c>
      <c r="D35" s="22">
        <v>3437212490</v>
      </c>
      <c r="E35" s="9">
        <v>1</v>
      </c>
      <c r="H35" s="22">
        <v>1059831198</v>
      </c>
      <c r="I35" s="9" t="s">
        <v>191</v>
      </c>
      <c r="J35" s="13">
        <v>36912</v>
      </c>
      <c r="K35" s="9">
        <v>4</v>
      </c>
      <c r="L35" s="9">
        <v>18.75</v>
      </c>
      <c r="M35" s="9">
        <v>30.95</v>
      </c>
      <c r="N35" s="9" t="s">
        <v>192</v>
      </c>
    </row>
    <row r="36" spans="2:14">
      <c r="B36" s="23">
        <v>1001</v>
      </c>
      <c r="C36" s="9">
        <v>1</v>
      </c>
      <c r="D36" s="22">
        <v>9247381001</v>
      </c>
      <c r="E36" s="9">
        <v>1</v>
      </c>
      <c r="H36" s="22">
        <v>401140733</v>
      </c>
      <c r="I36" s="9" t="s">
        <v>193</v>
      </c>
      <c r="J36" s="13">
        <v>37239</v>
      </c>
      <c r="K36" s="9">
        <v>1</v>
      </c>
      <c r="L36" s="9">
        <v>14.2</v>
      </c>
      <c r="M36" s="9">
        <v>22</v>
      </c>
      <c r="N36" s="9" t="s">
        <v>194</v>
      </c>
    </row>
    <row r="37" spans="2:14">
      <c r="B37" s="23">
        <v>1001</v>
      </c>
      <c r="C37" s="9">
        <v>2</v>
      </c>
      <c r="D37" s="22">
        <v>2491748320</v>
      </c>
      <c r="E37" s="9">
        <v>1</v>
      </c>
      <c r="H37" s="22">
        <v>4981341710</v>
      </c>
      <c r="I37" s="9" t="s">
        <v>195</v>
      </c>
      <c r="J37" s="13">
        <v>37333</v>
      </c>
      <c r="K37" s="9">
        <v>2</v>
      </c>
      <c r="L37" s="9">
        <v>37.799999999999997</v>
      </c>
      <c r="M37" s="9">
        <v>59.95</v>
      </c>
      <c r="N37" s="9" t="s">
        <v>196</v>
      </c>
    </row>
    <row r="38" spans="2:14">
      <c r="B38" s="23">
        <v>1002</v>
      </c>
      <c r="C38" s="9">
        <v>1</v>
      </c>
      <c r="D38" s="22">
        <v>8843172113</v>
      </c>
      <c r="E38" s="9">
        <v>2</v>
      </c>
      <c r="H38" s="22">
        <v>8843172113</v>
      </c>
      <c r="I38" s="9" t="s">
        <v>197</v>
      </c>
      <c r="J38" s="13">
        <v>36315</v>
      </c>
      <c r="K38" s="9">
        <v>3</v>
      </c>
      <c r="L38" s="9">
        <v>31.4</v>
      </c>
      <c r="M38" s="9">
        <v>55.95</v>
      </c>
      <c r="N38" s="9" t="s">
        <v>198</v>
      </c>
    </row>
    <row r="39" spans="2:14">
      <c r="B39" s="23">
        <v>1003</v>
      </c>
      <c r="C39" s="9">
        <v>1</v>
      </c>
      <c r="D39" s="22">
        <v>8843172113</v>
      </c>
      <c r="E39" s="9">
        <v>1</v>
      </c>
      <c r="H39" s="22">
        <v>3437212490</v>
      </c>
      <c r="I39" s="9" t="s">
        <v>199</v>
      </c>
      <c r="J39" s="13">
        <v>36584</v>
      </c>
      <c r="K39" s="9">
        <v>4</v>
      </c>
      <c r="L39" s="9">
        <v>12.5</v>
      </c>
      <c r="M39" s="9">
        <v>19.95</v>
      </c>
      <c r="N39" s="9" t="s">
        <v>200</v>
      </c>
    </row>
    <row r="40" spans="2:14">
      <c r="B40" s="23">
        <v>1003</v>
      </c>
      <c r="C40" s="9">
        <v>2</v>
      </c>
      <c r="D40" s="22">
        <v>1059831198</v>
      </c>
      <c r="E40" s="9">
        <v>1</v>
      </c>
      <c r="H40" s="22">
        <v>3957136468</v>
      </c>
      <c r="I40" s="9" t="s">
        <v>201</v>
      </c>
      <c r="J40" s="13">
        <v>37256</v>
      </c>
      <c r="K40" s="9">
        <v>3</v>
      </c>
      <c r="L40" s="9">
        <v>47.25</v>
      </c>
      <c r="M40" s="9">
        <v>75.95</v>
      </c>
      <c r="N40" s="9" t="s">
        <v>198</v>
      </c>
    </row>
    <row r="41" spans="2:14">
      <c r="B41" s="23">
        <v>1003</v>
      </c>
      <c r="C41" s="9">
        <v>3</v>
      </c>
      <c r="D41" s="22">
        <v>3437212490</v>
      </c>
      <c r="E41" s="9">
        <v>1</v>
      </c>
      <c r="H41" s="22">
        <v>1915762492</v>
      </c>
      <c r="I41" s="9" t="s">
        <v>202</v>
      </c>
      <c r="J41" s="13">
        <v>36912</v>
      </c>
      <c r="K41" s="9">
        <v>3</v>
      </c>
      <c r="L41" s="9">
        <v>21.8</v>
      </c>
      <c r="M41" s="9">
        <v>25</v>
      </c>
      <c r="N41" s="9" t="s">
        <v>198</v>
      </c>
    </row>
    <row r="42" spans="2:14">
      <c r="B42" s="23">
        <v>1004</v>
      </c>
      <c r="C42" s="9">
        <v>1</v>
      </c>
      <c r="D42" s="22">
        <v>2491748320</v>
      </c>
      <c r="E42" s="9">
        <v>2</v>
      </c>
      <c r="H42" s="22">
        <v>9959789321</v>
      </c>
      <c r="I42" s="9" t="s">
        <v>203</v>
      </c>
      <c r="J42" s="13">
        <v>37316</v>
      </c>
      <c r="K42" s="9">
        <v>2</v>
      </c>
      <c r="L42" s="9">
        <v>37.9</v>
      </c>
      <c r="M42" s="9">
        <v>54.5</v>
      </c>
      <c r="N42" s="9" t="s">
        <v>198</v>
      </c>
    </row>
    <row r="43" spans="2:14">
      <c r="B43" s="23">
        <v>1005</v>
      </c>
      <c r="C43" s="9">
        <v>1</v>
      </c>
      <c r="D43" s="22">
        <v>2147428890</v>
      </c>
      <c r="E43" s="9">
        <v>1</v>
      </c>
      <c r="H43" s="22">
        <v>2491748320</v>
      </c>
      <c r="I43" s="9" t="s">
        <v>204</v>
      </c>
      <c r="J43" s="13">
        <v>36724</v>
      </c>
      <c r="K43" s="9">
        <v>5</v>
      </c>
      <c r="L43" s="9">
        <v>48</v>
      </c>
      <c r="M43" s="9">
        <v>89.95</v>
      </c>
      <c r="N43" s="9" t="s">
        <v>194</v>
      </c>
    </row>
    <row r="44" spans="2:14">
      <c r="B44" s="23">
        <v>1006</v>
      </c>
      <c r="C44" s="9">
        <v>1</v>
      </c>
      <c r="D44" s="22">
        <v>9959789321</v>
      </c>
      <c r="E44" s="9">
        <v>1</v>
      </c>
      <c r="H44" s="22">
        <v>299282519</v>
      </c>
      <c r="I44" s="9" t="s">
        <v>205</v>
      </c>
      <c r="J44" s="13">
        <v>36780</v>
      </c>
      <c r="K44" s="9">
        <v>4</v>
      </c>
      <c r="L44" s="9">
        <v>19</v>
      </c>
      <c r="M44" s="9">
        <v>28.75</v>
      </c>
      <c r="N44" s="9" t="s">
        <v>200</v>
      </c>
    </row>
    <row r="45" spans="2:14">
      <c r="B45" s="23">
        <v>1007</v>
      </c>
      <c r="C45" s="9">
        <v>1</v>
      </c>
      <c r="D45" s="22">
        <v>3957136468</v>
      </c>
      <c r="E45" s="9">
        <v>3</v>
      </c>
      <c r="H45" s="22">
        <v>8117949391</v>
      </c>
      <c r="I45" s="9" t="s">
        <v>206</v>
      </c>
      <c r="J45" s="13">
        <v>37203</v>
      </c>
      <c r="K45" s="9">
        <v>5</v>
      </c>
      <c r="L45" s="9">
        <v>5.32</v>
      </c>
      <c r="M45" s="9">
        <v>8.9499999999999993</v>
      </c>
      <c r="N45" s="9" t="s">
        <v>196</v>
      </c>
    </row>
    <row r="46" spans="2:14">
      <c r="B46" s="23">
        <v>1007</v>
      </c>
      <c r="C46" s="9">
        <v>2</v>
      </c>
      <c r="D46" s="22">
        <v>9959789321</v>
      </c>
      <c r="E46" s="9">
        <v>1</v>
      </c>
      <c r="H46" s="22">
        <v>132149871</v>
      </c>
      <c r="I46" s="9" t="s">
        <v>207</v>
      </c>
      <c r="J46" s="13">
        <v>37571</v>
      </c>
      <c r="K46" s="9">
        <v>4</v>
      </c>
      <c r="L46" s="9">
        <v>17.850000000000001</v>
      </c>
      <c r="M46" s="9">
        <v>29.95</v>
      </c>
      <c r="N46" s="9" t="s">
        <v>208</v>
      </c>
    </row>
    <row r="47" spans="2:14">
      <c r="B47" s="23">
        <v>1007</v>
      </c>
      <c r="C47" s="9">
        <v>3</v>
      </c>
      <c r="D47" s="22">
        <v>8117949391</v>
      </c>
      <c r="E47" s="9">
        <v>1</v>
      </c>
      <c r="H47" s="22">
        <v>9247381001</v>
      </c>
      <c r="I47" s="9" t="s">
        <v>209</v>
      </c>
      <c r="J47" s="13">
        <v>36289</v>
      </c>
      <c r="K47" s="9">
        <v>1</v>
      </c>
      <c r="L47" s="9">
        <v>15.4</v>
      </c>
      <c r="M47" s="9">
        <v>31.95</v>
      </c>
      <c r="N47" s="9" t="s">
        <v>210</v>
      </c>
    </row>
    <row r="48" spans="2:14">
      <c r="B48" s="23">
        <v>1007</v>
      </c>
      <c r="C48" s="9">
        <v>4</v>
      </c>
      <c r="D48" s="22">
        <v>8843172113</v>
      </c>
      <c r="E48" s="9">
        <v>1</v>
      </c>
      <c r="H48" s="22">
        <v>2147428890</v>
      </c>
      <c r="I48" s="9" t="s">
        <v>211</v>
      </c>
      <c r="J48" s="13">
        <v>37012</v>
      </c>
      <c r="K48" s="9">
        <v>5</v>
      </c>
      <c r="L48" s="9">
        <v>21.85</v>
      </c>
      <c r="M48" s="9">
        <v>39.950000000000003</v>
      </c>
      <c r="N48" s="9" t="s">
        <v>212</v>
      </c>
    </row>
    <row r="49" spans="2:14">
      <c r="B49" s="23">
        <v>1008</v>
      </c>
      <c r="C49" s="9">
        <v>1</v>
      </c>
      <c r="D49" s="22">
        <v>3437212490</v>
      </c>
      <c r="E49" s="9">
        <v>2</v>
      </c>
      <c r="H49" s="22">
        <v>9999999999</v>
      </c>
      <c r="I49" s="9" t="s">
        <v>213</v>
      </c>
      <c r="J49" s="13">
        <v>36912</v>
      </c>
      <c r="K49" s="9">
        <v>4</v>
      </c>
      <c r="L49" s="9">
        <v>18.75</v>
      </c>
      <c r="M49" s="9">
        <v>30.95</v>
      </c>
      <c r="N49" s="9" t="s">
        <v>214</v>
      </c>
    </row>
    <row r="50" spans="2:14">
      <c r="B50" s="23">
        <v>1009</v>
      </c>
      <c r="C50" s="9">
        <v>1</v>
      </c>
      <c r="D50" s="22">
        <v>3437212490</v>
      </c>
      <c r="E50" s="9">
        <v>1</v>
      </c>
    </row>
    <row r="51" spans="2:14">
      <c r="B51" s="23">
        <v>1009</v>
      </c>
      <c r="C51" s="9">
        <v>2</v>
      </c>
      <c r="D51" s="22">
        <v>401140733</v>
      </c>
      <c r="E51" s="9">
        <v>1</v>
      </c>
    </row>
    <row r="52" spans="2:14">
      <c r="B52" s="23">
        <v>1010</v>
      </c>
      <c r="C52" s="9">
        <v>1</v>
      </c>
      <c r="D52" s="22">
        <v>8843172113</v>
      </c>
      <c r="E52" s="9">
        <v>1</v>
      </c>
    </row>
    <row r="53" spans="2:14">
      <c r="B53" s="23">
        <v>1011</v>
      </c>
      <c r="C53" s="9">
        <v>1</v>
      </c>
      <c r="D53" s="22">
        <v>2491748320</v>
      </c>
      <c r="E53" s="9">
        <v>1</v>
      </c>
    </row>
    <row r="54" spans="2:14">
      <c r="B54" s="23">
        <v>1012</v>
      </c>
      <c r="C54" s="9">
        <v>1</v>
      </c>
      <c r="D54" s="22">
        <v>8117949391</v>
      </c>
      <c r="E54" s="9">
        <v>1</v>
      </c>
    </row>
    <row r="55" spans="2:14">
      <c r="B55" s="23">
        <v>1012</v>
      </c>
      <c r="C55" s="9">
        <v>2</v>
      </c>
      <c r="D55" s="22">
        <v>1915762492</v>
      </c>
      <c r="E55" s="9">
        <v>2</v>
      </c>
    </row>
    <row r="56" spans="2:14">
      <c r="B56" s="23">
        <v>1012</v>
      </c>
      <c r="C56" s="9">
        <v>3</v>
      </c>
      <c r="D56" s="22">
        <v>2491748320</v>
      </c>
      <c r="E56" s="9">
        <v>1</v>
      </c>
    </row>
    <row r="57" spans="2:14">
      <c r="B57" s="23">
        <v>1012</v>
      </c>
      <c r="C57" s="9">
        <v>4</v>
      </c>
      <c r="D57" s="22">
        <v>401140733</v>
      </c>
      <c r="E57" s="9">
        <v>1</v>
      </c>
    </row>
    <row r="58" spans="2:14">
      <c r="B58" s="23">
        <v>1013</v>
      </c>
      <c r="C58" s="9">
        <v>1</v>
      </c>
      <c r="D58" s="22">
        <v>8843172113</v>
      </c>
      <c r="E58" s="9">
        <v>1</v>
      </c>
    </row>
    <row r="59" spans="2:14">
      <c r="B59" s="23">
        <v>1014</v>
      </c>
      <c r="C59" s="9">
        <v>1</v>
      </c>
      <c r="D59" s="22">
        <v>401140733</v>
      </c>
      <c r="E59" s="9">
        <v>2</v>
      </c>
    </row>
    <row r="60" spans="2:14">
      <c r="B60" s="23">
        <v>1015</v>
      </c>
      <c r="C60" s="9">
        <v>1</v>
      </c>
      <c r="D60" s="22">
        <v>3437212490</v>
      </c>
      <c r="E60" s="9">
        <v>1</v>
      </c>
    </row>
    <row r="61" spans="2:14">
      <c r="B61" s="23">
        <v>1016</v>
      </c>
      <c r="C61" s="9">
        <v>1</v>
      </c>
      <c r="D61" s="22">
        <v>2491748320</v>
      </c>
      <c r="E61" s="9">
        <v>1</v>
      </c>
    </row>
    <row r="62" spans="2:14">
      <c r="B62" s="23">
        <v>1017</v>
      </c>
      <c r="C62" s="9">
        <v>1</v>
      </c>
      <c r="D62" s="22">
        <v>8117949391</v>
      </c>
      <c r="E62" s="9">
        <v>2</v>
      </c>
    </row>
    <row r="63" spans="2:14">
      <c r="B63" s="23">
        <v>1018</v>
      </c>
      <c r="C63" s="9">
        <v>1</v>
      </c>
      <c r="D63" s="22">
        <v>3437212490</v>
      </c>
      <c r="E63" s="9">
        <v>1</v>
      </c>
    </row>
    <row r="64" spans="2:14">
      <c r="B64" s="23">
        <v>1018</v>
      </c>
      <c r="C64" s="9">
        <v>2</v>
      </c>
      <c r="D64" s="22">
        <v>8843172113</v>
      </c>
      <c r="E64" s="9">
        <v>1</v>
      </c>
    </row>
    <row r="65" spans="2:5">
      <c r="B65" s="23">
        <v>1019</v>
      </c>
      <c r="C65" s="9">
        <v>1</v>
      </c>
      <c r="D65" s="22">
        <v>401140733</v>
      </c>
      <c r="E65" s="9">
        <v>1</v>
      </c>
    </row>
    <row r="66" spans="2:5">
      <c r="B66" s="23">
        <v>1020</v>
      </c>
      <c r="C66" s="9">
        <v>1</v>
      </c>
      <c r="D66" s="22">
        <v>3437212490</v>
      </c>
      <c r="E66" s="9">
        <v>1</v>
      </c>
    </row>
  </sheetData>
  <mergeCells count="5">
    <mergeCell ref="A5:H5"/>
    <mergeCell ref="J5:Q5"/>
    <mergeCell ref="B33:E33"/>
    <mergeCell ref="H33:N33"/>
    <mergeCell ref="B2:N2"/>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G742"/>
  <sheetViews>
    <sheetView zoomScale="70" zoomScaleNormal="70" zoomScaleSheetLayoutView="100" workbookViewId="0">
      <selection activeCell="B35" sqref="B35"/>
    </sheetView>
  </sheetViews>
  <sheetFormatPr defaultColWidth="19.85546875" defaultRowHeight="15"/>
  <cols>
    <col min="1" max="1" width="19.28515625" style="39" bestFit="1" customWidth="1"/>
    <col min="2" max="2" width="8.28515625" style="54" bestFit="1" customWidth="1"/>
    <col min="3" max="3" width="26.85546875" style="39" bestFit="1" customWidth="1"/>
    <col min="4" max="4" width="13" style="79" customWidth="1"/>
    <col min="5" max="5" width="14.85546875" style="80" bestFit="1" customWidth="1"/>
    <col min="6" max="6" width="9.7109375" style="39" bestFit="1" customWidth="1"/>
    <col min="7" max="7" width="13.28515625" style="81" customWidth="1"/>
    <col min="8" max="8" width="7.140625" style="82" bestFit="1" customWidth="1"/>
    <col min="9" max="9" width="5.85546875" style="83" bestFit="1" customWidth="1"/>
    <col min="10" max="10" width="8.42578125" style="39" bestFit="1" customWidth="1"/>
    <col min="11" max="11" width="9.42578125" style="70" customWidth="1"/>
    <col min="12" max="12" width="10" style="39" bestFit="1" customWidth="1"/>
    <col min="13" max="13" width="12.28515625" style="84" bestFit="1" customWidth="1"/>
    <col min="14" max="14" width="8.42578125" style="56" bestFit="1" customWidth="1"/>
    <col min="15" max="15" width="7.5703125" style="39"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c r="A1" s="26" t="s">
        <v>229</v>
      </c>
      <c r="B1" s="27" t="s">
        <v>230</v>
      </c>
      <c r="C1" s="28" t="s">
        <v>231</v>
      </c>
      <c r="D1" s="29" t="s">
        <v>232</v>
      </c>
      <c r="E1" s="30" t="s">
        <v>233</v>
      </c>
      <c r="F1" s="28" t="s">
        <v>234</v>
      </c>
      <c r="G1" s="31" t="s">
        <v>235</v>
      </c>
      <c r="H1" s="32" t="s">
        <v>236</v>
      </c>
      <c r="I1" s="33" t="s">
        <v>237</v>
      </c>
      <c r="J1" s="28" t="s">
        <v>238</v>
      </c>
      <c r="K1" s="34" t="s">
        <v>239</v>
      </c>
      <c r="L1" s="27" t="s">
        <v>240</v>
      </c>
      <c r="M1" s="35" t="s">
        <v>241</v>
      </c>
      <c r="N1" s="36" t="s">
        <v>242</v>
      </c>
      <c r="O1" s="37">
        <v>2.9100000000000001E-2</v>
      </c>
      <c r="P1" s="37"/>
      <c r="Q1" s="37"/>
      <c r="R1" s="38" t="s">
        <v>243</v>
      </c>
      <c r="S1" s="38"/>
      <c r="U1" s="40"/>
      <c r="V1" s="41" t="s">
        <v>73</v>
      </c>
      <c r="W1" s="41" t="s">
        <v>107</v>
      </c>
      <c r="X1" s="41" t="s">
        <v>100</v>
      </c>
      <c r="Y1" s="41" t="s">
        <v>65</v>
      </c>
      <c r="Z1" s="41" t="s">
        <v>83</v>
      </c>
      <c r="AA1" s="42"/>
      <c r="AB1" s="43"/>
      <c r="AC1" s="44" t="s">
        <v>73</v>
      </c>
      <c r="AD1" s="44" t="s">
        <v>107</v>
      </c>
      <c r="AE1" s="44" t="s">
        <v>100</v>
      </c>
      <c r="AF1" s="44" t="s">
        <v>65</v>
      </c>
      <c r="AG1" s="44" t="s">
        <v>83</v>
      </c>
    </row>
    <row r="2" spans="1:33">
      <c r="A2" s="45" t="s">
        <v>244</v>
      </c>
      <c r="B2" s="46" t="s">
        <v>245</v>
      </c>
      <c r="C2" s="45" t="s">
        <v>246</v>
      </c>
      <c r="D2" s="47">
        <v>948195711</v>
      </c>
      <c r="E2" s="48">
        <v>2523539786</v>
      </c>
      <c r="F2" s="45" t="s">
        <v>247</v>
      </c>
      <c r="G2" s="49">
        <v>40148</v>
      </c>
      <c r="H2" s="50" t="str">
        <f t="shared" ref="H2:H65" si="0">CHOOSE(MONTH(G2),"Jan","Feb","Mar","Apr","May","Jun","Jul","Aug","Sep","Oct","Nov","Dec")</f>
        <v>Dec</v>
      </c>
      <c r="I2" s="51">
        <f t="shared" ref="I2:I65" ca="1" si="1">DATEDIF(G2,TODAY(),"Y")</f>
        <v>6</v>
      </c>
      <c r="J2" s="52"/>
      <c r="K2" s="53">
        <v>51050</v>
      </c>
      <c r="L2" s="54">
        <v>5</v>
      </c>
      <c r="M2" s="55"/>
      <c r="R2" s="57">
        <v>0</v>
      </c>
      <c r="S2" s="58">
        <v>0</v>
      </c>
      <c r="U2" s="40" t="s">
        <v>248</v>
      </c>
      <c r="V2" s="59">
        <v>33</v>
      </c>
      <c r="W2" s="59">
        <v>40</v>
      </c>
      <c r="X2" s="59">
        <v>37</v>
      </c>
      <c r="Y2" s="59">
        <v>48</v>
      </c>
      <c r="Z2" s="59">
        <v>48</v>
      </c>
      <c r="AA2" s="59"/>
      <c r="AB2" s="60" t="s">
        <v>249</v>
      </c>
      <c r="AC2" s="59">
        <v>45</v>
      </c>
      <c r="AD2" s="59">
        <v>47</v>
      </c>
      <c r="AE2" s="59">
        <v>35</v>
      </c>
      <c r="AF2" s="59">
        <v>49</v>
      </c>
      <c r="AG2" s="59">
        <v>37</v>
      </c>
    </row>
    <row r="3" spans="1:33">
      <c r="A3" s="45" t="s">
        <v>250</v>
      </c>
      <c r="B3" s="46" t="s">
        <v>251</v>
      </c>
      <c r="C3" s="45" t="s">
        <v>246</v>
      </c>
      <c r="D3" s="47">
        <v>411526157</v>
      </c>
      <c r="E3" s="48">
        <v>9195818082</v>
      </c>
      <c r="F3" s="45" t="s">
        <v>252</v>
      </c>
      <c r="G3" s="49">
        <v>34847</v>
      </c>
      <c r="H3" s="50" t="str">
        <f t="shared" si="0"/>
        <v>May</v>
      </c>
      <c r="I3" s="51">
        <f t="shared" ca="1" si="1"/>
        <v>21</v>
      </c>
      <c r="J3" s="52"/>
      <c r="K3" s="53">
        <v>42820</v>
      </c>
      <c r="L3" s="54">
        <v>2</v>
      </c>
      <c r="M3" s="55"/>
      <c r="O3" s="56"/>
      <c r="R3" s="61">
        <v>5000</v>
      </c>
      <c r="S3" s="62">
        <v>0.01</v>
      </c>
      <c r="U3" s="40" t="s">
        <v>253</v>
      </c>
      <c r="V3" s="59">
        <v>35</v>
      </c>
      <c r="W3" s="59">
        <v>38</v>
      </c>
      <c r="X3" s="59">
        <v>36</v>
      </c>
      <c r="Y3" s="59">
        <v>48</v>
      </c>
      <c r="Z3" s="59">
        <v>41</v>
      </c>
      <c r="AA3" s="59"/>
      <c r="AB3" s="60" t="s">
        <v>254</v>
      </c>
      <c r="AC3" s="59">
        <v>39</v>
      </c>
      <c r="AD3" s="59">
        <v>35</v>
      </c>
      <c r="AE3" s="59">
        <v>45</v>
      </c>
      <c r="AF3" s="59">
        <v>34</v>
      </c>
      <c r="AG3" s="59">
        <v>37</v>
      </c>
    </row>
    <row r="4" spans="1:33">
      <c r="A4" s="45" t="s">
        <v>255</v>
      </c>
      <c r="B4" s="46" t="s">
        <v>245</v>
      </c>
      <c r="C4" s="45" t="s">
        <v>246</v>
      </c>
      <c r="D4" s="47">
        <v>100432924</v>
      </c>
      <c r="E4" s="48">
        <v>4022804104</v>
      </c>
      <c r="F4" s="45" t="s">
        <v>256</v>
      </c>
      <c r="G4" s="49">
        <v>37172</v>
      </c>
      <c r="H4" s="50" t="str">
        <f t="shared" si="0"/>
        <v>Oct</v>
      </c>
      <c r="I4" s="51">
        <f t="shared" ca="1" si="1"/>
        <v>15</v>
      </c>
      <c r="J4" s="52" t="s">
        <v>257</v>
      </c>
      <c r="K4" s="53">
        <v>29460</v>
      </c>
      <c r="L4" s="54">
        <v>1</v>
      </c>
      <c r="M4" s="55"/>
      <c r="N4" s="63"/>
      <c r="O4" s="56"/>
      <c r="R4" s="61">
        <v>25000</v>
      </c>
      <c r="S4" s="62">
        <v>0.05</v>
      </c>
      <c r="U4" s="40" t="s">
        <v>258</v>
      </c>
      <c r="V4" s="59">
        <v>49</v>
      </c>
      <c r="W4" s="59">
        <v>36</v>
      </c>
      <c r="X4" s="59">
        <v>40</v>
      </c>
      <c r="Y4" s="59">
        <v>35</v>
      </c>
      <c r="Z4" s="59">
        <v>44</v>
      </c>
      <c r="AA4" s="59"/>
      <c r="AB4" s="60" t="s">
        <v>259</v>
      </c>
      <c r="AC4" s="59">
        <v>30</v>
      </c>
      <c r="AD4" s="59">
        <v>45</v>
      </c>
      <c r="AE4" s="59">
        <v>43</v>
      </c>
      <c r="AF4" s="59">
        <v>46</v>
      </c>
      <c r="AG4" s="59">
        <v>30</v>
      </c>
    </row>
    <row r="5" spans="1:33">
      <c r="A5" s="45" t="s">
        <v>260</v>
      </c>
      <c r="B5" s="46" t="s">
        <v>245</v>
      </c>
      <c r="C5" s="45" t="s">
        <v>246</v>
      </c>
      <c r="D5" s="47">
        <v>914428485</v>
      </c>
      <c r="E5" s="48">
        <v>2521774590</v>
      </c>
      <c r="F5" s="45" t="s">
        <v>261</v>
      </c>
      <c r="G5" s="49">
        <v>34291</v>
      </c>
      <c r="H5" s="50" t="str">
        <f t="shared" si="0"/>
        <v>Nov</v>
      </c>
      <c r="I5" s="51">
        <f t="shared" ca="1" si="1"/>
        <v>22</v>
      </c>
      <c r="J5" s="52" t="s">
        <v>262</v>
      </c>
      <c r="K5" s="53">
        <v>32150</v>
      </c>
      <c r="L5" s="54">
        <v>4</v>
      </c>
      <c r="M5" s="55"/>
      <c r="N5" s="63"/>
      <c r="O5" s="56"/>
      <c r="R5" s="61">
        <v>35000</v>
      </c>
      <c r="S5" s="62">
        <v>0.06</v>
      </c>
      <c r="U5" s="40" t="s">
        <v>263</v>
      </c>
      <c r="V5" s="59">
        <v>35</v>
      </c>
      <c r="W5" s="59">
        <v>46</v>
      </c>
      <c r="X5" s="59">
        <v>44</v>
      </c>
      <c r="Y5" s="59">
        <v>48</v>
      </c>
      <c r="Z5" s="59">
        <v>47</v>
      </c>
      <c r="AA5" s="59"/>
      <c r="AB5" s="60" t="s">
        <v>264</v>
      </c>
      <c r="AC5" s="59">
        <v>46</v>
      </c>
      <c r="AD5" s="59">
        <v>40</v>
      </c>
      <c r="AE5" s="59">
        <v>45</v>
      </c>
      <c r="AF5" s="59">
        <v>45</v>
      </c>
      <c r="AG5" s="59">
        <v>37</v>
      </c>
    </row>
    <row r="6" spans="1:33">
      <c r="A6" s="45" t="s">
        <v>265</v>
      </c>
      <c r="B6" s="46" t="s">
        <v>266</v>
      </c>
      <c r="C6" s="45" t="s">
        <v>246</v>
      </c>
      <c r="D6" s="47">
        <v>991656720</v>
      </c>
      <c r="E6" s="48">
        <v>2528138394</v>
      </c>
      <c r="F6" s="45" t="s">
        <v>256</v>
      </c>
      <c r="G6" s="49">
        <v>40448</v>
      </c>
      <c r="H6" s="50" t="str">
        <f t="shared" si="0"/>
        <v>Sep</v>
      </c>
      <c r="I6" s="51">
        <f t="shared" ca="1" si="1"/>
        <v>6</v>
      </c>
      <c r="J6" s="52" t="s">
        <v>267</v>
      </c>
      <c r="K6" s="53">
        <v>87400</v>
      </c>
      <c r="L6" s="54">
        <v>2</v>
      </c>
      <c r="M6" s="55"/>
      <c r="O6" s="56"/>
      <c r="R6" s="61">
        <v>45000</v>
      </c>
      <c r="S6" s="62">
        <v>7.0000000000000007E-2</v>
      </c>
      <c r="U6" s="40" t="s">
        <v>268</v>
      </c>
      <c r="V6" s="59">
        <v>31</v>
      </c>
      <c r="W6" s="59">
        <v>49</v>
      </c>
      <c r="X6" s="59">
        <v>43</v>
      </c>
      <c r="Y6" s="59">
        <v>42</v>
      </c>
      <c r="Z6" s="59">
        <v>34</v>
      </c>
      <c r="AA6" s="59"/>
      <c r="AB6" s="60" t="s">
        <v>269</v>
      </c>
      <c r="AC6" s="59">
        <v>38</v>
      </c>
      <c r="AD6" s="59">
        <v>39</v>
      </c>
      <c r="AE6" s="59">
        <v>42</v>
      </c>
      <c r="AF6" s="59">
        <v>40</v>
      </c>
      <c r="AG6" s="59">
        <v>43</v>
      </c>
    </row>
    <row r="7" spans="1:33">
      <c r="A7" s="45" t="s">
        <v>270</v>
      </c>
      <c r="B7" s="46" t="s">
        <v>271</v>
      </c>
      <c r="C7" s="45" t="s">
        <v>272</v>
      </c>
      <c r="D7" s="47">
        <v>535539723</v>
      </c>
      <c r="E7" s="48">
        <v>2523492633</v>
      </c>
      <c r="F7" s="45" t="s">
        <v>261</v>
      </c>
      <c r="G7" s="49">
        <v>34475</v>
      </c>
      <c r="H7" s="50" t="str">
        <f t="shared" si="0"/>
        <v>May</v>
      </c>
      <c r="I7" s="51">
        <f t="shared" ca="1" si="1"/>
        <v>22</v>
      </c>
      <c r="J7" s="52" t="s">
        <v>262</v>
      </c>
      <c r="K7" s="53">
        <v>36530</v>
      </c>
      <c r="L7" s="54">
        <v>1</v>
      </c>
      <c r="M7" s="55"/>
      <c r="O7" s="56"/>
      <c r="R7" s="61">
        <v>55000</v>
      </c>
      <c r="S7" s="62">
        <v>0.08</v>
      </c>
      <c r="U7" s="40" t="s">
        <v>273</v>
      </c>
      <c r="V7" s="59">
        <v>43</v>
      </c>
      <c r="W7" s="59">
        <v>38</v>
      </c>
      <c r="X7" s="59">
        <v>44</v>
      </c>
      <c r="Y7" s="59">
        <v>44</v>
      </c>
      <c r="Z7" s="59">
        <v>39</v>
      </c>
      <c r="AA7" s="59"/>
      <c r="AB7" s="60" t="s">
        <v>274</v>
      </c>
      <c r="AC7" s="59">
        <v>30</v>
      </c>
      <c r="AD7" s="59">
        <v>47</v>
      </c>
      <c r="AE7" s="59">
        <v>46</v>
      </c>
      <c r="AF7" s="59">
        <v>42</v>
      </c>
      <c r="AG7" s="59">
        <v>34</v>
      </c>
    </row>
    <row r="8" spans="1:33">
      <c r="A8" s="45" t="s">
        <v>275</v>
      </c>
      <c r="B8" s="46" t="s">
        <v>245</v>
      </c>
      <c r="C8" s="45" t="s">
        <v>272</v>
      </c>
      <c r="D8" s="47">
        <v>297852686</v>
      </c>
      <c r="E8" s="48">
        <v>2525832994</v>
      </c>
      <c r="F8" s="45" t="s">
        <v>256</v>
      </c>
      <c r="G8" s="49">
        <v>40705</v>
      </c>
      <c r="H8" s="50" t="str">
        <f t="shared" si="0"/>
        <v>Jun</v>
      </c>
      <c r="I8" s="51">
        <f t="shared" ca="1" si="1"/>
        <v>5</v>
      </c>
      <c r="J8" s="52" t="s">
        <v>276</v>
      </c>
      <c r="K8" s="53">
        <v>69950</v>
      </c>
      <c r="L8" s="54">
        <v>5</v>
      </c>
      <c r="M8" s="55"/>
      <c r="O8" s="56"/>
      <c r="R8" s="61">
        <v>65000</v>
      </c>
      <c r="S8" s="62">
        <v>0.1</v>
      </c>
    </row>
    <row r="9" spans="1:33">
      <c r="A9" s="45" t="s">
        <v>277</v>
      </c>
      <c r="B9" s="46" t="s">
        <v>271</v>
      </c>
      <c r="C9" s="45" t="s">
        <v>272</v>
      </c>
      <c r="D9" s="47">
        <v>638271383</v>
      </c>
      <c r="E9" s="48">
        <v>2521641031</v>
      </c>
      <c r="F9" s="45" t="s">
        <v>256</v>
      </c>
      <c r="G9" s="49">
        <v>39143</v>
      </c>
      <c r="H9" s="50" t="str">
        <f t="shared" si="0"/>
        <v>Mar</v>
      </c>
      <c r="I9" s="51">
        <f t="shared" ca="1" si="1"/>
        <v>9</v>
      </c>
      <c r="J9" s="52" t="s">
        <v>257</v>
      </c>
      <c r="K9" s="53">
        <v>59220</v>
      </c>
      <c r="L9" s="54">
        <v>4</v>
      </c>
      <c r="M9" s="55"/>
      <c r="O9" s="56"/>
      <c r="R9" s="61">
        <v>75000</v>
      </c>
      <c r="S9" s="62">
        <v>0.11</v>
      </c>
      <c r="U9" s="64"/>
      <c r="V9" s="65"/>
      <c r="W9" s="65"/>
      <c r="X9" s="65"/>
      <c r="Y9" s="65"/>
      <c r="Z9" s="65"/>
      <c r="AB9" s="66"/>
      <c r="AC9" s="67"/>
      <c r="AD9" s="67"/>
      <c r="AE9" s="67"/>
      <c r="AF9" s="67"/>
    </row>
    <row r="10" spans="1:33">
      <c r="A10" s="45" t="s">
        <v>278</v>
      </c>
      <c r="B10" s="46" t="s">
        <v>245</v>
      </c>
      <c r="C10" s="45" t="s">
        <v>272</v>
      </c>
      <c r="D10" s="47">
        <v>771277493</v>
      </c>
      <c r="E10" s="48">
        <v>2522872439</v>
      </c>
      <c r="F10" s="45" t="s">
        <v>252</v>
      </c>
      <c r="G10" s="49">
        <v>41127</v>
      </c>
      <c r="H10" s="50" t="str">
        <f t="shared" si="0"/>
        <v>Aug</v>
      </c>
      <c r="I10" s="51">
        <f t="shared" ca="1" si="1"/>
        <v>4</v>
      </c>
      <c r="J10" s="52"/>
      <c r="K10" s="53">
        <v>12760</v>
      </c>
      <c r="L10" s="54">
        <v>4</v>
      </c>
      <c r="M10" s="55"/>
      <c r="O10" s="56"/>
      <c r="R10" s="61">
        <v>85000</v>
      </c>
      <c r="S10" s="62">
        <v>0.12</v>
      </c>
      <c r="U10" s="64"/>
      <c r="V10" s="68"/>
      <c r="W10" s="68"/>
      <c r="X10" s="68"/>
      <c r="Y10" s="68"/>
      <c r="Z10" s="68"/>
      <c r="AA10" s="69"/>
      <c r="AB10" s="70"/>
      <c r="AC10" s="52"/>
      <c r="AD10" s="52"/>
      <c r="AE10" s="52"/>
      <c r="AF10" s="52"/>
    </row>
    <row r="11" spans="1:33">
      <c r="A11" s="45" t="s">
        <v>279</v>
      </c>
      <c r="B11" s="46" t="s">
        <v>280</v>
      </c>
      <c r="C11" s="45" t="s">
        <v>272</v>
      </c>
      <c r="D11" s="47">
        <v>415076748</v>
      </c>
      <c r="E11" s="48">
        <v>9195230846</v>
      </c>
      <c r="F11" s="45" t="s">
        <v>252</v>
      </c>
      <c r="G11" s="49">
        <v>34483</v>
      </c>
      <c r="H11" s="50" t="str">
        <f t="shared" si="0"/>
        <v>May</v>
      </c>
      <c r="I11" s="51">
        <f t="shared" ca="1" si="1"/>
        <v>22</v>
      </c>
      <c r="J11" s="52" t="s">
        <v>257</v>
      </c>
      <c r="K11" s="53">
        <v>34880</v>
      </c>
      <c r="L11" s="54">
        <v>3</v>
      </c>
      <c r="M11" s="55"/>
      <c r="O11" s="56"/>
      <c r="R11" s="61">
        <v>95000</v>
      </c>
      <c r="S11" s="62">
        <v>0.13</v>
      </c>
      <c r="U11" s="64"/>
      <c r="V11" s="68"/>
      <c r="W11" s="68"/>
      <c r="X11" s="68"/>
      <c r="Y11" s="68"/>
      <c r="Z11" s="68"/>
      <c r="AA11" s="52"/>
      <c r="AB11" s="70"/>
      <c r="AC11" s="52"/>
      <c r="AD11" s="52"/>
      <c r="AE11" s="52"/>
      <c r="AF11" s="52"/>
    </row>
    <row r="12" spans="1:33">
      <c r="A12" s="45" t="s">
        <v>281</v>
      </c>
      <c r="B12" s="46" t="s">
        <v>251</v>
      </c>
      <c r="C12" s="45" t="s">
        <v>272</v>
      </c>
      <c r="D12" s="47">
        <v>356110882</v>
      </c>
      <c r="E12" s="48">
        <v>2527936742</v>
      </c>
      <c r="F12" s="45" t="s">
        <v>261</v>
      </c>
      <c r="G12" s="49">
        <v>37218</v>
      </c>
      <c r="H12" s="50" t="str">
        <f t="shared" si="0"/>
        <v>Nov</v>
      </c>
      <c r="I12" s="51">
        <f t="shared" ca="1" si="1"/>
        <v>14</v>
      </c>
      <c r="J12" s="52" t="s">
        <v>257</v>
      </c>
      <c r="K12" s="53">
        <v>18290</v>
      </c>
      <c r="L12" s="54">
        <v>1</v>
      </c>
      <c r="M12" s="55"/>
      <c r="O12" s="56"/>
      <c r="R12" s="71"/>
      <c r="U12" s="64"/>
      <c r="V12" s="68"/>
      <c r="W12" s="68"/>
      <c r="X12" s="68"/>
      <c r="Y12" s="68"/>
      <c r="Z12" s="68"/>
      <c r="AA12" s="52"/>
      <c r="AB12" s="70"/>
      <c r="AC12" s="52"/>
      <c r="AD12" s="52"/>
      <c r="AE12" s="52"/>
      <c r="AF12" s="52"/>
    </row>
    <row r="13" spans="1:33">
      <c r="A13" s="45" t="s">
        <v>282</v>
      </c>
      <c r="B13" s="46" t="s">
        <v>280</v>
      </c>
      <c r="C13" s="45" t="s">
        <v>272</v>
      </c>
      <c r="D13" s="47">
        <v>475256935</v>
      </c>
      <c r="E13" s="48">
        <v>2527852326</v>
      </c>
      <c r="F13" s="45" t="s">
        <v>256</v>
      </c>
      <c r="G13" s="49">
        <v>36743</v>
      </c>
      <c r="H13" s="50" t="str">
        <f t="shared" si="0"/>
        <v>Aug</v>
      </c>
      <c r="I13" s="51">
        <f t="shared" ca="1" si="1"/>
        <v>16</v>
      </c>
      <c r="J13" s="52" t="s">
        <v>283</v>
      </c>
      <c r="K13" s="53">
        <v>102360</v>
      </c>
      <c r="L13" s="54">
        <v>2</v>
      </c>
      <c r="M13" s="55"/>
      <c r="O13" s="56"/>
      <c r="R13" s="71"/>
      <c r="U13" s="64"/>
      <c r="V13" s="68"/>
      <c r="W13" s="68"/>
      <c r="X13" s="68"/>
      <c r="Y13" s="68"/>
      <c r="Z13" s="68"/>
      <c r="AA13" s="52"/>
      <c r="AB13" s="70"/>
      <c r="AC13" s="52"/>
      <c r="AD13" s="52"/>
      <c r="AE13" s="52"/>
      <c r="AF13" s="52"/>
    </row>
    <row r="14" spans="1:33">
      <c r="A14" s="39" t="s">
        <v>284</v>
      </c>
      <c r="B14" s="46" t="s">
        <v>285</v>
      </c>
      <c r="C14" s="39" t="s">
        <v>272</v>
      </c>
      <c r="D14" s="72">
        <v>768681542</v>
      </c>
      <c r="E14" s="73">
        <v>8021673267</v>
      </c>
      <c r="F14" s="39" t="s">
        <v>256</v>
      </c>
      <c r="G14" s="49">
        <v>36465</v>
      </c>
      <c r="H14" s="50" t="str">
        <f t="shared" si="0"/>
        <v>Nov</v>
      </c>
      <c r="I14" s="51">
        <f t="shared" ca="1" si="1"/>
        <v>17</v>
      </c>
      <c r="J14" s="52" t="s">
        <v>257</v>
      </c>
      <c r="K14" s="53">
        <v>73000</v>
      </c>
      <c r="L14" s="54">
        <v>2</v>
      </c>
      <c r="M14" s="55"/>
      <c r="O14" s="56"/>
      <c r="U14" s="64"/>
      <c r="V14" s="68"/>
      <c r="W14" s="68"/>
      <c r="X14" s="68"/>
      <c r="Y14" s="68"/>
      <c r="Z14" s="68"/>
      <c r="AA14" s="52"/>
      <c r="AB14" s="70"/>
      <c r="AC14" s="52"/>
      <c r="AD14" s="52"/>
      <c r="AE14" s="52"/>
      <c r="AF14" s="52"/>
    </row>
    <row r="15" spans="1:33">
      <c r="A15" s="39" t="s">
        <v>286</v>
      </c>
      <c r="B15" s="46" t="s">
        <v>245</v>
      </c>
      <c r="C15" s="39" t="s">
        <v>272</v>
      </c>
      <c r="D15" s="72">
        <v>767961463</v>
      </c>
      <c r="E15" s="73">
        <v>2523646601</v>
      </c>
      <c r="F15" s="39" t="s">
        <v>247</v>
      </c>
      <c r="G15" s="49">
        <v>37778</v>
      </c>
      <c r="H15" s="50" t="str">
        <f t="shared" si="0"/>
        <v>Jun</v>
      </c>
      <c r="I15" s="51">
        <f t="shared" ca="1" si="1"/>
        <v>13</v>
      </c>
      <c r="J15" s="52"/>
      <c r="K15" s="53">
        <v>92030</v>
      </c>
      <c r="L15" s="54">
        <v>3</v>
      </c>
      <c r="M15" s="55"/>
      <c r="O15" s="56"/>
      <c r="U15" s="64"/>
      <c r="V15" s="68"/>
      <c r="W15" s="68"/>
      <c r="X15" s="68"/>
      <c r="Y15" s="68"/>
      <c r="Z15" s="68"/>
      <c r="AA15" s="52"/>
      <c r="AB15" s="70"/>
      <c r="AC15" s="52"/>
      <c r="AD15" s="52"/>
      <c r="AE15" s="52"/>
      <c r="AF15" s="52"/>
    </row>
    <row r="16" spans="1:33">
      <c r="A16" s="39" t="s">
        <v>287</v>
      </c>
      <c r="B16" s="46" t="s">
        <v>271</v>
      </c>
      <c r="C16" s="39" t="s">
        <v>272</v>
      </c>
      <c r="D16" s="72">
        <v>202815919</v>
      </c>
      <c r="E16" s="73">
        <v>2528467597</v>
      </c>
      <c r="F16" s="39" t="s">
        <v>247</v>
      </c>
      <c r="G16" s="49">
        <v>35077</v>
      </c>
      <c r="H16" s="50" t="str">
        <f t="shared" si="0"/>
        <v>Jan</v>
      </c>
      <c r="I16" s="51">
        <f t="shared" ca="1" si="1"/>
        <v>20</v>
      </c>
      <c r="J16" s="52"/>
      <c r="K16" s="53">
        <v>79900</v>
      </c>
      <c r="L16" s="54">
        <v>5</v>
      </c>
      <c r="M16" s="55"/>
      <c r="N16" s="63"/>
      <c r="O16" s="56"/>
      <c r="V16" s="74"/>
      <c r="W16" s="74"/>
      <c r="X16" s="74"/>
      <c r="Y16" s="74"/>
      <c r="Z16" s="52"/>
      <c r="AA16" s="52"/>
      <c r="AB16" s="52"/>
      <c r="AC16" s="52"/>
      <c r="AD16" s="52"/>
      <c r="AE16" s="52"/>
      <c r="AF16" s="52"/>
    </row>
    <row r="17" spans="1:14">
      <c r="A17" s="39" t="s">
        <v>288</v>
      </c>
      <c r="B17" s="46" t="s">
        <v>271</v>
      </c>
      <c r="C17" s="39" t="s">
        <v>272</v>
      </c>
      <c r="D17" s="72">
        <v>781913936</v>
      </c>
      <c r="E17" s="73">
        <v>9197889149</v>
      </c>
      <c r="F17" s="39" t="s">
        <v>261</v>
      </c>
      <c r="G17" s="49">
        <v>38783</v>
      </c>
      <c r="H17" s="50" t="str">
        <f t="shared" si="0"/>
        <v>Mar</v>
      </c>
      <c r="I17" s="51">
        <f t="shared" ca="1" si="1"/>
        <v>10</v>
      </c>
      <c r="J17" s="52" t="s">
        <v>276</v>
      </c>
      <c r="K17" s="53">
        <v>21280</v>
      </c>
      <c r="L17" s="54">
        <v>3</v>
      </c>
      <c r="M17" s="55"/>
    </row>
    <row r="18" spans="1:14">
      <c r="A18" s="39" t="s">
        <v>289</v>
      </c>
      <c r="B18" s="46" t="s">
        <v>251</v>
      </c>
      <c r="C18" s="39" t="s">
        <v>272</v>
      </c>
      <c r="D18" s="72">
        <v>975603308</v>
      </c>
      <c r="E18" s="73">
        <v>9192693355</v>
      </c>
      <c r="F18" s="39" t="s">
        <v>256</v>
      </c>
      <c r="G18" s="49">
        <v>38405</v>
      </c>
      <c r="H18" s="50" t="str">
        <f t="shared" si="0"/>
        <v>Feb</v>
      </c>
      <c r="I18" s="51">
        <f t="shared" ca="1" si="1"/>
        <v>11</v>
      </c>
      <c r="J18" s="52" t="s">
        <v>257</v>
      </c>
      <c r="K18" s="53">
        <v>36940</v>
      </c>
      <c r="L18" s="54">
        <v>4</v>
      </c>
      <c r="M18" s="55"/>
    </row>
    <row r="19" spans="1:14">
      <c r="A19" s="39" t="s">
        <v>290</v>
      </c>
      <c r="B19" s="46" t="s">
        <v>266</v>
      </c>
      <c r="C19" s="39" t="s">
        <v>272</v>
      </c>
      <c r="D19" s="72">
        <v>840313216</v>
      </c>
      <c r="E19" s="73">
        <v>9198449868</v>
      </c>
      <c r="F19" s="39" t="s">
        <v>256</v>
      </c>
      <c r="G19" s="49">
        <v>40070</v>
      </c>
      <c r="H19" s="50" t="str">
        <f t="shared" si="0"/>
        <v>Sep</v>
      </c>
      <c r="I19" s="51">
        <f t="shared" ca="1" si="1"/>
        <v>7</v>
      </c>
      <c r="J19" s="52" t="s">
        <v>267</v>
      </c>
      <c r="K19" s="53">
        <v>45200</v>
      </c>
      <c r="L19" s="54">
        <v>3</v>
      </c>
      <c r="M19" s="55"/>
    </row>
    <row r="20" spans="1:14">
      <c r="A20" s="39" t="s">
        <v>291</v>
      </c>
      <c r="B20" s="46" t="s">
        <v>266</v>
      </c>
      <c r="C20" s="39" t="s">
        <v>272</v>
      </c>
      <c r="D20" s="72">
        <v>456946966</v>
      </c>
      <c r="E20" s="73">
        <v>9194680033</v>
      </c>
      <c r="F20" s="39" t="s">
        <v>256</v>
      </c>
      <c r="G20" s="49">
        <v>37765</v>
      </c>
      <c r="H20" s="50" t="str">
        <f t="shared" si="0"/>
        <v>May</v>
      </c>
      <c r="I20" s="51">
        <f t="shared" ca="1" si="1"/>
        <v>13</v>
      </c>
      <c r="J20" s="52" t="s">
        <v>276</v>
      </c>
      <c r="K20" s="53">
        <v>89810</v>
      </c>
      <c r="L20" s="54">
        <v>4</v>
      </c>
      <c r="M20" s="55"/>
    </row>
    <row r="21" spans="1:14">
      <c r="A21" s="39" t="s">
        <v>292</v>
      </c>
      <c r="B21" s="46" t="s">
        <v>285</v>
      </c>
      <c r="C21" s="39" t="s">
        <v>272</v>
      </c>
      <c r="D21" s="72">
        <v>542051793</v>
      </c>
      <c r="E21" s="73">
        <v>2527317354</v>
      </c>
      <c r="F21" s="39" t="s">
        <v>256</v>
      </c>
      <c r="G21" s="49">
        <v>37261</v>
      </c>
      <c r="H21" s="50" t="str">
        <f t="shared" si="0"/>
        <v>Jan</v>
      </c>
      <c r="I21" s="51">
        <f t="shared" ca="1" si="1"/>
        <v>14</v>
      </c>
      <c r="J21" s="52" t="s">
        <v>257</v>
      </c>
      <c r="K21" s="53">
        <v>90180</v>
      </c>
      <c r="L21" s="54">
        <v>1</v>
      </c>
      <c r="M21" s="55"/>
    </row>
    <row r="22" spans="1:14">
      <c r="A22" s="39" t="s">
        <v>293</v>
      </c>
      <c r="B22" s="46" t="s">
        <v>285</v>
      </c>
      <c r="C22" s="39" t="s">
        <v>272</v>
      </c>
      <c r="D22" s="72">
        <v>608796012</v>
      </c>
      <c r="E22" s="73">
        <v>9194075460</v>
      </c>
      <c r="F22" s="39" t="s">
        <v>256</v>
      </c>
      <c r="G22" s="49">
        <v>34832</v>
      </c>
      <c r="H22" s="50" t="str">
        <f t="shared" si="0"/>
        <v>May</v>
      </c>
      <c r="I22" s="51">
        <f t="shared" ca="1" si="1"/>
        <v>21</v>
      </c>
      <c r="J22" s="52" t="s">
        <v>257</v>
      </c>
      <c r="K22" s="53">
        <v>95710</v>
      </c>
      <c r="L22" s="54">
        <v>5</v>
      </c>
      <c r="M22" s="55"/>
    </row>
    <row r="23" spans="1:14">
      <c r="A23" s="39" t="s">
        <v>294</v>
      </c>
      <c r="B23" s="46" t="s">
        <v>251</v>
      </c>
      <c r="C23" s="39" t="s">
        <v>272</v>
      </c>
      <c r="D23" s="72">
        <v>481336564</v>
      </c>
      <c r="E23" s="73">
        <v>9196479087</v>
      </c>
      <c r="F23" s="39" t="s">
        <v>256</v>
      </c>
      <c r="G23" s="49">
        <v>37144</v>
      </c>
      <c r="H23" s="50" t="str">
        <f t="shared" si="0"/>
        <v>Sep</v>
      </c>
      <c r="I23" s="51">
        <f t="shared" ca="1" si="1"/>
        <v>15</v>
      </c>
      <c r="J23" s="52" t="s">
        <v>283</v>
      </c>
      <c r="K23" s="53">
        <v>86510</v>
      </c>
      <c r="L23" s="54">
        <v>5</v>
      </c>
      <c r="M23" s="55"/>
    </row>
    <row r="24" spans="1:14">
      <c r="A24" s="39" t="s">
        <v>295</v>
      </c>
      <c r="B24" s="46" t="s">
        <v>245</v>
      </c>
      <c r="C24" s="39" t="s">
        <v>296</v>
      </c>
      <c r="D24" s="72">
        <v>460412180</v>
      </c>
      <c r="E24" s="73">
        <v>9196822349</v>
      </c>
      <c r="F24" s="39" t="s">
        <v>256</v>
      </c>
      <c r="G24" s="49">
        <v>41107</v>
      </c>
      <c r="H24" s="50" t="str">
        <f t="shared" si="0"/>
        <v>Jul</v>
      </c>
      <c r="I24" s="51">
        <f t="shared" ca="1" si="1"/>
        <v>4</v>
      </c>
      <c r="J24" s="52" t="s">
        <v>262</v>
      </c>
      <c r="K24" s="53">
        <v>61420</v>
      </c>
      <c r="L24" s="54">
        <v>3</v>
      </c>
      <c r="M24" s="55"/>
      <c r="N24" s="63"/>
    </row>
    <row r="25" spans="1:14">
      <c r="A25" s="39" t="s">
        <v>297</v>
      </c>
      <c r="B25" s="46" t="s">
        <v>245</v>
      </c>
      <c r="C25" s="39" t="s">
        <v>296</v>
      </c>
      <c r="D25" s="72">
        <v>515543972</v>
      </c>
      <c r="E25" s="73">
        <v>9193539483</v>
      </c>
      <c r="F25" s="39" t="s">
        <v>256</v>
      </c>
      <c r="G25" s="49">
        <v>37620</v>
      </c>
      <c r="H25" s="50" t="str">
        <f t="shared" si="0"/>
        <v>Dec</v>
      </c>
      <c r="I25" s="51">
        <f t="shared" ca="1" si="1"/>
        <v>13</v>
      </c>
      <c r="J25" s="52" t="s">
        <v>267</v>
      </c>
      <c r="K25" s="53">
        <v>67730</v>
      </c>
      <c r="L25" s="54">
        <v>1</v>
      </c>
      <c r="M25" s="55"/>
    </row>
    <row r="26" spans="1:14">
      <c r="A26" s="39" t="s">
        <v>298</v>
      </c>
      <c r="B26" s="46" t="s">
        <v>285</v>
      </c>
      <c r="C26" s="39" t="s">
        <v>296</v>
      </c>
      <c r="D26" s="72">
        <v>533976888</v>
      </c>
      <c r="E26" s="73">
        <v>9192572783</v>
      </c>
      <c r="F26" s="39" t="s">
        <v>256</v>
      </c>
      <c r="G26" s="49">
        <v>37215</v>
      </c>
      <c r="H26" s="50" t="str">
        <f t="shared" si="0"/>
        <v>Nov</v>
      </c>
      <c r="I26" s="51">
        <f t="shared" ca="1" si="1"/>
        <v>14</v>
      </c>
      <c r="J26" s="52" t="s">
        <v>276</v>
      </c>
      <c r="K26" s="53">
        <v>57420</v>
      </c>
      <c r="L26" s="54">
        <v>1</v>
      </c>
      <c r="M26" s="55"/>
    </row>
    <row r="27" spans="1:14">
      <c r="A27" s="39" t="s">
        <v>299</v>
      </c>
      <c r="B27" s="46" t="s">
        <v>245</v>
      </c>
      <c r="C27" s="39" t="s">
        <v>296</v>
      </c>
      <c r="D27" s="72">
        <v>796079833</v>
      </c>
      <c r="E27" s="73">
        <v>2525327906</v>
      </c>
      <c r="F27" s="39" t="s">
        <v>261</v>
      </c>
      <c r="G27" s="49">
        <v>36565</v>
      </c>
      <c r="H27" s="50" t="str">
        <f t="shared" si="0"/>
        <v>Feb</v>
      </c>
      <c r="I27" s="51">
        <f t="shared" ca="1" si="1"/>
        <v>16</v>
      </c>
      <c r="J27" s="52" t="s">
        <v>257</v>
      </c>
      <c r="K27" s="53">
        <v>13230</v>
      </c>
      <c r="L27" s="54">
        <v>1</v>
      </c>
      <c r="M27" s="55"/>
    </row>
    <row r="28" spans="1:14">
      <c r="A28" s="39" t="s">
        <v>300</v>
      </c>
      <c r="B28" s="46" t="s">
        <v>271</v>
      </c>
      <c r="C28" s="39" t="s">
        <v>296</v>
      </c>
      <c r="D28" s="72">
        <v>216607562</v>
      </c>
      <c r="E28" s="73">
        <v>2521593705</v>
      </c>
      <c r="F28" s="39" t="s">
        <v>256</v>
      </c>
      <c r="G28" s="49">
        <v>36460</v>
      </c>
      <c r="H28" s="50" t="str">
        <f t="shared" si="0"/>
        <v>Oct</v>
      </c>
      <c r="I28" s="51">
        <f t="shared" ca="1" si="1"/>
        <v>17</v>
      </c>
      <c r="J28" s="52" t="s">
        <v>283</v>
      </c>
      <c r="K28" s="53">
        <v>59230</v>
      </c>
      <c r="L28" s="54">
        <v>2</v>
      </c>
      <c r="M28" s="55"/>
    </row>
    <row r="29" spans="1:14">
      <c r="A29" s="39" t="s">
        <v>301</v>
      </c>
      <c r="B29" s="46" t="s">
        <v>271</v>
      </c>
      <c r="C29" s="39" t="s">
        <v>296</v>
      </c>
      <c r="D29" s="72">
        <v>243350742</v>
      </c>
      <c r="E29" s="73">
        <v>2528304204</v>
      </c>
      <c r="F29" s="39" t="s">
        <v>252</v>
      </c>
      <c r="G29" s="49">
        <v>36675</v>
      </c>
      <c r="H29" s="50" t="str">
        <f t="shared" si="0"/>
        <v>May</v>
      </c>
      <c r="I29" s="51">
        <f t="shared" ca="1" si="1"/>
        <v>16</v>
      </c>
      <c r="J29" s="52"/>
      <c r="K29" s="53">
        <v>24030</v>
      </c>
      <c r="L29" s="54">
        <v>4</v>
      </c>
      <c r="M29" s="55"/>
    </row>
    <row r="30" spans="1:14">
      <c r="A30" s="39" t="s">
        <v>302</v>
      </c>
      <c r="B30" s="46" t="s">
        <v>251</v>
      </c>
      <c r="C30" s="39" t="s">
        <v>296</v>
      </c>
      <c r="D30" s="72">
        <v>764375259</v>
      </c>
      <c r="E30" s="73">
        <v>2527515181</v>
      </c>
      <c r="F30" s="39" t="s">
        <v>256</v>
      </c>
      <c r="G30" s="49">
        <v>39052</v>
      </c>
      <c r="H30" s="50" t="str">
        <f t="shared" si="0"/>
        <v>Dec</v>
      </c>
      <c r="I30" s="51">
        <f t="shared" ca="1" si="1"/>
        <v>9</v>
      </c>
      <c r="J30" s="52" t="s">
        <v>257</v>
      </c>
      <c r="K30" s="53">
        <v>36420</v>
      </c>
      <c r="L30" s="54">
        <v>1</v>
      </c>
      <c r="M30" s="55"/>
    </row>
    <row r="31" spans="1:14">
      <c r="A31" s="39" t="s">
        <v>303</v>
      </c>
      <c r="B31" s="46" t="s">
        <v>245</v>
      </c>
      <c r="C31" s="39" t="s">
        <v>296</v>
      </c>
      <c r="D31" s="72">
        <v>278431222</v>
      </c>
      <c r="E31" s="73">
        <v>9196699611</v>
      </c>
      <c r="F31" s="39" t="s">
        <v>256</v>
      </c>
      <c r="G31" s="49">
        <v>37894</v>
      </c>
      <c r="H31" s="50" t="str">
        <f t="shared" si="0"/>
        <v>Sep</v>
      </c>
      <c r="I31" s="51">
        <f t="shared" ca="1" si="1"/>
        <v>13</v>
      </c>
      <c r="J31" s="52" t="s">
        <v>283</v>
      </c>
      <c r="K31" s="53">
        <v>40370</v>
      </c>
      <c r="L31" s="54">
        <v>3</v>
      </c>
      <c r="M31" s="55"/>
    </row>
    <row r="32" spans="1:14">
      <c r="A32" s="39" t="s">
        <v>304</v>
      </c>
      <c r="B32" s="46" t="s">
        <v>285</v>
      </c>
      <c r="C32" s="39" t="s">
        <v>296</v>
      </c>
      <c r="D32" s="72">
        <v>237359447</v>
      </c>
      <c r="E32" s="73">
        <v>9195882405</v>
      </c>
      <c r="F32" s="39" t="s">
        <v>256</v>
      </c>
      <c r="G32" s="49">
        <v>35302</v>
      </c>
      <c r="H32" s="50" t="str">
        <f t="shared" si="0"/>
        <v>Aug</v>
      </c>
      <c r="I32" s="51">
        <f t="shared" ca="1" si="1"/>
        <v>20</v>
      </c>
      <c r="J32" s="52" t="s">
        <v>257</v>
      </c>
      <c r="K32" s="53">
        <v>88130</v>
      </c>
      <c r="L32" s="54">
        <v>1</v>
      </c>
      <c r="M32" s="55"/>
    </row>
    <row r="33" spans="1:17">
      <c r="A33" s="39" t="s">
        <v>305</v>
      </c>
      <c r="B33" s="46" t="s">
        <v>245</v>
      </c>
      <c r="C33" s="39" t="s">
        <v>296</v>
      </c>
      <c r="D33" s="72">
        <v>963028490</v>
      </c>
      <c r="E33" s="73">
        <v>2524383168</v>
      </c>
      <c r="F33" s="39" t="s">
        <v>256</v>
      </c>
      <c r="G33" s="49">
        <v>34552</v>
      </c>
      <c r="H33" s="50" t="str">
        <f t="shared" si="0"/>
        <v>Aug</v>
      </c>
      <c r="I33" s="51">
        <f t="shared" ca="1" si="1"/>
        <v>22</v>
      </c>
      <c r="J33" s="52" t="s">
        <v>262</v>
      </c>
      <c r="K33" s="53">
        <v>49620</v>
      </c>
      <c r="L33" s="54">
        <v>2</v>
      </c>
      <c r="M33" s="55"/>
    </row>
    <row r="34" spans="1:17">
      <c r="A34" s="39" t="s">
        <v>306</v>
      </c>
      <c r="B34" s="46" t="s">
        <v>285</v>
      </c>
      <c r="C34" s="39" t="s">
        <v>307</v>
      </c>
      <c r="D34" s="72">
        <v>682791418</v>
      </c>
      <c r="E34" s="73">
        <v>9194603155</v>
      </c>
      <c r="F34" s="39" t="s">
        <v>256</v>
      </c>
      <c r="G34" s="49">
        <v>34714</v>
      </c>
      <c r="H34" s="50" t="str">
        <f t="shared" si="0"/>
        <v>Jan</v>
      </c>
      <c r="I34" s="51">
        <f t="shared" ca="1" si="1"/>
        <v>21</v>
      </c>
      <c r="J34" s="52" t="s">
        <v>257</v>
      </c>
      <c r="K34" s="53">
        <v>55460</v>
      </c>
      <c r="L34" s="54">
        <v>3</v>
      </c>
      <c r="M34" s="55"/>
      <c r="N34" s="63"/>
      <c r="O34" s="75"/>
    </row>
    <row r="35" spans="1:17">
      <c r="A35" s="39" t="s">
        <v>308</v>
      </c>
      <c r="B35" s="46" t="s">
        <v>285</v>
      </c>
      <c r="C35" s="39" t="s">
        <v>307</v>
      </c>
      <c r="D35" s="72">
        <v>534034571</v>
      </c>
      <c r="E35" s="73">
        <v>2526169135</v>
      </c>
      <c r="F35" s="39" t="s">
        <v>261</v>
      </c>
      <c r="G35" s="49">
        <v>40418</v>
      </c>
      <c r="H35" s="50" t="str">
        <f t="shared" si="0"/>
        <v>Aug</v>
      </c>
      <c r="I35" s="51">
        <f t="shared" ca="1" si="1"/>
        <v>6</v>
      </c>
      <c r="J35" s="52" t="s">
        <v>267</v>
      </c>
      <c r="K35" s="53">
        <v>55310</v>
      </c>
      <c r="L35" s="54">
        <v>3</v>
      </c>
      <c r="M35" s="55"/>
    </row>
    <row r="36" spans="1:17">
      <c r="A36" s="39" t="s">
        <v>309</v>
      </c>
      <c r="B36" s="46" t="s">
        <v>271</v>
      </c>
      <c r="C36" s="39" t="s">
        <v>307</v>
      </c>
      <c r="D36" s="72">
        <v>601942708</v>
      </c>
      <c r="E36" s="73">
        <v>9198085402</v>
      </c>
      <c r="F36" s="39" t="s">
        <v>261</v>
      </c>
      <c r="G36" s="49">
        <v>41153</v>
      </c>
      <c r="H36" s="50" t="str">
        <f t="shared" si="0"/>
        <v>Sep</v>
      </c>
      <c r="I36" s="51">
        <f t="shared" ca="1" si="1"/>
        <v>4</v>
      </c>
      <c r="J36" s="52" t="s">
        <v>283</v>
      </c>
      <c r="K36" s="53">
        <v>34420</v>
      </c>
      <c r="L36" s="54">
        <v>1</v>
      </c>
      <c r="M36" s="55"/>
    </row>
    <row r="37" spans="1:17">
      <c r="A37" s="39" t="s">
        <v>310</v>
      </c>
      <c r="B37" s="46" t="s">
        <v>280</v>
      </c>
      <c r="C37" s="39" t="s">
        <v>307</v>
      </c>
      <c r="D37" s="72">
        <v>529609767</v>
      </c>
      <c r="E37" s="73">
        <v>2528006736</v>
      </c>
      <c r="F37" s="39" t="s">
        <v>247</v>
      </c>
      <c r="G37" s="49">
        <v>36396</v>
      </c>
      <c r="H37" s="50" t="str">
        <f t="shared" si="0"/>
        <v>Aug</v>
      </c>
      <c r="I37" s="51">
        <f t="shared" ca="1" si="1"/>
        <v>17</v>
      </c>
      <c r="J37" s="52"/>
      <c r="K37" s="53">
        <v>69760</v>
      </c>
      <c r="L37" s="54">
        <v>2</v>
      </c>
      <c r="M37" s="55"/>
      <c r="P37" s="75"/>
      <c r="Q37" s="75"/>
    </row>
    <row r="38" spans="1:17">
      <c r="A38" s="39" t="s">
        <v>311</v>
      </c>
      <c r="B38" s="46" t="s">
        <v>245</v>
      </c>
      <c r="C38" s="39" t="s">
        <v>312</v>
      </c>
      <c r="D38" s="72">
        <v>365117800</v>
      </c>
      <c r="E38" s="73">
        <v>2524125146</v>
      </c>
      <c r="F38" s="39" t="s">
        <v>256</v>
      </c>
      <c r="G38" s="49">
        <v>38961</v>
      </c>
      <c r="H38" s="50" t="str">
        <f t="shared" si="0"/>
        <v>Sep</v>
      </c>
      <c r="I38" s="51">
        <f t="shared" ca="1" si="1"/>
        <v>10</v>
      </c>
      <c r="J38" s="52" t="s">
        <v>257</v>
      </c>
      <c r="K38" s="53">
        <v>80270</v>
      </c>
      <c r="L38" s="54">
        <v>5</v>
      </c>
      <c r="M38" s="55"/>
    </row>
    <row r="39" spans="1:17">
      <c r="A39" s="39" t="s">
        <v>313</v>
      </c>
      <c r="B39" s="46" t="s">
        <v>245</v>
      </c>
      <c r="C39" s="39" t="s">
        <v>312</v>
      </c>
      <c r="D39" s="72">
        <v>580960042</v>
      </c>
      <c r="E39" s="73">
        <v>9197528456</v>
      </c>
      <c r="F39" s="39" t="s">
        <v>247</v>
      </c>
      <c r="G39" s="49">
        <v>40041</v>
      </c>
      <c r="H39" s="50" t="str">
        <f t="shared" si="0"/>
        <v>Aug</v>
      </c>
      <c r="I39" s="51">
        <f t="shared" ca="1" si="1"/>
        <v>7</v>
      </c>
      <c r="J39" s="52"/>
      <c r="K39" s="53">
        <v>74580</v>
      </c>
      <c r="L39" s="54">
        <v>4</v>
      </c>
      <c r="M39" s="55"/>
    </row>
    <row r="40" spans="1:17">
      <c r="A40" s="39" t="s">
        <v>314</v>
      </c>
      <c r="B40" s="46" t="s">
        <v>271</v>
      </c>
      <c r="C40" s="39" t="s">
        <v>312</v>
      </c>
      <c r="D40" s="72">
        <v>981106829</v>
      </c>
      <c r="E40" s="73">
        <v>2526196095</v>
      </c>
      <c r="F40" s="39" t="s">
        <v>247</v>
      </c>
      <c r="G40" s="49">
        <v>36849</v>
      </c>
      <c r="H40" s="50" t="str">
        <f t="shared" si="0"/>
        <v>Nov</v>
      </c>
      <c r="I40" s="51">
        <f t="shared" ca="1" si="1"/>
        <v>15</v>
      </c>
      <c r="J40" s="52"/>
      <c r="K40" s="53">
        <v>102580</v>
      </c>
      <c r="L40" s="54">
        <v>5</v>
      </c>
      <c r="M40" s="55"/>
    </row>
    <row r="41" spans="1:17">
      <c r="A41" s="39" t="s">
        <v>315</v>
      </c>
      <c r="B41" s="46" t="s">
        <v>285</v>
      </c>
      <c r="C41" s="39" t="s">
        <v>312</v>
      </c>
      <c r="D41" s="72">
        <v>260815239</v>
      </c>
      <c r="E41" s="73">
        <v>2523040292</v>
      </c>
      <c r="F41" s="39" t="s">
        <v>252</v>
      </c>
      <c r="G41" s="49">
        <v>34621</v>
      </c>
      <c r="H41" s="50" t="str">
        <f t="shared" si="0"/>
        <v>Oct</v>
      </c>
      <c r="I41" s="51">
        <f t="shared" ca="1" si="1"/>
        <v>22</v>
      </c>
      <c r="J41" s="52"/>
      <c r="K41" s="53">
        <v>17480</v>
      </c>
      <c r="L41" s="54">
        <v>3</v>
      </c>
      <c r="M41" s="55"/>
      <c r="O41" s="75"/>
    </row>
    <row r="42" spans="1:17">
      <c r="A42" s="39" t="s">
        <v>316</v>
      </c>
      <c r="B42" s="46" t="s">
        <v>285</v>
      </c>
      <c r="C42" s="39" t="s">
        <v>312</v>
      </c>
      <c r="D42" s="72">
        <v>334574480</v>
      </c>
      <c r="E42" s="73">
        <v>2525165289</v>
      </c>
      <c r="F42" s="39" t="s">
        <v>256</v>
      </c>
      <c r="G42" s="49">
        <v>37507</v>
      </c>
      <c r="H42" s="50" t="str">
        <f t="shared" si="0"/>
        <v>Sep</v>
      </c>
      <c r="I42" s="51">
        <f t="shared" ca="1" si="1"/>
        <v>14</v>
      </c>
      <c r="J42" s="52" t="s">
        <v>283</v>
      </c>
      <c r="K42" s="53">
        <v>38520</v>
      </c>
      <c r="L42" s="54">
        <v>1</v>
      </c>
      <c r="M42" s="55"/>
      <c r="O42" s="75"/>
    </row>
    <row r="43" spans="1:17">
      <c r="A43" s="39" t="s">
        <v>317</v>
      </c>
      <c r="B43" s="46" t="s">
        <v>280</v>
      </c>
      <c r="C43" s="39" t="s">
        <v>312</v>
      </c>
      <c r="D43" s="72">
        <v>163292583</v>
      </c>
      <c r="E43" s="73">
        <v>2522005810</v>
      </c>
      <c r="F43" s="39" t="s">
        <v>247</v>
      </c>
      <c r="G43" s="49">
        <v>37039</v>
      </c>
      <c r="H43" s="50" t="str">
        <f t="shared" si="0"/>
        <v>May</v>
      </c>
      <c r="I43" s="51">
        <f t="shared" ca="1" si="1"/>
        <v>15</v>
      </c>
      <c r="J43" s="52"/>
      <c r="K43" s="53">
        <v>36410</v>
      </c>
      <c r="L43" s="54">
        <v>3</v>
      </c>
      <c r="M43" s="55"/>
    </row>
    <row r="44" spans="1:17">
      <c r="A44" s="39" t="s">
        <v>318</v>
      </c>
      <c r="B44" s="46" t="s">
        <v>271</v>
      </c>
      <c r="C44" s="39" t="s">
        <v>312</v>
      </c>
      <c r="D44" s="72">
        <v>923665952</v>
      </c>
      <c r="E44" s="73">
        <v>2525295649</v>
      </c>
      <c r="F44" s="39" t="s">
        <v>256</v>
      </c>
      <c r="G44" s="49">
        <v>36087</v>
      </c>
      <c r="H44" s="50" t="str">
        <f t="shared" si="0"/>
        <v>Oct</v>
      </c>
      <c r="I44" s="51">
        <f t="shared" ca="1" si="1"/>
        <v>18</v>
      </c>
      <c r="J44" s="52" t="s">
        <v>267</v>
      </c>
      <c r="K44" s="53">
        <v>92820</v>
      </c>
      <c r="L44" s="54">
        <v>5</v>
      </c>
      <c r="M44" s="55"/>
      <c r="N44" s="63"/>
    </row>
    <row r="45" spans="1:17">
      <c r="A45" s="39" t="s">
        <v>319</v>
      </c>
      <c r="B45" s="46" t="s">
        <v>285</v>
      </c>
      <c r="C45" s="39" t="s">
        <v>312</v>
      </c>
      <c r="D45" s="72">
        <v>905675120</v>
      </c>
      <c r="E45" s="73">
        <v>9192526124</v>
      </c>
      <c r="F45" s="39" t="s">
        <v>256</v>
      </c>
      <c r="G45" s="49">
        <v>36208</v>
      </c>
      <c r="H45" s="50" t="str">
        <f t="shared" si="0"/>
        <v>Feb</v>
      </c>
      <c r="I45" s="51">
        <f t="shared" ca="1" si="1"/>
        <v>17</v>
      </c>
      <c r="J45" s="52" t="s">
        <v>267</v>
      </c>
      <c r="K45" s="53">
        <v>93100</v>
      </c>
      <c r="L45" s="54">
        <v>3</v>
      </c>
      <c r="M45" s="55"/>
    </row>
    <row r="46" spans="1:17">
      <c r="A46" s="39" t="s">
        <v>320</v>
      </c>
      <c r="B46" s="46" t="s">
        <v>271</v>
      </c>
      <c r="C46" s="39" t="s">
        <v>312</v>
      </c>
      <c r="D46" s="72">
        <v>242099349</v>
      </c>
      <c r="E46" s="73">
        <v>2526576057</v>
      </c>
      <c r="F46" s="39" t="s">
        <v>256</v>
      </c>
      <c r="G46" s="49">
        <v>41502</v>
      </c>
      <c r="H46" s="50" t="str">
        <f t="shared" si="0"/>
        <v>Aug</v>
      </c>
      <c r="I46" s="51">
        <f t="shared" ca="1" si="1"/>
        <v>3</v>
      </c>
      <c r="J46" s="52" t="s">
        <v>267</v>
      </c>
      <c r="K46" s="53">
        <v>93380</v>
      </c>
      <c r="L46" s="54">
        <v>3</v>
      </c>
      <c r="M46" s="55"/>
    </row>
    <row r="47" spans="1:17">
      <c r="A47" s="39" t="s">
        <v>321</v>
      </c>
      <c r="B47" s="46" t="s">
        <v>266</v>
      </c>
      <c r="C47" s="39" t="s">
        <v>312</v>
      </c>
      <c r="D47" s="72">
        <v>964243524</v>
      </c>
      <c r="E47" s="73">
        <v>2522339143</v>
      </c>
      <c r="F47" s="39" t="s">
        <v>256</v>
      </c>
      <c r="G47" s="49">
        <v>35997</v>
      </c>
      <c r="H47" s="50" t="str">
        <f t="shared" si="0"/>
        <v>Jul</v>
      </c>
      <c r="I47" s="51">
        <f t="shared" ca="1" si="1"/>
        <v>18</v>
      </c>
      <c r="J47" s="52" t="s">
        <v>257</v>
      </c>
      <c r="K47" s="53">
        <v>81470</v>
      </c>
      <c r="L47" s="54">
        <v>5</v>
      </c>
      <c r="M47" s="55"/>
    </row>
    <row r="48" spans="1:17">
      <c r="A48" s="39" t="s">
        <v>322</v>
      </c>
      <c r="B48" s="46" t="s">
        <v>271</v>
      </c>
      <c r="C48" s="39" t="s">
        <v>312</v>
      </c>
      <c r="D48" s="72">
        <v>436693732</v>
      </c>
      <c r="E48" s="73">
        <v>2524077699</v>
      </c>
      <c r="F48" s="39" t="s">
        <v>256</v>
      </c>
      <c r="G48" s="49">
        <v>38177</v>
      </c>
      <c r="H48" s="50" t="str">
        <f t="shared" si="0"/>
        <v>Jul</v>
      </c>
      <c r="I48" s="51">
        <f t="shared" ca="1" si="1"/>
        <v>12</v>
      </c>
      <c r="J48" s="52" t="s">
        <v>267</v>
      </c>
      <c r="K48" s="53">
        <v>75350</v>
      </c>
      <c r="L48" s="54">
        <v>2</v>
      </c>
      <c r="M48" s="55"/>
    </row>
    <row r="49" spans="1:17">
      <c r="A49" s="39" t="s">
        <v>323</v>
      </c>
      <c r="B49" s="46" t="s">
        <v>271</v>
      </c>
      <c r="C49" s="39" t="s">
        <v>312</v>
      </c>
      <c r="D49" s="72">
        <v>147261161</v>
      </c>
      <c r="E49" s="73">
        <v>9197692593</v>
      </c>
      <c r="F49" s="39" t="s">
        <v>256</v>
      </c>
      <c r="G49" s="49">
        <v>35833</v>
      </c>
      <c r="H49" s="50" t="str">
        <f t="shared" si="0"/>
        <v>Feb</v>
      </c>
      <c r="I49" s="51">
        <f t="shared" ca="1" si="1"/>
        <v>18</v>
      </c>
      <c r="J49" s="52" t="s">
        <v>257</v>
      </c>
      <c r="K49" s="53">
        <v>38290</v>
      </c>
      <c r="L49" s="54">
        <v>5</v>
      </c>
      <c r="M49" s="55"/>
    </row>
    <row r="50" spans="1:17">
      <c r="A50" s="39" t="s">
        <v>324</v>
      </c>
      <c r="B50" s="46" t="s">
        <v>271</v>
      </c>
      <c r="C50" s="39" t="s">
        <v>312</v>
      </c>
      <c r="D50" s="72">
        <v>513140687</v>
      </c>
      <c r="E50" s="73">
        <v>9192163497</v>
      </c>
      <c r="F50" s="39" t="s">
        <v>247</v>
      </c>
      <c r="G50" s="49">
        <v>34229</v>
      </c>
      <c r="H50" s="50" t="str">
        <f t="shared" si="0"/>
        <v>Sep</v>
      </c>
      <c r="I50" s="51">
        <f t="shared" ca="1" si="1"/>
        <v>23</v>
      </c>
      <c r="J50" s="52"/>
      <c r="K50" s="53">
        <v>51530</v>
      </c>
      <c r="L50" s="54">
        <v>1</v>
      </c>
      <c r="M50" s="55"/>
    </row>
    <row r="51" spans="1:17">
      <c r="A51" s="39" t="s">
        <v>325</v>
      </c>
      <c r="B51" s="46" t="s">
        <v>285</v>
      </c>
      <c r="C51" s="39" t="s">
        <v>312</v>
      </c>
      <c r="D51" s="72">
        <v>768215237</v>
      </c>
      <c r="E51" s="73">
        <v>9195993367</v>
      </c>
      <c r="F51" s="39" t="s">
        <v>261</v>
      </c>
      <c r="G51" s="49">
        <v>34473</v>
      </c>
      <c r="H51" s="50" t="str">
        <f t="shared" si="0"/>
        <v>May</v>
      </c>
      <c r="I51" s="51">
        <f t="shared" ca="1" si="1"/>
        <v>22</v>
      </c>
      <c r="J51" s="52" t="s">
        <v>262</v>
      </c>
      <c r="K51" s="53">
        <v>16560</v>
      </c>
      <c r="L51" s="54">
        <v>3</v>
      </c>
      <c r="M51" s="55"/>
    </row>
    <row r="52" spans="1:17">
      <c r="A52" s="39" t="s">
        <v>326</v>
      </c>
      <c r="B52" s="46" t="s">
        <v>280</v>
      </c>
      <c r="C52" s="39" t="s">
        <v>312</v>
      </c>
      <c r="D52" s="72">
        <v>247276092</v>
      </c>
      <c r="E52" s="73">
        <v>2522636516</v>
      </c>
      <c r="F52" s="39" t="s">
        <v>247</v>
      </c>
      <c r="G52" s="49">
        <v>36120</v>
      </c>
      <c r="H52" s="50" t="str">
        <f t="shared" si="0"/>
        <v>Nov</v>
      </c>
      <c r="I52" s="51">
        <f t="shared" ca="1" si="1"/>
        <v>17</v>
      </c>
      <c r="J52" s="52"/>
      <c r="K52" s="53">
        <v>77270</v>
      </c>
      <c r="L52" s="54">
        <v>2</v>
      </c>
      <c r="M52" s="55"/>
      <c r="P52" s="75"/>
      <c r="Q52" s="75"/>
    </row>
    <row r="53" spans="1:17">
      <c r="A53" s="39" t="s">
        <v>327</v>
      </c>
      <c r="B53" s="46" t="s">
        <v>271</v>
      </c>
      <c r="C53" s="39" t="s">
        <v>312</v>
      </c>
      <c r="D53" s="72">
        <v>459522265</v>
      </c>
      <c r="E53" s="73">
        <v>2524633649</v>
      </c>
      <c r="F53" s="39" t="s">
        <v>256</v>
      </c>
      <c r="G53" s="49">
        <v>34576</v>
      </c>
      <c r="H53" s="50" t="str">
        <f t="shared" si="0"/>
        <v>Aug</v>
      </c>
      <c r="I53" s="51">
        <f t="shared" ca="1" si="1"/>
        <v>22</v>
      </c>
      <c r="J53" s="52" t="s">
        <v>262</v>
      </c>
      <c r="K53" s="53">
        <v>73680</v>
      </c>
      <c r="L53" s="54">
        <v>5</v>
      </c>
      <c r="M53" s="55"/>
    </row>
    <row r="54" spans="1:17">
      <c r="A54" s="39" t="s">
        <v>328</v>
      </c>
      <c r="B54" s="46" t="s">
        <v>245</v>
      </c>
      <c r="C54" s="39" t="s">
        <v>312</v>
      </c>
      <c r="D54" s="72">
        <v>339398339</v>
      </c>
      <c r="E54" s="73">
        <v>2527682821</v>
      </c>
      <c r="F54" s="39" t="s">
        <v>256</v>
      </c>
      <c r="G54" s="49">
        <v>36966</v>
      </c>
      <c r="H54" s="50" t="str">
        <f t="shared" si="0"/>
        <v>Mar</v>
      </c>
      <c r="I54" s="76">
        <f t="shared" ca="1" si="1"/>
        <v>15</v>
      </c>
      <c r="J54" s="77" t="s">
        <v>267</v>
      </c>
      <c r="K54" s="53">
        <v>41740</v>
      </c>
      <c r="L54" s="54">
        <v>4</v>
      </c>
      <c r="M54" s="55"/>
    </row>
    <row r="55" spans="1:17">
      <c r="A55" s="39" t="s">
        <v>329</v>
      </c>
      <c r="B55" s="46" t="s">
        <v>285</v>
      </c>
      <c r="C55" s="39" t="s">
        <v>312</v>
      </c>
      <c r="D55" s="72">
        <v>333947685</v>
      </c>
      <c r="E55" s="73">
        <v>9198314799</v>
      </c>
      <c r="F55" s="39" t="s">
        <v>256</v>
      </c>
      <c r="G55" s="49">
        <v>38349</v>
      </c>
      <c r="H55" s="50" t="str">
        <f t="shared" si="0"/>
        <v>Dec</v>
      </c>
      <c r="I55" s="51">
        <f t="shared" ca="1" si="1"/>
        <v>11</v>
      </c>
      <c r="J55" s="52" t="s">
        <v>262</v>
      </c>
      <c r="K55" s="53">
        <v>103060</v>
      </c>
      <c r="L55" s="54">
        <v>3</v>
      </c>
      <c r="M55" s="55"/>
    </row>
    <row r="56" spans="1:17">
      <c r="A56" s="39" t="s">
        <v>330</v>
      </c>
      <c r="B56" s="46" t="s">
        <v>245</v>
      </c>
      <c r="C56" s="39" t="s">
        <v>312</v>
      </c>
      <c r="D56" s="72">
        <v>721173550</v>
      </c>
      <c r="E56" s="73">
        <v>2528356334</v>
      </c>
      <c r="F56" s="39" t="s">
        <v>256</v>
      </c>
      <c r="G56" s="49">
        <v>34787</v>
      </c>
      <c r="H56" s="50" t="str">
        <f t="shared" si="0"/>
        <v>Mar</v>
      </c>
      <c r="I56" s="51">
        <f t="shared" ca="1" si="1"/>
        <v>21</v>
      </c>
      <c r="J56" s="52" t="s">
        <v>257</v>
      </c>
      <c r="K56" s="53">
        <v>85380</v>
      </c>
      <c r="L56" s="54">
        <v>2</v>
      </c>
      <c r="M56" s="55"/>
    </row>
    <row r="57" spans="1:17">
      <c r="A57" s="39" t="s">
        <v>331</v>
      </c>
      <c r="B57" s="46" t="s">
        <v>285</v>
      </c>
      <c r="C57" s="39" t="s">
        <v>312</v>
      </c>
      <c r="D57" s="72">
        <v>252276921</v>
      </c>
      <c r="E57" s="73">
        <v>2525777345</v>
      </c>
      <c r="F57" s="39" t="s">
        <v>256</v>
      </c>
      <c r="G57" s="49">
        <v>38786</v>
      </c>
      <c r="H57" s="50" t="str">
        <f t="shared" si="0"/>
        <v>Mar</v>
      </c>
      <c r="I57" s="51">
        <f t="shared" ca="1" si="1"/>
        <v>10</v>
      </c>
      <c r="J57" s="52" t="s">
        <v>283</v>
      </c>
      <c r="K57" s="53">
        <v>104740</v>
      </c>
      <c r="L57" s="54">
        <v>4</v>
      </c>
      <c r="M57" s="55"/>
      <c r="P57" s="75"/>
      <c r="Q57" s="75"/>
    </row>
    <row r="58" spans="1:17">
      <c r="A58" s="39" t="s">
        <v>332</v>
      </c>
      <c r="B58" s="46" t="s">
        <v>245</v>
      </c>
      <c r="C58" s="39" t="s">
        <v>312</v>
      </c>
      <c r="D58" s="72">
        <v>393393249</v>
      </c>
      <c r="E58" s="73">
        <v>9194980674</v>
      </c>
      <c r="F58" s="39" t="s">
        <v>247</v>
      </c>
      <c r="G58" s="49">
        <v>37471</v>
      </c>
      <c r="H58" s="50" t="str">
        <f t="shared" si="0"/>
        <v>Aug</v>
      </c>
      <c r="I58" s="51">
        <f t="shared" ca="1" si="1"/>
        <v>14</v>
      </c>
      <c r="J58" s="52"/>
      <c r="K58" s="53">
        <v>28270</v>
      </c>
      <c r="L58" s="54">
        <v>3</v>
      </c>
      <c r="M58" s="55"/>
    </row>
    <row r="59" spans="1:17">
      <c r="A59" s="39" t="s">
        <v>333</v>
      </c>
      <c r="B59" s="46" t="s">
        <v>251</v>
      </c>
      <c r="C59" s="39" t="s">
        <v>312</v>
      </c>
      <c r="D59" s="72">
        <v>344090854</v>
      </c>
      <c r="E59" s="73">
        <v>2523542524</v>
      </c>
      <c r="F59" s="39" t="s">
        <v>256</v>
      </c>
      <c r="G59" s="49">
        <v>36198</v>
      </c>
      <c r="H59" s="50" t="str">
        <f t="shared" si="0"/>
        <v>Feb</v>
      </c>
      <c r="I59" s="51">
        <f t="shared" ca="1" si="1"/>
        <v>17</v>
      </c>
      <c r="J59" s="52" t="s">
        <v>276</v>
      </c>
      <c r="K59" s="53">
        <v>98540</v>
      </c>
      <c r="L59" s="54">
        <v>5</v>
      </c>
      <c r="M59" s="55"/>
      <c r="P59" s="75"/>
      <c r="Q59" s="75"/>
    </row>
    <row r="60" spans="1:17">
      <c r="A60" s="39" t="s">
        <v>334</v>
      </c>
      <c r="B60" s="46" t="s">
        <v>245</v>
      </c>
      <c r="C60" s="39" t="s">
        <v>312</v>
      </c>
      <c r="D60" s="72">
        <v>733413074</v>
      </c>
      <c r="E60" s="73">
        <v>9192224790</v>
      </c>
      <c r="F60" s="39" t="s">
        <v>247</v>
      </c>
      <c r="G60" s="49">
        <v>39971</v>
      </c>
      <c r="H60" s="50" t="str">
        <f t="shared" si="0"/>
        <v>Jun</v>
      </c>
      <c r="I60" s="51">
        <f t="shared" ca="1" si="1"/>
        <v>7</v>
      </c>
      <c r="J60" s="52"/>
      <c r="K60" s="53">
        <v>99680</v>
      </c>
      <c r="L60" s="54">
        <v>3</v>
      </c>
      <c r="M60" s="55"/>
    </row>
    <row r="61" spans="1:17">
      <c r="A61" s="39" t="s">
        <v>335</v>
      </c>
      <c r="B61" s="46" t="s">
        <v>285</v>
      </c>
      <c r="C61" s="39" t="s">
        <v>312</v>
      </c>
      <c r="D61" s="72">
        <v>164904130</v>
      </c>
      <c r="E61" s="73">
        <v>2528046670</v>
      </c>
      <c r="F61" s="39" t="s">
        <v>247</v>
      </c>
      <c r="G61" s="49">
        <v>36570</v>
      </c>
      <c r="H61" s="50" t="str">
        <f t="shared" si="0"/>
        <v>Feb</v>
      </c>
      <c r="I61" s="51">
        <f t="shared" ca="1" si="1"/>
        <v>16</v>
      </c>
      <c r="J61" s="52"/>
      <c r="K61" s="53">
        <v>101040</v>
      </c>
      <c r="L61" s="54">
        <v>2</v>
      </c>
      <c r="M61" s="55"/>
      <c r="N61" s="63"/>
      <c r="O61" s="75"/>
    </row>
    <row r="62" spans="1:17">
      <c r="A62" s="39" t="s">
        <v>336</v>
      </c>
      <c r="B62" s="46" t="s">
        <v>271</v>
      </c>
      <c r="C62" s="39" t="s">
        <v>312</v>
      </c>
      <c r="D62" s="72">
        <v>504735443</v>
      </c>
      <c r="E62" s="73">
        <v>9191629556</v>
      </c>
      <c r="F62" s="39" t="s">
        <v>247</v>
      </c>
      <c r="G62" s="49">
        <v>36903</v>
      </c>
      <c r="H62" s="50" t="str">
        <f t="shared" si="0"/>
        <v>Jan</v>
      </c>
      <c r="I62" s="51">
        <f t="shared" ca="1" si="1"/>
        <v>15</v>
      </c>
      <c r="J62" s="52"/>
      <c r="K62" s="53">
        <v>76010</v>
      </c>
      <c r="L62" s="54">
        <v>3</v>
      </c>
      <c r="M62" s="55"/>
    </row>
    <row r="63" spans="1:17">
      <c r="A63" s="39" t="s">
        <v>337</v>
      </c>
      <c r="B63" s="46" t="s">
        <v>271</v>
      </c>
      <c r="C63" s="39" t="s">
        <v>312</v>
      </c>
      <c r="D63" s="72">
        <v>831188207</v>
      </c>
      <c r="E63" s="73">
        <v>9192121334</v>
      </c>
      <c r="F63" s="39" t="s">
        <v>256</v>
      </c>
      <c r="G63" s="49">
        <v>38242</v>
      </c>
      <c r="H63" s="50" t="str">
        <f t="shared" si="0"/>
        <v>Sep</v>
      </c>
      <c r="I63" s="51">
        <f t="shared" ca="1" si="1"/>
        <v>12</v>
      </c>
      <c r="J63" s="52" t="s">
        <v>257</v>
      </c>
      <c r="K63" s="53">
        <v>86340</v>
      </c>
      <c r="L63" s="54">
        <v>5</v>
      </c>
      <c r="M63" s="55"/>
    </row>
    <row r="64" spans="1:17">
      <c r="A64" s="39" t="s">
        <v>338</v>
      </c>
      <c r="B64" s="46" t="s">
        <v>285</v>
      </c>
      <c r="C64" s="39" t="s">
        <v>312</v>
      </c>
      <c r="D64" s="72">
        <v>856215418</v>
      </c>
      <c r="E64" s="73">
        <v>2526168483</v>
      </c>
      <c r="F64" s="39" t="s">
        <v>252</v>
      </c>
      <c r="G64" s="49">
        <v>37603</v>
      </c>
      <c r="H64" s="50" t="str">
        <f t="shared" si="0"/>
        <v>Dec</v>
      </c>
      <c r="I64" s="51">
        <f t="shared" ca="1" si="1"/>
        <v>13</v>
      </c>
      <c r="J64" s="52"/>
      <c r="K64" s="53">
        <v>36100</v>
      </c>
      <c r="L64" s="54">
        <v>3</v>
      </c>
      <c r="M64" s="55"/>
    </row>
    <row r="65" spans="1:15">
      <c r="A65" s="39" t="s">
        <v>339</v>
      </c>
      <c r="B65" s="46" t="s">
        <v>245</v>
      </c>
      <c r="C65" s="39" t="s">
        <v>312</v>
      </c>
      <c r="D65" s="72">
        <v>822974734</v>
      </c>
      <c r="E65" s="73">
        <v>2524924736</v>
      </c>
      <c r="F65" s="39" t="s">
        <v>252</v>
      </c>
      <c r="G65" s="49">
        <v>37488</v>
      </c>
      <c r="H65" s="50" t="str">
        <f t="shared" si="0"/>
        <v>Aug</v>
      </c>
      <c r="I65" s="51">
        <f t="shared" ca="1" si="1"/>
        <v>14</v>
      </c>
      <c r="J65" s="52"/>
      <c r="K65" s="53">
        <v>39670</v>
      </c>
      <c r="L65" s="54">
        <v>5</v>
      </c>
      <c r="M65" s="55"/>
    </row>
    <row r="66" spans="1:15">
      <c r="A66" s="39" t="s">
        <v>340</v>
      </c>
      <c r="B66" s="46" t="s">
        <v>285</v>
      </c>
      <c r="C66" s="39" t="s">
        <v>312</v>
      </c>
      <c r="D66" s="72">
        <v>129397083</v>
      </c>
      <c r="E66" s="73">
        <v>2521391475</v>
      </c>
      <c r="F66" s="39" t="s">
        <v>256</v>
      </c>
      <c r="G66" s="49">
        <v>41597</v>
      </c>
      <c r="H66" s="50" t="str">
        <f t="shared" ref="H66:H129" si="2">CHOOSE(MONTH(G66),"Jan","Feb","Mar","Apr","May","Jun","Jul","Aug","Sep","Oct","Nov","Dec")</f>
        <v>Nov</v>
      </c>
      <c r="I66" s="51">
        <f t="shared" ref="I66:I129" ca="1" si="3">DATEDIF(G66,TODAY(),"Y")</f>
        <v>2</v>
      </c>
      <c r="J66" s="52" t="s">
        <v>267</v>
      </c>
      <c r="K66" s="53">
        <v>82690</v>
      </c>
      <c r="L66" s="54">
        <v>5</v>
      </c>
      <c r="M66" s="55"/>
    </row>
    <row r="67" spans="1:15">
      <c r="A67" s="39" t="s">
        <v>341</v>
      </c>
      <c r="B67" s="46" t="s">
        <v>245</v>
      </c>
      <c r="C67" s="39" t="s">
        <v>312</v>
      </c>
      <c r="D67" s="72">
        <v>126492342</v>
      </c>
      <c r="E67" s="73">
        <v>9196299247</v>
      </c>
      <c r="F67" s="39" t="s">
        <v>252</v>
      </c>
      <c r="G67" s="49">
        <v>37060</v>
      </c>
      <c r="H67" s="50" t="str">
        <f t="shared" si="2"/>
        <v>Jun</v>
      </c>
      <c r="I67" s="51">
        <f t="shared" ca="1" si="3"/>
        <v>15</v>
      </c>
      <c r="J67" s="52"/>
      <c r="K67" s="53">
        <v>22200</v>
      </c>
      <c r="L67" s="54">
        <v>5</v>
      </c>
      <c r="M67" s="55"/>
    </row>
    <row r="68" spans="1:15">
      <c r="A68" s="39" t="s">
        <v>342</v>
      </c>
      <c r="B68" s="46" t="s">
        <v>285</v>
      </c>
      <c r="C68" s="39" t="s">
        <v>312</v>
      </c>
      <c r="D68" s="72">
        <v>653843221</v>
      </c>
      <c r="E68" s="73">
        <v>9197713771</v>
      </c>
      <c r="F68" s="39" t="s">
        <v>247</v>
      </c>
      <c r="G68" s="49">
        <v>40960</v>
      </c>
      <c r="H68" s="50" t="str">
        <f t="shared" si="2"/>
        <v>Feb</v>
      </c>
      <c r="I68" s="51">
        <f t="shared" ca="1" si="3"/>
        <v>4</v>
      </c>
      <c r="J68" s="52"/>
      <c r="K68" s="53">
        <v>95350</v>
      </c>
      <c r="L68" s="54">
        <v>5</v>
      </c>
      <c r="M68" s="55"/>
    </row>
    <row r="69" spans="1:15">
      <c r="A69" s="39" t="s">
        <v>343</v>
      </c>
      <c r="B69" s="46" t="s">
        <v>271</v>
      </c>
      <c r="C69" s="39" t="s">
        <v>312</v>
      </c>
      <c r="D69" s="72">
        <v>631405285</v>
      </c>
      <c r="E69" s="73">
        <v>2527491979</v>
      </c>
      <c r="F69" s="39" t="s">
        <v>256</v>
      </c>
      <c r="G69" s="49">
        <v>34528</v>
      </c>
      <c r="H69" s="50" t="str">
        <f t="shared" si="2"/>
        <v>Jul</v>
      </c>
      <c r="I69" s="51">
        <f t="shared" ca="1" si="3"/>
        <v>22</v>
      </c>
      <c r="J69" s="52" t="s">
        <v>283</v>
      </c>
      <c r="K69" s="53">
        <v>103100</v>
      </c>
      <c r="L69" s="54">
        <v>4</v>
      </c>
      <c r="M69" s="55"/>
    </row>
    <row r="70" spans="1:15">
      <c r="A70" s="39" t="s">
        <v>344</v>
      </c>
      <c r="B70" s="46" t="s">
        <v>271</v>
      </c>
      <c r="C70" s="39" t="s">
        <v>312</v>
      </c>
      <c r="D70" s="72">
        <v>639314672</v>
      </c>
      <c r="E70" s="73">
        <v>9191919478</v>
      </c>
      <c r="F70" s="39" t="s">
        <v>261</v>
      </c>
      <c r="G70" s="49">
        <v>36843</v>
      </c>
      <c r="H70" s="50" t="str">
        <f t="shared" si="2"/>
        <v>Nov</v>
      </c>
      <c r="I70" s="51">
        <f t="shared" ca="1" si="3"/>
        <v>15</v>
      </c>
      <c r="J70" s="52" t="s">
        <v>276</v>
      </c>
      <c r="K70" s="53">
        <v>28060</v>
      </c>
      <c r="L70" s="54">
        <v>4</v>
      </c>
      <c r="M70" s="55"/>
    </row>
    <row r="71" spans="1:15">
      <c r="A71" s="39" t="s">
        <v>345</v>
      </c>
      <c r="B71" s="46" t="s">
        <v>285</v>
      </c>
      <c r="C71" s="39" t="s">
        <v>312</v>
      </c>
      <c r="D71" s="72">
        <v>349979288</v>
      </c>
      <c r="E71" s="73">
        <v>9194629972</v>
      </c>
      <c r="F71" s="39" t="s">
        <v>256</v>
      </c>
      <c r="G71" s="49">
        <v>38019</v>
      </c>
      <c r="H71" s="50" t="str">
        <f t="shared" si="2"/>
        <v>Feb</v>
      </c>
      <c r="I71" s="51">
        <f t="shared" ca="1" si="3"/>
        <v>12</v>
      </c>
      <c r="J71" s="52" t="s">
        <v>283</v>
      </c>
      <c r="K71" s="53">
        <v>34380</v>
      </c>
      <c r="L71" s="54">
        <v>4</v>
      </c>
      <c r="M71" s="55"/>
    </row>
    <row r="72" spans="1:15">
      <c r="A72" s="39" t="s">
        <v>346</v>
      </c>
      <c r="B72" s="46" t="s">
        <v>245</v>
      </c>
      <c r="C72" s="39" t="s">
        <v>312</v>
      </c>
      <c r="D72" s="72">
        <v>936730279</v>
      </c>
      <c r="E72" s="73">
        <v>2528033253</v>
      </c>
      <c r="F72" s="39" t="s">
        <v>261</v>
      </c>
      <c r="G72" s="49">
        <v>36518</v>
      </c>
      <c r="H72" s="50" t="str">
        <f t="shared" si="2"/>
        <v>Dec</v>
      </c>
      <c r="I72" s="51">
        <f t="shared" ca="1" si="3"/>
        <v>16</v>
      </c>
      <c r="J72" s="52" t="s">
        <v>267</v>
      </c>
      <c r="K72" s="53">
        <v>58100</v>
      </c>
      <c r="L72" s="54">
        <v>4</v>
      </c>
      <c r="M72" s="55"/>
    </row>
    <row r="73" spans="1:15">
      <c r="A73" s="39" t="s">
        <v>347</v>
      </c>
      <c r="B73" s="46" t="s">
        <v>245</v>
      </c>
      <c r="C73" s="39" t="s">
        <v>312</v>
      </c>
      <c r="D73" s="72">
        <v>787156286</v>
      </c>
      <c r="E73" s="73">
        <v>2524588703</v>
      </c>
      <c r="F73" s="39" t="s">
        <v>256</v>
      </c>
      <c r="G73" s="49">
        <v>34349</v>
      </c>
      <c r="H73" s="50" t="str">
        <f t="shared" si="2"/>
        <v>Jan</v>
      </c>
      <c r="I73" s="51">
        <f t="shared" ca="1" si="3"/>
        <v>22</v>
      </c>
      <c r="J73" s="52" t="s">
        <v>276</v>
      </c>
      <c r="K73" s="53">
        <v>59770</v>
      </c>
      <c r="L73" s="54">
        <v>2</v>
      </c>
      <c r="M73" s="55"/>
    </row>
    <row r="74" spans="1:15">
      <c r="A74" s="39" t="s">
        <v>348</v>
      </c>
      <c r="B74" s="46" t="s">
        <v>245</v>
      </c>
      <c r="C74" s="39" t="s">
        <v>312</v>
      </c>
      <c r="D74" s="72">
        <v>474999228</v>
      </c>
      <c r="E74" s="73">
        <v>9193848677</v>
      </c>
      <c r="F74" s="39" t="s">
        <v>247</v>
      </c>
      <c r="G74" s="49">
        <v>37088</v>
      </c>
      <c r="H74" s="50" t="str">
        <f t="shared" si="2"/>
        <v>Jul</v>
      </c>
      <c r="I74" s="51">
        <f t="shared" ca="1" si="3"/>
        <v>15</v>
      </c>
      <c r="J74" s="52"/>
      <c r="K74" s="53">
        <v>92320</v>
      </c>
      <c r="L74" s="54">
        <v>1</v>
      </c>
      <c r="M74" s="55"/>
    </row>
    <row r="75" spans="1:15">
      <c r="A75" s="39" t="s">
        <v>349</v>
      </c>
      <c r="B75" s="46" t="s">
        <v>251</v>
      </c>
      <c r="C75" s="39" t="s">
        <v>312</v>
      </c>
      <c r="D75" s="72">
        <v>403504590</v>
      </c>
      <c r="E75" s="73">
        <v>9192400511</v>
      </c>
      <c r="F75" s="39" t="s">
        <v>247</v>
      </c>
      <c r="G75" s="49">
        <v>34679</v>
      </c>
      <c r="H75" s="50" t="str">
        <f t="shared" si="2"/>
        <v>Dec</v>
      </c>
      <c r="I75" s="51">
        <f t="shared" ca="1" si="3"/>
        <v>21</v>
      </c>
      <c r="J75" s="52"/>
      <c r="K75" s="53">
        <v>77350</v>
      </c>
      <c r="L75" s="54">
        <v>1</v>
      </c>
      <c r="M75" s="55"/>
    </row>
    <row r="76" spans="1:15">
      <c r="A76" s="39" t="s">
        <v>350</v>
      </c>
      <c r="B76" s="46" t="s">
        <v>285</v>
      </c>
      <c r="C76" s="39" t="s">
        <v>312</v>
      </c>
      <c r="D76" s="72">
        <v>951516517</v>
      </c>
      <c r="E76" s="73">
        <v>2524936058</v>
      </c>
      <c r="F76" s="39" t="s">
        <v>256</v>
      </c>
      <c r="G76" s="49">
        <v>34896</v>
      </c>
      <c r="H76" s="50" t="str">
        <f t="shared" si="2"/>
        <v>Jul</v>
      </c>
      <c r="I76" s="51">
        <f t="shared" ca="1" si="3"/>
        <v>21</v>
      </c>
      <c r="J76" s="52" t="s">
        <v>283</v>
      </c>
      <c r="K76" s="53">
        <v>86000</v>
      </c>
      <c r="L76" s="54">
        <v>4</v>
      </c>
      <c r="M76" s="55"/>
    </row>
    <row r="77" spans="1:15">
      <c r="A77" s="39" t="s">
        <v>351</v>
      </c>
      <c r="B77" s="46" t="s">
        <v>271</v>
      </c>
      <c r="C77" s="39" t="s">
        <v>312</v>
      </c>
      <c r="D77" s="72">
        <v>873100939</v>
      </c>
      <c r="E77" s="73">
        <v>9191259179</v>
      </c>
      <c r="F77" s="39" t="s">
        <v>256</v>
      </c>
      <c r="G77" s="49">
        <v>41086</v>
      </c>
      <c r="H77" s="50" t="str">
        <f t="shared" si="2"/>
        <v>Jun</v>
      </c>
      <c r="I77" s="51">
        <f t="shared" ca="1" si="3"/>
        <v>4</v>
      </c>
      <c r="J77" s="52" t="s">
        <v>257</v>
      </c>
      <c r="K77" s="53">
        <v>49790</v>
      </c>
      <c r="L77" s="54">
        <v>5</v>
      </c>
      <c r="M77" s="55"/>
    </row>
    <row r="78" spans="1:15">
      <c r="A78" s="39" t="s">
        <v>352</v>
      </c>
      <c r="B78" s="46" t="s">
        <v>285</v>
      </c>
      <c r="C78" s="39" t="s">
        <v>312</v>
      </c>
      <c r="D78" s="72">
        <v>571120098</v>
      </c>
      <c r="E78" s="73">
        <v>2525789252</v>
      </c>
      <c r="F78" s="39" t="s">
        <v>256</v>
      </c>
      <c r="G78" s="49">
        <v>36830</v>
      </c>
      <c r="H78" s="50" t="str">
        <f t="shared" si="2"/>
        <v>Oct</v>
      </c>
      <c r="I78" s="51">
        <f t="shared" ca="1" si="3"/>
        <v>16</v>
      </c>
      <c r="J78" s="52" t="s">
        <v>257</v>
      </c>
      <c r="K78" s="53">
        <v>73240</v>
      </c>
      <c r="L78" s="54">
        <v>3</v>
      </c>
      <c r="M78" s="55"/>
      <c r="N78" s="63"/>
      <c r="O78" s="75"/>
    </row>
    <row r="79" spans="1:15">
      <c r="A79" s="39" t="s">
        <v>353</v>
      </c>
      <c r="B79" s="46" t="s">
        <v>271</v>
      </c>
      <c r="C79" s="39" t="s">
        <v>312</v>
      </c>
      <c r="D79" s="72">
        <v>627678686</v>
      </c>
      <c r="E79" s="73">
        <v>2526101454</v>
      </c>
      <c r="F79" s="39" t="s">
        <v>247</v>
      </c>
      <c r="G79" s="49">
        <v>36506</v>
      </c>
      <c r="H79" s="50" t="str">
        <f t="shared" si="2"/>
        <v>Dec</v>
      </c>
      <c r="I79" s="51">
        <f t="shared" ca="1" si="3"/>
        <v>16</v>
      </c>
      <c r="J79" s="52"/>
      <c r="K79" s="53">
        <v>89690</v>
      </c>
      <c r="L79" s="54">
        <v>5</v>
      </c>
      <c r="M79" s="55"/>
    </row>
    <row r="80" spans="1:15">
      <c r="A80" s="39" t="s">
        <v>354</v>
      </c>
      <c r="B80" s="46" t="s">
        <v>285</v>
      </c>
      <c r="C80" s="39" t="s">
        <v>312</v>
      </c>
      <c r="D80" s="72">
        <v>667812117</v>
      </c>
      <c r="E80" s="73">
        <v>2526396432</v>
      </c>
      <c r="F80" s="39" t="s">
        <v>256</v>
      </c>
      <c r="G80" s="49">
        <v>34747</v>
      </c>
      <c r="H80" s="50" t="str">
        <f t="shared" si="2"/>
        <v>Feb</v>
      </c>
      <c r="I80" s="51">
        <f t="shared" ca="1" si="3"/>
        <v>21</v>
      </c>
      <c r="J80" s="52" t="s">
        <v>262</v>
      </c>
      <c r="K80" s="53">
        <v>38200</v>
      </c>
      <c r="L80" s="54">
        <v>3</v>
      </c>
      <c r="M80" s="55"/>
    </row>
    <row r="81" spans="1:13">
      <c r="A81" s="39" t="s">
        <v>355</v>
      </c>
      <c r="B81" s="46" t="s">
        <v>271</v>
      </c>
      <c r="C81" s="39" t="s">
        <v>312</v>
      </c>
      <c r="D81" s="72">
        <v>148899089</v>
      </c>
      <c r="E81" s="73">
        <v>2524734960</v>
      </c>
      <c r="F81" s="39" t="s">
        <v>261</v>
      </c>
      <c r="G81" s="49">
        <v>35167</v>
      </c>
      <c r="H81" s="50" t="str">
        <f t="shared" si="2"/>
        <v>Apr</v>
      </c>
      <c r="I81" s="51">
        <f t="shared" ca="1" si="3"/>
        <v>20</v>
      </c>
      <c r="J81" s="52" t="s">
        <v>257</v>
      </c>
      <c r="K81" s="53">
        <v>32270</v>
      </c>
      <c r="L81" s="54">
        <v>3</v>
      </c>
      <c r="M81" s="55"/>
    </row>
    <row r="82" spans="1:13">
      <c r="A82" s="39" t="s">
        <v>356</v>
      </c>
      <c r="B82" s="46" t="s">
        <v>285</v>
      </c>
      <c r="C82" s="39" t="s">
        <v>312</v>
      </c>
      <c r="D82" s="72">
        <v>411058865</v>
      </c>
      <c r="E82" s="73">
        <v>2523883919</v>
      </c>
      <c r="F82" s="39" t="s">
        <v>256</v>
      </c>
      <c r="G82" s="49">
        <v>38009</v>
      </c>
      <c r="H82" s="50" t="str">
        <f t="shared" si="2"/>
        <v>Jan</v>
      </c>
      <c r="I82" s="51">
        <f t="shared" ca="1" si="3"/>
        <v>12</v>
      </c>
      <c r="J82" s="52" t="s">
        <v>257</v>
      </c>
      <c r="K82" s="53">
        <v>32620</v>
      </c>
      <c r="L82" s="54">
        <v>4</v>
      </c>
      <c r="M82" s="55"/>
    </row>
    <row r="83" spans="1:13">
      <c r="A83" s="39" t="s">
        <v>357</v>
      </c>
      <c r="B83" s="46" t="s">
        <v>285</v>
      </c>
      <c r="C83" s="39" t="s">
        <v>312</v>
      </c>
      <c r="D83" s="72">
        <v>870106287</v>
      </c>
      <c r="E83" s="73">
        <v>2528611970</v>
      </c>
      <c r="F83" s="39" t="s">
        <v>261</v>
      </c>
      <c r="G83" s="49">
        <v>35549</v>
      </c>
      <c r="H83" s="50" t="str">
        <f t="shared" si="2"/>
        <v>Apr</v>
      </c>
      <c r="I83" s="51">
        <f t="shared" ca="1" si="3"/>
        <v>19</v>
      </c>
      <c r="J83" s="52" t="s">
        <v>276</v>
      </c>
      <c r="K83" s="53">
        <v>46700</v>
      </c>
      <c r="L83" s="54">
        <v>4</v>
      </c>
      <c r="M83" s="55"/>
    </row>
    <row r="84" spans="1:13">
      <c r="A84" s="39" t="s">
        <v>358</v>
      </c>
      <c r="B84" s="46" t="s">
        <v>266</v>
      </c>
      <c r="C84" s="39" t="s">
        <v>312</v>
      </c>
      <c r="D84" s="72">
        <v>867671341</v>
      </c>
      <c r="E84" s="73">
        <v>2528317543</v>
      </c>
      <c r="F84" s="39" t="s">
        <v>261</v>
      </c>
      <c r="G84" s="49">
        <v>37897</v>
      </c>
      <c r="H84" s="50" t="str">
        <f t="shared" si="2"/>
        <v>Oct</v>
      </c>
      <c r="I84" s="51">
        <f t="shared" ca="1" si="3"/>
        <v>13</v>
      </c>
      <c r="J84" s="52" t="s">
        <v>257</v>
      </c>
      <c r="K84" s="53">
        <v>42340</v>
      </c>
      <c r="L84" s="54">
        <v>3</v>
      </c>
      <c r="M84" s="55"/>
    </row>
    <row r="85" spans="1:13">
      <c r="A85" s="39" t="s">
        <v>359</v>
      </c>
      <c r="B85" s="46" t="s">
        <v>245</v>
      </c>
      <c r="C85" s="39" t="s">
        <v>312</v>
      </c>
      <c r="D85" s="72">
        <v>676534152</v>
      </c>
      <c r="E85" s="73">
        <v>9194416232</v>
      </c>
      <c r="F85" s="39" t="s">
        <v>256</v>
      </c>
      <c r="G85" s="49">
        <v>41293</v>
      </c>
      <c r="H85" s="50" t="str">
        <f t="shared" si="2"/>
        <v>Jan</v>
      </c>
      <c r="I85" s="51">
        <f t="shared" ca="1" si="3"/>
        <v>3</v>
      </c>
      <c r="J85" s="52" t="s">
        <v>257</v>
      </c>
      <c r="K85" s="53">
        <v>27940</v>
      </c>
      <c r="L85" s="54">
        <v>1</v>
      </c>
      <c r="M85" s="55"/>
    </row>
    <row r="86" spans="1:13">
      <c r="A86" s="39" t="s">
        <v>360</v>
      </c>
      <c r="B86" s="46" t="s">
        <v>285</v>
      </c>
      <c r="C86" s="39" t="s">
        <v>312</v>
      </c>
      <c r="D86" s="72">
        <v>427811310</v>
      </c>
      <c r="E86" s="73">
        <v>9191362796</v>
      </c>
      <c r="F86" s="39" t="s">
        <v>247</v>
      </c>
      <c r="G86" s="49">
        <v>36256</v>
      </c>
      <c r="H86" s="50" t="str">
        <f t="shared" si="2"/>
        <v>Apr</v>
      </c>
      <c r="I86" s="51">
        <f t="shared" ca="1" si="3"/>
        <v>17</v>
      </c>
      <c r="J86" s="52"/>
      <c r="K86" s="53">
        <v>107170</v>
      </c>
      <c r="L86" s="54">
        <v>5</v>
      </c>
      <c r="M86" s="55"/>
    </row>
    <row r="87" spans="1:13">
      <c r="A87" s="39" t="s">
        <v>361</v>
      </c>
      <c r="B87" s="46" t="s">
        <v>271</v>
      </c>
      <c r="C87" s="39" t="s">
        <v>312</v>
      </c>
      <c r="D87" s="72">
        <v>721169660</v>
      </c>
      <c r="E87" s="73">
        <v>2526711140</v>
      </c>
      <c r="F87" s="39" t="s">
        <v>256</v>
      </c>
      <c r="G87" s="49">
        <v>41275</v>
      </c>
      <c r="H87" s="50" t="str">
        <f t="shared" si="2"/>
        <v>Jan</v>
      </c>
      <c r="I87" s="51">
        <f t="shared" ca="1" si="3"/>
        <v>3</v>
      </c>
      <c r="J87" s="52" t="s">
        <v>262</v>
      </c>
      <c r="K87" s="53">
        <v>46480</v>
      </c>
      <c r="L87" s="54">
        <v>1</v>
      </c>
      <c r="M87" s="55"/>
    </row>
    <row r="88" spans="1:13">
      <c r="A88" s="39" t="s">
        <v>362</v>
      </c>
      <c r="B88" s="46" t="s">
        <v>266</v>
      </c>
      <c r="C88" s="39" t="s">
        <v>312</v>
      </c>
      <c r="D88" s="72">
        <v>600458368</v>
      </c>
      <c r="E88" s="73">
        <v>9197280453</v>
      </c>
      <c r="F88" s="39" t="s">
        <v>261</v>
      </c>
      <c r="G88" s="49">
        <v>40803</v>
      </c>
      <c r="H88" s="50" t="str">
        <f t="shared" si="2"/>
        <v>Sep</v>
      </c>
      <c r="I88" s="51">
        <f t="shared" ca="1" si="3"/>
        <v>5</v>
      </c>
      <c r="J88" s="52" t="s">
        <v>276</v>
      </c>
      <c r="K88" s="53">
        <v>27040</v>
      </c>
      <c r="L88" s="54">
        <v>3</v>
      </c>
      <c r="M88" s="55"/>
    </row>
    <row r="89" spans="1:13">
      <c r="A89" s="39" t="s">
        <v>363</v>
      </c>
      <c r="B89" s="46" t="s">
        <v>280</v>
      </c>
      <c r="C89" s="39" t="s">
        <v>312</v>
      </c>
      <c r="D89" s="72">
        <v>683222853</v>
      </c>
      <c r="E89" s="73">
        <v>9196224056</v>
      </c>
      <c r="F89" s="39" t="s">
        <v>247</v>
      </c>
      <c r="G89" s="49">
        <v>40923</v>
      </c>
      <c r="H89" s="50" t="str">
        <f t="shared" si="2"/>
        <v>Jan</v>
      </c>
      <c r="I89" s="51">
        <f t="shared" ca="1" si="3"/>
        <v>4</v>
      </c>
      <c r="J89" s="52"/>
      <c r="K89" s="53">
        <v>30950</v>
      </c>
      <c r="L89" s="54">
        <v>3</v>
      </c>
      <c r="M89" s="55"/>
    </row>
    <row r="90" spans="1:13">
      <c r="A90" s="39" t="s">
        <v>364</v>
      </c>
      <c r="B90" s="46" t="s">
        <v>266</v>
      </c>
      <c r="C90" s="39" t="s">
        <v>312</v>
      </c>
      <c r="D90" s="72">
        <v>267218084</v>
      </c>
      <c r="E90" s="73">
        <v>9193825834</v>
      </c>
      <c r="F90" s="39" t="s">
        <v>247</v>
      </c>
      <c r="G90" s="49">
        <v>36941</v>
      </c>
      <c r="H90" s="50" t="str">
        <f t="shared" si="2"/>
        <v>Feb</v>
      </c>
      <c r="I90" s="51">
        <f t="shared" ca="1" si="3"/>
        <v>15</v>
      </c>
      <c r="J90" s="52"/>
      <c r="K90" s="53">
        <v>105600</v>
      </c>
      <c r="L90" s="54">
        <v>5</v>
      </c>
      <c r="M90" s="55"/>
    </row>
    <row r="91" spans="1:13">
      <c r="A91" s="39" t="s">
        <v>365</v>
      </c>
      <c r="B91" s="46" t="s">
        <v>251</v>
      </c>
      <c r="C91" s="39" t="s">
        <v>312</v>
      </c>
      <c r="D91" s="72">
        <v>877122222</v>
      </c>
      <c r="E91" s="73">
        <v>9195511103</v>
      </c>
      <c r="F91" s="39" t="s">
        <v>256</v>
      </c>
      <c r="G91" s="49">
        <v>41576</v>
      </c>
      <c r="H91" s="50" t="str">
        <f t="shared" si="2"/>
        <v>Oct</v>
      </c>
      <c r="I91" s="51">
        <f t="shared" ca="1" si="3"/>
        <v>3</v>
      </c>
      <c r="J91" s="52" t="s">
        <v>276</v>
      </c>
      <c r="K91" s="53">
        <v>89650</v>
      </c>
      <c r="L91" s="54">
        <v>2</v>
      </c>
      <c r="M91" s="55"/>
    </row>
    <row r="92" spans="1:13">
      <c r="A92" s="39" t="s">
        <v>366</v>
      </c>
      <c r="B92" s="46" t="s">
        <v>245</v>
      </c>
      <c r="C92" s="39" t="s">
        <v>312</v>
      </c>
      <c r="D92" s="72">
        <v>841913875</v>
      </c>
      <c r="E92" s="73">
        <v>2522511732</v>
      </c>
      <c r="F92" s="39" t="s">
        <v>247</v>
      </c>
      <c r="G92" s="49">
        <v>36161</v>
      </c>
      <c r="H92" s="50" t="str">
        <f t="shared" si="2"/>
        <v>Jan</v>
      </c>
      <c r="I92" s="51">
        <f t="shared" ca="1" si="3"/>
        <v>17</v>
      </c>
      <c r="J92" s="52"/>
      <c r="K92" s="53">
        <v>60660</v>
      </c>
      <c r="L92" s="54">
        <v>2</v>
      </c>
      <c r="M92" s="55"/>
    </row>
    <row r="93" spans="1:13">
      <c r="A93" s="39" t="s">
        <v>367</v>
      </c>
      <c r="B93" s="46" t="s">
        <v>245</v>
      </c>
      <c r="C93" s="39" t="s">
        <v>312</v>
      </c>
      <c r="D93" s="72">
        <v>648911225</v>
      </c>
      <c r="E93" s="73">
        <v>2525829090</v>
      </c>
      <c r="F93" s="39" t="s">
        <v>247</v>
      </c>
      <c r="G93" s="49">
        <v>34982</v>
      </c>
      <c r="H93" s="50" t="str">
        <f t="shared" si="2"/>
        <v>Oct</v>
      </c>
      <c r="I93" s="51">
        <f t="shared" ca="1" si="3"/>
        <v>21</v>
      </c>
      <c r="J93" s="52"/>
      <c r="K93" s="53">
        <v>99620</v>
      </c>
      <c r="L93" s="54">
        <v>4</v>
      </c>
      <c r="M93" s="55"/>
    </row>
    <row r="94" spans="1:13">
      <c r="A94" s="39" t="s">
        <v>368</v>
      </c>
      <c r="B94" s="46" t="s">
        <v>285</v>
      </c>
      <c r="C94" s="39" t="s">
        <v>312</v>
      </c>
      <c r="D94" s="72">
        <v>496260023</v>
      </c>
      <c r="E94" s="73">
        <v>2523962015</v>
      </c>
      <c r="F94" s="39" t="s">
        <v>256</v>
      </c>
      <c r="G94" s="49">
        <v>35475</v>
      </c>
      <c r="H94" s="50" t="str">
        <f t="shared" si="2"/>
        <v>Feb</v>
      </c>
      <c r="I94" s="51">
        <f t="shared" ca="1" si="3"/>
        <v>19</v>
      </c>
      <c r="J94" s="52" t="s">
        <v>262</v>
      </c>
      <c r="K94" s="53">
        <v>89600</v>
      </c>
      <c r="L94" s="54">
        <v>5</v>
      </c>
      <c r="M94" s="55"/>
    </row>
    <row r="95" spans="1:13">
      <c r="A95" s="39" t="s">
        <v>369</v>
      </c>
      <c r="B95" s="46" t="s">
        <v>245</v>
      </c>
      <c r="C95" s="39" t="s">
        <v>312</v>
      </c>
      <c r="D95" s="72">
        <v>415228597</v>
      </c>
      <c r="E95" s="73">
        <v>9196252690</v>
      </c>
      <c r="F95" s="39" t="s">
        <v>256</v>
      </c>
      <c r="G95" s="49">
        <v>36668</v>
      </c>
      <c r="H95" s="50" t="str">
        <f t="shared" si="2"/>
        <v>May</v>
      </c>
      <c r="I95" s="51">
        <f t="shared" ca="1" si="3"/>
        <v>16</v>
      </c>
      <c r="J95" s="52" t="s">
        <v>257</v>
      </c>
      <c r="K95" s="53">
        <v>49100</v>
      </c>
      <c r="L95" s="54">
        <v>4</v>
      </c>
      <c r="M95" s="55"/>
    </row>
    <row r="96" spans="1:13">
      <c r="A96" s="39" t="s">
        <v>370</v>
      </c>
      <c r="B96" s="46" t="s">
        <v>285</v>
      </c>
      <c r="C96" s="39" t="s">
        <v>312</v>
      </c>
      <c r="D96" s="72">
        <v>644862142</v>
      </c>
      <c r="E96" s="73">
        <v>9193274978</v>
      </c>
      <c r="F96" s="39" t="s">
        <v>247</v>
      </c>
      <c r="G96" s="49">
        <v>35652</v>
      </c>
      <c r="H96" s="50" t="str">
        <f t="shared" si="2"/>
        <v>Aug</v>
      </c>
      <c r="I96" s="51">
        <f t="shared" ca="1" si="3"/>
        <v>19</v>
      </c>
      <c r="J96" s="52"/>
      <c r="K96" s="53">
        <v>56000</v>
      </c>
      <c r="L96" s="54">
        <v>3</v>
      </c>
      <c r="M96" s="55"/>
    </row>
    <row r="97" spans="1:15">
      <c r="A97" s="39" t="s">
        <v>371</v>
      </c>
      <c r="B97" s="46" t="s">
        <v>251</v>
      </c>
      <c r="C97" s="39" t="s">
        <v>372</v>
      </c>
      <c r="D97" s="72">
        <v>640301378</v>
      </c>
      <c r="E97" s="73">
        <v>2524663056</v>
      </c>
      <c r="F97" s="39" t="s">
        <v>261</v>
      </c>
      <c r="G97" s="49">
        <v>41506</v>
      </c>
      <c r="H97" s="50" t="str">
        <f t="shared" si="2"/>
        <v>Aug</v>
      </c>
      <c r="I97" s="51">
        <f t="shared" ca="1" si="3"/>
        <v>3</v>
      </c>
      <c r="J97" s="52" t="s">
        <v>283</v>
      </c>
      <c r="K97" s="53">
        <v>55480</v>
      </c>
      <c r="L97" s="54">
        <v>2</v>
      </c>
      <c r="M97" s="55"/>
      <c r="O97" s="75"/>
    </row>
    <row r="98" spans="1:15">
      <c r="A98" s="39" t="s">
        <v>373</v>
      </c>
      <c r="B98" s="46" t="s">
        <v>271</v>
      </c>
      <c r="C98" s="39" t="s">
        <v>372</v>
      </c>
      <c r="D98" s="72">
        <v>759350847</v>
      </c>
      <c r="E98" s="73">
        <v>2527474942</v>
      </c>
      <c r="F98" s="39" t="s">
        <v>256</v>
      </c>
      <c r="G98" s="49">
        <v>39398</v>
      </c>
      <c r="H98" s="50" t="str">
        <f t="shared" si="2"/>
        <v>Nov</v>
      </c>
      <c r="I98" s="51">
        <f t="shared" ca="1" si="3"/>
        <v>8</v>
      </c>
      <c r="J98" s="52" t="s">
        <v>257</v>
      </c>
      <c r="K98" s="53">
        <v>43960</v>
      </c>
      <c r="L98" s="54">
        <v>4</v>
      </c>
      <c r="M98" s="55"/>
    </row>
    <row r="99" spans="1:15">
      <c r="A99" s="39" t="s">
        <v>374</v>
      </c>
      <c r="B99" s="46" t="s">
        <v>285</v>
      </c>
      <c r="C99" s="39" t="s">
        <v>372</v>
      </c>
      <c r="D99" s="72">
        <v>920505896</v>
      </c>
      <c r="E99" s="73">
        <v>2523173691</v>
      </c>
      <c r="F99" s="39" t="s">
        <v>247</v>
      </c>
      <c r="G99" s="49">
        <v>39756</v>
      </c>
      <c r="H99" s="50" t="str">
        <f t="shared" si="2"/>
        <v>Nov</v>
      </c>
      <c r="I99" s="51">
        <f t="shared" ca="1" si="3"/>
        <v>8</v>
      </c>
      <c r="J99" s="52"/>
      <c r="K99" s="53">
        <v>94630</v>
      </c>
      <c r="L99" s="54">
        <v>2</v>
      </c>
      <c r="M99" s="55"/>
    </row>
    <row r="100" spans="1:15">
      <c r="A100" s="39" t="s">
        <v>375</v>
      </c>
      <c r="B100" s="46" t="s">
        <v>285</v>
      </c>
      <c r="C100" s="39" t="s">
        <v>372</v>
      </c>
      <c r="D100" s="72">
        <v>272036635</v>
      </c>
      <c r="E100" s="73">
        <v>2521656242</v>
      </c>
      <c r="F100" s="39" t="s">
        <v>256</v>
      </c>
      <c r="G100" s="49">
        <v>38884</v>
      </c>
      <c r="H100" s="50" t="str">
        <f t="shared" si="2"/>
        <v>Jun</v>
      </c>
      <c r="I100" s="51">
        <f t="shared" ca="1" si="3"/>
        <v>10</v>
      </c>
      <c r="J100" s="52" t="s">
        <v>257</v>
      </c>
      <c r="K100" s="53">
        <v>103840</v>
      </c>
      <c r="L100" s="54">
        <v>1</v>
      </c>
      <c r="M100" s="55"/>
    </row>
    <row r="101" spans="1:15">
      <c r="A101" s="39" t="s">
        <v>376</v>
      </c>
      <c r="B101" s="46" t="s">
        <v>285</v>
      </c>
      <c r="C101" s="39" t="s">
        <v>372</v>
      </c>
      <c r="D101" s="72">
        <v>207506781</v>
      </c>
      <c r="E101" s="73">
        <v>9194125294</v>
      </c>
      <c r="F101" s="39" t="s">
        <v>256</v>
      </c>
      <c r="G101" s="49">
        <v>40924</v>
      </c>
      <c r="H101" s="50" t="str">
        <f t="shared" si="2"/>
        <v>Jan</v>
      </c>
      <c r="I101" s="51">
        <f t="shared" ca="1" si="3"/>
        <v>4</v>
      </c>
      <c r="J101" s="52" t="s">
        <v>257</v>
      </c>
      <c r="K101" s="53">
        <v>91730</v>
      </c>
      <c r="L101" s="54">
        <v>3</v>
      </c>
      <c r="M101" s="55"/>
    </row>
    <row r="102" spans="1:15">
      <c r="A102" s="39" t="s">
        <v>377</v>
      </c>
      <c r="B102" s="46" t="s">
        <v>271</v>
      </c>
      <c r="C102" s="39" t="s">
        <v>372</v>
      </c>
      <c r="D102" s="72">
        <v>106966222</v>
      </c>
      <c r="E102" s="73">
        <v>9198310129</v>
      </c>
      <c r="F102" s="39" t="s">
        <v>247</v>
      </c>
      <c r="G102" s="49">
        <v>40530</v>
      </c>
      <c r="H102" s="50" t="str">
        <f t="shared" si="2"/>
        <v>Dec</v>
      </c>
      <c r="I102" s="51">
        <f t="shared" ca="1" si="3"/>
        <v>5</v>
      </c>
      <c r="J102" s="52"/>
      <c r="K102" s="53">
        <v>42740</v>
      </c>
      <c r="L102" s="54">
        <v>4</v>
      </c>
      <c r="M102" s="55"/>
    </row>
    <row r="103" spans="1:15">
      <c r="A103" s="39" t="s">
        <v>378</v>
      </c>
      <c r="B103" s="46" t="s">
        <v>285</v>
      </c>
      <c r="C103" s="39" t="s">
        <v>372</v>
      </c>
      <c r="D103" s="72">
        <v>495042805</v>
      </c>
      <c r="E103" s="73">
        <v>9197146686</v>
      </c>
      <c r="F103" s="39" t="s">
        <v>247</v>
      </c>
      <c r="G103" s="49">
        <v>41254</v>
      </c>
      <c r="H103" s="50" t="str">
        <f t="shared" si="2"/>
        <v>Dec</v>
      </c>
      <c r="I103" s="51">
        <f t="shared" ca="1" si="3"/>
        <v>3</v>
      </c>
      <c r="J103" s="52"/>
      <c r="K103" s="53">
        <v>71220</v>
      </c>
      <c r="L103" s="54">
        <v>5</v>
      </c>
      <c r="M103" s="55"/>
    </row>
    <row r="104" spans="1:15">
      <c r="A104" s="39" t="s">
        <v>379</v>
      </c>
      <c r="B104" s="46" t="s">
        <v>280</v>
      </c>
      <c r="C104" s="39" t="s">
        <v>372</v>
      </c>
      <c r="D104" s="72">
        <v>676831149</v>
      </c>
      <c r="E104" s="73">
        <v>9192824485</v>
      </c>
      <c r="F104" s="39" t="s">
        <v>256</v>
      </c>
      <c r="G104" s="49">
        <v>40389</v>
      </c>
      <c r="H104" s="50" t="str">
        <f t="shared" si="2"/>
        <v>Jul</v>
      </c>
      <c r="I104" s="51">
        <f t="shared" ca="1" si="3"/>
        <v>6</v>
      </c>
      <c r="J104" s="52" t="s">
        <v>257</v>
      </c>
      <c r="K104" s="53">
        <v>85340</v>
      </c>
      <c r="L104" s="54">
        <v>4</v>
      </c>
      <c r="M104" s="55"/>
    </row>
    <row r="105" spans="1:15">
      <c r="A105" s="39" t="s">
        <v>380</v>
      </c>
      <c r="B105" s="46" t="s">
        <v>285</v>
      </c>
      <c r="C105" s="39" t="s">
        <v>381</v>
      </c>
      <c r="D105" s="72">
        <v>124203063</v>
      </c>
      <c r="E105" s="73">
        <v>9192229885</v>
      </c>
      <c r="F105" s="39" t="s">
        <v>261</v>
      </c>
      <c r="G105" s="49">
        <v>41573</v>
      </c>
      <c r="H105" s="50" t="str">
        <f t="shared" si="2"/>
        <v>Oct</v>
      </c>
      <c r="I105" s="51">
        <f t="shared" ca="1" si="3"/>
        <v>3</v>
      </c>
      <c r="J105" s="52" t="s">
        <v>283</v>
      </c>
      <c r="K105" s="53">
        <v>12620</v>
      </c>
      <c r="L105" s="54">
        <v>4</v>
      </c>
      <c r="M105" s="55"/>
      <c r="O105" s="75"/>
    </row>
    <row r="106" spans="1:15">
      <c r="A106" s="39" t="s">
        <v>382</v>
      </c>
      <c r="B106" s="46" t="s">
        <v>271</v>
      </c>
      <c r="C106" s="39" t="s">
        <v>381</v>
      </c>
      <c r="D106" s="72">
        <v>925049144</v>
      </c>
      <c r="E106" s="73">
        <v>2524752921</v>
      </c>
      <c r="F106" s="39" t="s">
        <v>256</v>
      </c>
      <c r="G106" s="49">
        <v>37250</v>
      </c>
      <c r="H106" s="50" t="str">
        <f t="shared" si="2"/>
        <v>Dec</v>
      </c>
      <c r="I106" s="51">
        <f t="shared" ca="1" si="3"/>
        <v>14</v>
      </c>
      <c r="J106" s="52" t="s">
        <v>257</v>
      </c>
      <c r="K106" s="53">
        <v>59830</v>
      </c>
      <c r="L106" s="54">
        <v>2</v>
      </c>
      <c r="M106" s="55"/>
    </row>
    <row r="107" spans="1:15">
      <c r="A107" s="39" t="s">
        <v>383</v>
      </c>
      <c r="B107" s="46" t="s">
        <v>280</v>
      </c>
      <c r="C107" s="39" t="s">
        <v>381</v>
      </c>
      <c r="D107" s="72">
        <v>313651312</v>
      </c>
      <c r="E107" s="73">
        <v>2526092172</v>
      </c>
      <c r="F107" s="39" t="s">
        <v>256</v>
      </c>
      <c r="G107" s="49">
        <v>37183</v>
      </c>
      <c r="H107" s="50" t="str">
        <f t="shared" si="2"/>
        <v>Oct</v>
      </c>
      <c r="I107" s="51">
        <f t="shared" ca="1" si="3"/>
        <v>15</v>
      </c>
      <c r="J107" s="52" t="s">
        <v>283</v>
      </c>
      <c r="K107" s="53">
        <v>81960</v>
      </c>
      <c r="L107" s="54">
        <v>5</v>
      </c>
      <c r="M107" s="55"/>
    </row>
    <row r="108" spans="1:15">
      <c r="A108" s="39" t="s">
        <v>384</v>
      </c>
      <c r="B108" s="46" t="s">
        <v>271</v>
      </c>
      <c r="C108" s="39" t="s">
        <v>381</v>
      </c>
      <c r="D108" s="72">
        <v>324622113</v>
      </c>
      <c r="E108" s="73">
        <v>9198824849</v>
      </c>
      <c r="F108" s="39" t="s">
        <v>261</v>
      </c>
      <c r="G108" s="49">
        <v>41517</v>
      </c>
      <c r="H108" s="50" t="str">
        <f t="shared" si="2"/>
        <v>Aug</v>
      </c>
      <c r="I108" s="51">
        <f t="shared" ca="1" si="3"/>
        <v>3</v>
      </c>
      <c r="J108" s="52" t="s">
        <v>283</v>
      </c>
      <c r="K108" s="53">
        <v>34350</v>
      </c>
      <c r="L108" s="54">
        <v>1</v>
      </c>
      <c r="M108" s="55"/>
      <c r="O108" s="75"/>
    </row>
    <row r="109" spans="1:15">
      <c r="A109" s="39" t="s">
        <v>385</v>
      </c>
      <c r="B109" s="46" t="s">
        <v>271</v>
      </c>
      <c r="C109" s="39" t="s">
        <v>381</v>
      </c>
      <c r="D109" s="72">
        <v>651995963</v>
      </c>
      <c r="E109" s="73">
        <v>9194944945</v>
      </c>
      <c r="F109" s="39" t="s">
        <v>252</v>
      </c>
      <c r="G109" s="49">
        <v>41314</v>
      </c>
      <c r="H109" s="50" t="str">
        <f t="shared" si="2"/>
        <v>Feb</v>
      </c>
      <c r="I109" s="51">
        <f t="shared" ca="1" si="3"/>
        <v>3</v>
      </c>
      <c r="J109" s="52"/>
      <c r="K109" s="53">
        <v>32980</v>
      </c>
      <c r="L109" s="54">
        <v>4</v>
      </c>
      <c r="M109" s="55"/>
      <c r="O109" s="75"/>
    </row>
    <row r="110" spans="1:15">
      <c r="A110" s="39" t="s">
        <v>386</v>
      </c>
      <c r="B110" s="46" t="s">
        <v>266</v>
      </c>
      <c r="C110" s="39" t="s">
        <v>381</v>
      </c>
      <c r="D110" s="72">
        <v>452692136</v>
      </c>
      <c r="E110" s="73">
        <v>2524106437</v>
      </c>
      <c r="F110" s="39" t="s">
        <v>256</v>
      </c>
      <c r="G110" s="49">
        <v>36515</v>
      </c>
      <c r="H110" s="50" t="str">
        <f t="shared" si="2"/>
        <v>Dec</v>
      </c>
      <c r="I110" s="51">
        <f t="shared" ca="1" si="3"/>
        <v>16</v>
      </c>
      <c r="J110" s="52" t="s">
        <v>267</v>
      </c>
      <c r="K110" s="53">
        <v>31810</v>
      </c>
      <c r="L110" s="54">
        <v>1</v>
      </c>
      <c r="M110" s="55"/>
    </row>
    <row r="111" spans="1:15">
      <c r="A111" s="39" t="s">
        <v>387</v>
      </c>
      <c r="B111" s="46" t="s">
        <v>285</v>
      </c>
      <c r="C111" s="39" t="s">
        <v>381</v>
      </c>
      <c r="D111" s="72">
        <v>510190628</v>
      </c>
      <c r="E111" s="73">
        <v>2527405629</v>
      </c>
      <c r="F111" s="39" t="s">
        <v>256</v>
      </c>
      <c r="G111" s="49">
        <v>40148</v>
      </c>
      <c r="H111" s="50" t="str">
        <f t="shared" si="2"/>
        <v>Dec</v>
      </c>
      <c r="I111" s="51">
        <f t="shared" ca="1" si="3"/>
        <v>6</v>
      </c>
      <c r="J111" s="52" t="s">
        <v>283</v>
      </c>
      <c r="K111" s="53">
        <v>52420</v>
      </c>
      <c r="L111" s="54">
        <v>5</v>
      </c>
      <c r="M111" s="55"/>
    </row>
    <row r="112" spans="1:15">
      <c r="A112" s="39" t="s">
        <v>388</v>
      </c>
      <c r="B112" s="46" t="s">
        <v>285</v>
      </c>
      <c r="C112" s="39" t="s">
        <v>381</v>
      </c>
      <c r="D112" s="72">
        <v>405297884</v>
      </c>
      <c r="E112" s="73">
        <v>2524747044</v>
      </c>
      <c r="F112" s="39" t="s">
        <v>256</v>
      </c>
      <c r="G112" s="49">
        <v>34072</v>
      </c>
      <c r="H112" s="50" t="str">
        <f t="shared" si="2"/>
        <v>Apr</v>
      </c>
      <c r="I112" s="51">
        <f t="shared" ca="1" si="3"/>
        <v>23</v>
      </c>
      <c r="J112" s="52" t="s">
        <v>283</v>
      </c>
      <c r="K112" s="53">
        <v>82870</v>
      </c>
      <c r="L112" s="54">
        <v>1</v>
      </c>
      <c r="M112" s="55"/>
    </row>
    <row r="113" spans="1:15">
      <c r="A113" s="39" t="s">
        <v>389</v>
      </c>
      <c r="B113" s="46" t="s">
        <v>271</v>
      </c>
      <c r="C113" s="39" t="s">
        <v>381</v>
      </c>
      <c r="D113" s="72">
        <v>943671719</v>
      </c>
      <c r="E113" s="73">
        <v>9193517837</v>
      </c>
      <c r="F113" s="39" t="s">
        <v>256</v>
      </c>
      <c r="G113" s="49">
        <v>36450</v>
      </c>
      <c r="H113" s="50" t="str">
        <f t="shared" si="2"/>
        <v>Oct</v>
      </c>
      <c r="I113" s="51">
        <f t="shared" ca="1" si="3"/>
        <v>17</v>
      </c>
      <c r="J113" s="52" t="s">
        <v>283</v>
      </c>
      <c r="K113" s="53">
        <v>27500</v>
      </c>
      <c r="L113" s="54">
        <v>3</v>
      </c>
      <c r="M113" s="55"/>
    </row>
    <row r="114" spans="1:15">
      <c r="A114" s="39" t="s">
        <v>390</v>
      </c>
      <c r="B114" s="46" t="s">
        <v>271</v>
      </c>
      <c r="C114" s="39" t="s">
        <v>391</v>
      </c>
      <c r="D114" s="72">
        <v>690374765</v>
      </c>
      <c r="E114" s="73">
        <v>2525786813</v>
      </c>
      <c r="F114" s="39" t="s">
        <v>256</v>
      </c>
      <c r="G114" s="49">
        <v>34614</v>
      </c>
      <c r="H114" s="50" t="str">
        <f t="shared" si="2"/>
        <v>Oct</v>
      </c>
      <c r="I114" s="51">
        <f t="shared" ca="1" si="3"/>
        <v>22</v>
      </c>
      <c r="J114" s="52" t="s">
        <v>267</v>
      </c>
      <c r="K114" s="53">
        <v>99000</v>
      </c>
      <c r="L114" s="54">
        <v>5</v>
      </c>
      <c r="M114" s="55"/>
    </row>
    <row r="115" spans="1:15">
      <c r="A115" s="39" t="s">
        <v>392</v>
      </c>
      <c r="B115" s="46" t="s">
        <v>251</v>
      </c>
      <c r="C115" s="39" t="s">
        <v>391</v>
      </c>
      <c r="D115" s="72">
        <v>938508346</v>
      </c>
      <c r="E115" s="78">
        <v>2526738901</v>
      </c>
      <c r="F115" s="39" t="s">
        <v>247</v>
      </c>
      <c r="G115" s="49">
        <v>34246</v>
      </c>
      <c r="H115" s="50" t="str">
        <f t="shared" si="2"/>
        <v>Oct</v>
      </c>
      <c r="I115" s="51">
        <f t="shared" ca="1" si="3"/>
        <v>23</v>
      </c>
      <c r="J115" s="52"/>
      <c r="K115" s="53">
        <v>96060</v>
      </c>
      <c r="L115" s="54">
        <v>2</v>
      </c>
      <c r="M115" s="55"/>
    </row>
    <row r="116" spans="1:15">
      <c r="A116" s="39" t="s">
        <v>393</v>
      </c>
      <c r="B116" s="46" t="s">
        <v>266</v>
      </c>
      <c r="C116" s="39" t="s">
        <v>391</v>
      </c>
      <c r="D116" s="72">
        <v>707882019</v>
      </c>
      <c r="E116" s="73">
        <v>2523373445</v>
      </c>
      <c r="F116" s="39" t="s">
        <v>247</v>
      </c>
      <c r="G116" s="49">
        <v>37343</v>
      </c>
      <c r="H116" s="50" t="str">
        <f t="shared" si="2"/>
        <v>Mar</v>
      </c>
      <c r="I116" s="51">
        <f t="shared" ca="1" si="3"/>
        <v>14</v>
      </c>
      <c r="J116" s="52"/>
      <c r="K116" s="53">
        <v>104360</v>
      </c>
      <c r="L116" s="54">
        <v>4</v>
      </c>
      <c r="M116" s="55"/>
    </row>
    <row r="117" spans="1:15">
      <c r="A117" s="39" t="s">
        <v>394</v>
      </c>
      <c r="B117" s="46" t="s">
        <v>280</v>
      </c>
      <c r="C117" s="39" t="s">
        <v>391</v>
      </c>
      <c r="D117" s="72">
        <v>581823751</v>
      </c>
      <c r="E117" s="73">
        <v>2528577225</v>
      </c>
      <c r="F117" s="39" t="s">
        <v>247</v>
      </c>
      <c r="G117" s="49">
        <v>38668</v>
      </c>
      <c r="H117" s="50" t="str">
        <f t="shared" si="2"/>
        <v>Nov</v>
      </c>
      <c r="I117" s="51">
        <f t="shared" ca="1" si="3"/>
        <v>10</v>
      </c>
      <c r="J117" s="52"/>
      <c r="K117" s="53">
        <v>88070</v>
      </c>
      <c r="L117" s="54">
        <v>2</v>
      </c>
      <c r="M117" s="55"/>
    </row>
    <row r="118" spans="1:15">
      <c r="A118" s="39" t="s">
        <v>395</v>
      </c>
      <c r="B118" s="46" t="s">
        <v>271</v>
      </c>
      <c r="C118" s="39" t="s">
        <v>391</v>
      </c>
      <c r="D118" s="72">
        <v>197789466</v>
      </c>
      <c r="E118" s="73">
        <v>9191472895</v>
      </c>
      <c r="F118" s="39" t="s">
        <v>247</v>
      </c>
      <c r="G118" s="49">
        <v>36738</v>
      </c>
      <c r="H118" s="50" t="str">
        <f t="shared" si="2"/>
        <v>Jul</v>
      </c>
      <c r="I118" s="51">
        <f t="shared" ca="1" si="3"/>
        <v>16</v>
      </c>
      <c r="J118" s="52"/>
      <c r="K118" s="53">
        <v>91220</v>
      </c>
      <c r="L118" s="54">
        <v>1</v>
      </c>
      <c r="M118" s="55"/>
    </row>
    <row r="119" spans="1:15">
      <c r="A119" s="39" t="s">
        <v>396</v>
      </c>
      <c r="B119" s="46" t="s">
        <v>266</v>
      </c>
      <c r="C119" s="39" t="s">
        <v>391</v>
      </c>
      <c r="D119" s="72">
        <v>291798311</v>
      </c>
      <c r="E119" s="73">
        <v>2526742736</v>
      </c>
      <c r="F119" s="39" t="s">
        <v>256</v>
      </c>
      <c r="G119" s="49">
        <v>36488</v>
      </c>
      <c r="H119" s="50" t="str">
        <f t="shared" si="2"/>
        <v>Nov</v>
      </c>
      <c r="I119" s="51">
        <f t="shared" ca="1" si="3"/>
        <v>16</v>
      </c>
      <c r="J119" s="52" t="s">
        <v>257</v>
      </c>
      <c r="K119" s="53">
        <v>96140</v>
      </c>
      <c r="L119" s="54">
        <v>4</v>
      </c>
      <c r="M119" s="55"/>
    </row>
    <row r="120" spans="1:15">
      <c r="A120" s="39" t="s">
        <v>397</v>
      </c>
      <c r="B120" s="46" t="s">
        <v>266</v>
      </c>
      <c r="C120" s="39" t="s">
        <v>391</v>
      </c>
      <c r="D120" s="72">
        <v>434927073</v>
      </c>
      <c r="E120" s="73">
        <v>2528440900</v>
      </c>
      <c r="F120" s="39" t="s">
        <v>256</v>
      </c>
      <c r="G120" s="49">
        <v>38613</v>
      </c>
      <c r="H120" s="50" t="str">
        <f t="shared" si="2"/>
        <v>Sep</v>
      </c>
      <c r="I120" s="51">
        <f t="shared" ca="1" si="3"/>
        <v>11</v>
      </c>
      <c r="J120" s="52" t="s">
        <v>267</v>
      </c>
      <c r="K120" s="53">
        <v>47690</v>
      </c>
      <c r="L120" s="54">
        <v>1</v>
      </c>
      <c r="M120" s="55"/>
    </row>
    <row r="121" spans="1:15">
      <c r="A121" s="39" t="s">
        <v>398</v>
      </c>
      <c r="B121" s="46" t="s">
        <v>285</v>
      </c>
      <c r="C121" s="39" t="s">
        <v>391</v>
      </c>
      <c r="D121" s="72">
        <v>685953695</v>
      </c>
      <c r="E121" s="73">
        <v>9196756847</v>
      </c>
      <c r="F121" s="39" t="s">
        <v>256</v>
      </c>
      <c r="G121" s="49">
        <v>34824</v>
      </c>
      <c r="H121" s="50" t="str">
        <f t="shared" si="2"/>
        <v>May</v>
      </c>
      <c r="I121" s="51">
        <f t="shared" ca="1" si="3"/>
        <v>21</v>
      </c>
      <c r="J121" s="52" t="s">
        <v>283</v>
      </c>
      <c r="K121" s="53">
        <v>99310</v>
      </c>
      <c r="L121" s="54">
        <v>4</v>
      </c>
      <c r="M121" s="55"/>
    </row>
    <row r="122" spans="1:15">
      <c r="A122" s="39" t="s">
        <v>399</v>
      </c>
      <c r="B122" s="46" t="s">
        <v>251</v>
      </c>
      <c r="C122" s="39" t="s">
        <v>391</v>
      </c>
      <c r="D122" s="72">
        <v>843875501</v>
      </c>
      <c r="E122" s="73">
        <v>2522715355</v>
      </c>
      <c r="F122" s="39" t="s">
        <v>247</v>
      </c>
      <c r="G122" s="49">
        <v>37177</v>
      </c>
      <c r="H122" s="50" t="str">
        <f t="shared" si="2"/>
        <v>Oct</v>
      </c>
      <c r="I122" s="51">
        <f t="shared" ca="1" si="3"/>
        <v>15</v>
      </c>
      <c r="J122" s="52"/>
      <c r="K122" s="53">
        <v>39530</v>
      </c>
      <c r="L122" s="54">
        <v>5</v>
      </c>
      <c r="M122" s="55"/>
    </row>
    <row r="123" spans="1:15">
      <c r="A123" s="39" t="s">
        <v>400</v>
      </c>
      <c r="B123" s="46" t="s">
        <v>285</v>
      </c>
      <c r="C123" s="39" t="s">
        <v>391</v>
      </c>
      <c r="D123" s="72">
        <v>585815837</v>
      </c>
      <c r="E123" s="73">
        <v>9194983657</v>
      </c>
      <c r="F123" s="39" t="s">
        <v>261</v>
      </c>
      <c r="G123" s="49">
        <v>34995</v>
      </c>
      <c r="H123" s="50" t="str">
        <f t="shared" si="2"/>
        <v>Oct</v>
      </c>
      <c r="I123" s="51">
        <f t="shared" ca="1" si="3"/>
        <v>21</v>
      </c>
      <c r="J123" s="52" t="s">
        <v>276</v>
      </c>
      <c r="K123" s="53">
        <v>22390</v>
      </c>
      <c r="L123" s="54">
        <v>4</v>
      </c>
      <c r="M123" s="55"/>
    </row>
    <row r="124" spans="1:15">
      <c r="A124" s="39" t="s">
        <v>401</v>
      </c>
      <c r="B124" s="46" t="s">
        <v>271</v>
      </c>
      <c r="C124" s="39" t="s">
        <v>391</v>
      </c>
      <c r="D124" s="72">
        <v>863161920</v>
      </c>
      <c r="E124" s="73">
        <v>2523748373</v>
      </c>
      <c r="F124" s="39" t="s">
        <v>256</v>
      </c>
      <c r="G124" s="49">
        <v>37078</v>
      </c>
      <c r="H124" s="50" t="str">
        <f t="shared" si="2"/>
        <v>Jul</v>
      </c>
      <c r="I124" s="51">
        <f t="shared" ca="1" si="3"/>
        <v>15</v>
      </c>
      <c r="J124" s="52" t="s">
        <v>283</v>
      </c>
      <c r="K124" s="53">
        <v>60130</v>
      </c>
      <c r="L124" s="54">
        <v>1</v>
      </c>
      <c r="M124" s="55"/>
    </row>
    <row r="125" spans="1:15">
      <c r="A125" s="39" t="s">
        <v>402</v>
      </c>
      <c r="B125" s="46" t="s">
        <v>271</v>
      </c>
      <c r="C125" s="39" t="s">
        <v>391</v>
      </c>
      <c r="D125" s="72">
        <v>469591073</v>
      </c>
      <c r="E125" s="73">
        <v>2523327522</v>
      </c>
      <c r="F125" s="39" t="s">
        <v>256</v>
      </c>
      <c r="G125" s="49">
        <v>38114</v>
      </c>
      <c r="H125" s="50" t="str">
        <f t="shared" si="2"/>
        <v>May</v>
      </c>
      <c r="I125" s="51">
        <f t="shared" ca="1" si="3"/>
        <v>12</v>
      </c>
      <c r="J125" s="52" t="s">
        <v>267</v>
      </c>
      <c r="K125" s="53">
        <v>73380</v>
      </c>
      <c r="L125" s="54">
        <v>4</v>
      </c>
      <c r="M125" s="55"/>
    </row>
    <row r="126" spans="1:15">
      <c r="A126" s="39" t="s">
        <v>403</v>
      </c>
      <c r="B126" s="46" t="s">
        <v>285</v>
      </c>
      <c r="C126" s="39" t="s">
        <v>391</v>
      </c>
      <c r="D126" s="72">
        <v>828996583</v>
      </c>
      <c r="E126" s="73">
        <v>2521282202</v>
      </c>
      <c r="F126" s="39" t="s">
        <v>252</v>
      </c>
      <c r="G126" s="49">
        <v>34184</v>
      </c>
      <c r="H126" s="50" t="str">
        <f t="shared" si="2"/>
        <v>Aug</v>
      </c>
      <c r="I126" s="51">
        <f t="shared" ca="1" si="3"/>
        <v>23</v>
      </c>
      <c r="J126" s="52"/>
      <c r="K126" s="53">
        <v>17650</v>
      </c>
      <c r="L126" s="54">
        <v>5</v>
      </c>
      <c r="M126" s="55"/>
    </row>
    <row r="127" spans="1:15">
      <c r="A127" s="39" t="s">
        <v>404</v>
      </c>
      <c r="B127" s="46" t="s">
        <v>285</v>
      </c>
      <c r="C127" s="39" t="s">
        <v>391</v>
      </c>
      <c r="D127" s="72">
        <v>195245117</v>
      </c>
      <c r="E127" s="73">
        <v>9193451072</v>
      </c>
      <c r="F127" s="39" t="s">
        <v>252</v>
      </c>
      <c r="G127" s="49">
        <v>36674</v>
      </c>
      <c r="H127" s="50" t="str">
        <f t="shared" si="2"/>
        <v>May</v>
      </c>
      <c r="I127" s="51">
        <f t="shared" ca="1" si="3"/>
        <v>16</v>
      </c>
      <c r="J127" s="52"/>
      <c r="K127" s="53">
        <v>15210</v>
      </c>
      <c r="L127" s="54">
        <v>2</v>
      </c>
      <c r="M127" s="55"/>
    </row>
    <row r="128" spans="1:15">
      <c r="A128" s="39" t="s">
        <v>405</v>
      </c>
      <c r="B128" s="46" t="s">
        <v>245</v>
      </c>
      <c r="C128" s="39" t="s">
        <v>391</v>
      </c>
      <c r="D128" s="72">
        <v>719937584</v>
      </c>
      <c r="E128" s="73">
        <v>9191653055</v>
      </c>
      <c r="F128" s="39" t="s">
        <v>256</v>
      </c>
      <c r="G128" s="49">
        <v>34448</v>
      </c>
      <c r="H128" s="50" t="str">
        <f t="shared" si="2"/>
        <v>Apr</v>
      </c>
      <c r="I128" s="51">
        <f t="shared" ca="1" si="3"/>
        <v>22</v>
      </c>
      <c r="J128" s="52" t="s">
        <v>283</v>
      </c>
      <c r="K128" s="53">
        <v>45140</v>
      </c>
      <c r="L128" s="54">
        <v>5</v>
      </c>
      <c r="M128" s="55"/>
      <c r="N128" s="63"/>
      <c r="O128" s="75"/>
    </row>
    <row r="129" spans="1:13">
      <c r="A129" s="39" t="s">
        <v>406</v>
      </c>
      <c r="B129" s="46" t="s">
        <v>245</v>
      </c>
      <c r="C129" s="39" t="s">
        <v>391</v>
      </c>
      <c r="D129" s="72">
        <v>681596577</v>
      </c>
      <c r="E129" s="73">
        <v>9192387348</v>
      </c>
      <c r="F129" s="39" t="s">
        <v>247</v>
      </c>
      <c r="G129" s="49">
        <v>36151</v>
      </c>
      <c r="H129" s="50" t="str">
        <f t="shared" si="2"/>
        <v>Dec</v>
      </c>
      <c r="I129" s="51">
        <f t="shared" ca="1" si="3"/>
        <v>17</v>
      </c>
      <c r="J129" s="52"/>
      <c r="K129" s="53">
        <v>42310</v>
      </c>
      <c r="L129" s="54">
        <v>2</v>
      </c>
      <c r="M129" s="55"/>
    </row>
    <row r="130" spans="1:13">
      <c r="A130" s="39" t="s">
        <v>407</v>
      </c>
      <c r="B130" s="46" t="s">
        <v>271</v>
      </c>
      <c r="C130" s="39" t="s">
        <v>391</v>
      </c>
      <c r="D130" s="72">
        <v>526188716</v>
      </c>
      <c r="E130" s="73">
        <v>2527230063</v>
      </c>
      <c r="F130" s="39" t="s">
        <v>247</v>
      </c>
      <c r="G130" s="49">
        <v>36960</v>
      </c>
      <c r="H130" s="50" t="str">
        <f t="shared" ref="H130:H193" si="4">CHOOSE(MONTH(G130),"Jan","Feb","Mar","Apr","May","Jun","Jul","Aug","Sep","Oct","Nov","Dec")</f>
        <v>Mar</v>
      </c>
      <c r="I130" s="51">
        <f t="shared" ref="I130:I193" ca="1" si="5">DATEDIF(G130,TODAY(),"Y")</f>
        <v>15</v>
      </c>
      <c r="J130" s="52"/>
      <c r="K130" s="53">
        <v>77360</v>
      </c>
      <c r="L130" s="54">
        <v>3</v>
      </c>
      <c r="M130" s="55"/>
    </row>
    <row r="131" spans="1:13">
      <c r="A131" s="39" t="s">
        <v>408</v>
      </c>
      <c r="B131" s="46" t="s">
        <v>271</v>
      </c>
      <c r="C131" s="39" t="s">
        <v>391</v>
      </c>
      <c r="D131" s="72">
        <v>907491320</v>
      </c>
      <c r="E131" s="73">
        <v>2525724528</v>
      </c>
      <c r="F131" s="39" t="s">
        <v>261</v>
      </c>
      <c r="G131" s="49">
        <v>37358</v>
      </c>
      <c r="H131" s="50" t="str">
        <f t="shared" si="4"/>
        <v>Apr</v>
      </c>
      <c r="I131" s="51">
        <f t="shared" ca="1" si="5"/>
        <v>14</v>
      </c>
      <c r="J131" s="52" t="s">
        <v>276</v>
      </c>
      <c r="K131" s="53">
        <v>51490</v>
      </c>
      <c r="L131" s="54">
        <v>1</v>
      </c>
      <c r="M131" s="55"/>
    </row>
    <row r="132" spans="1:13">
      <c r="A132" s="39" t="s">
        <v>409</v>
      </c>
      <c r="B132" s="46" t="s">
        <v>285</v>
      </c>
      <c r="C132" s="39" t="s">
        <v>391</v>
      </c>
      <c r="D132" s="72">
        <v>694800128</v>
      </c>
      <c r="E132" s="73">
        <v>9197111802</v>
      </c>
      <c r="F132" s="39" t="s">
        <v>256</v>
      </c>
      <c r="G132" s="49">
        <v>37270</v>
      </c>
      <c r="H132" s="50" t="str">
        <f t="shared" si="4"/>
        <v>Jan</v>
      </c>
      <c r="I132" s="51">
        <f t="shared" ca="1" si="5"/>
        <v>14</v>
      </c>
      <c r="J132" s="52" t="s">
        <v>283</v>
      </c>
      <c r="K132" s="53">
        <v>73600</v>
      </c>
      <c r="L132" s="54">
        <v>1</v>
      </c>
      <c r="M132" s="55"/>
    </row>
    <row r="133" spans="1:13">
      <c r="A133" s="39" t="s">
        <v>410</v>
      </c>
      <c r="B133" s="46" t="s">
        <v>285</v>
      </c>
      <c r="C133" s="39" t="s">
        <v>411</v>
      </c>
      <c r="D133" s="72">
        <v>850210766</v>
      </c>
      <c r="E133" s="73">
        <v>2527838614</v>
      </c>
      <c r="F133" s="39" t="s">
        <v>256</v>
      </c>
      <c r="G133" s="49">
        <v>39588</v>
      </c>
      <c r="H133" s="50" t="str">
        <f t="shared" si="4"/>
        <v>May</v>
      </c>
      <c r="I133" s="51">
        <f t="shared" ca="1" si="5"/>
        <v>8</v>
      </c>
      <c r="J133" s="52" t="s">
        <v>257</v>
      </c>
      <c r="K133" s="53">
        <v>56820</v>
      </c>
      <c r="L133" s="54">
        <v>5</v>
      </c>
      <c r="M133" s="55"/>
    </row>
    <row r="134" spans="1:13">
      <c r="A134" s="39" t="s">
        <v>412</v>
      </c>
      <c r="B134" s="46" t="s">
        <v>285</v>
      </c>
      <c r="C134" s="39" t="s">
        <v>411</v>
      </c>
      <c r="D134" s="72">
        <v>699053064</v>
      </c>
      <c r="E134" s="73">
        <v>9191299076</v>
      </c>
      <c r="F134" s="39" t="s">
        <v>247</v>
      </c>
      <c r="G134" s="49">
        <v>39528</v>
      </c>
      <c r="H134" s="50" t="str">
        <f t="shared" si="4"/>
        <v>Mar</v>
      </c>
      <c r="I134" s="51">
        <f t="shared" ca="1" si="5"/>
        <v>8</v>
      </c>
      <c r="J134" s="52"/>
      <c r="K134" s="53">
        <v>72070</v>
      </c>
      <c r="L134" s="54">
        <v>2</v>
      </c>
      <c r="M134" s="55"/>
    </row>
    <row r="135" spans="1:13">
      <c r="A135" s="39" t="s">
        <v>413</v>
      </c>
      <c r="B135" s="46" t="s">
        <v>245</v>
      </c>
      <c r="C135" s="39" t="s">
        <v>411</v>
      </c>
      <c r="D135" s="72">
        <v>914041569</v>
      </c>
      <c r="E135" s="73">
        <v>9196082608</v>
      </c>
      <c r="F135" s="39" t="s">
        <v>256</v>
      </c>
      <c r="G135" s="49">
        <v>41401</v>
      </c>
      <c r="H135" s="50" t="str">
        <f t="shared" si="4"/>
        <v>May</v>
      </c>
      <c r="I135" s="51">
        <f t="shared" ca="1" si="5"/>
        <v>3</v>
      </c>
      <c r="J135" s="52" t="s">
        <v>283</v>
      </c>
      <c r="K135" s="53">
        <v>94980</v>
      </c>
      <c r="L135" s="54">
        <v>2</v>
      </c>
      <c r="M135" s="55"/>
    </row>
    <row r="136" spans="1:13">
      <c r="A136" s="39" t="s">
        <v>414</v>
      </c>
      <c r="B136" s="46" t="s">
        <v>245</v>
      </c>
      <c r="C136" s="39" t="s">
        <v>411</v>
      </c>
      <c r="D136" s="72">
        <v>885773638</v>
      </c>
      <c r="E136" s="73">
        <v>9196188082</v>
      </c>
      <c r="F136" s="39" t="s">
        <v>256</v>
      </c>
      <c r="G136" s="49">
        <v>37570</v>
      </c>
      <c r="H136" s="50" t="str">
        <f t="shared" si="4"/>
        <v>Nov</v>
      </c>
      <c r="I136" s="51">
        <f t="shared" ca="1" si="5"/>
        <v>14</v>
      </c>
      <c r="J136" s="52" t="s">
        <v>283</v>
      </c>
      <c r="K136" s="53">
        <v>90070</v>
      </c>
      <c r="L136" s="54">
        <v>5</v>
      </c>
      <c r="M136" s="55"/>
    </row>
    <row r="137" spans="1:13">
      <c r="A137" s="39" t="s">
        <v>415</v>
      </c>
      <c r="B137" s="46" t="s">
        <v>271</v>
      </c>
      <c r="C137" s="39" t="s">
        <v>411</v>
      </c>
      <c r="D137" s="72">
        <v>999789446</v>
      </c>
      <c r="E137" s="73">
        <v>2521696804</v>
      </c>
      <c r="F137" s="39" t="s">
        <v>256</v>
      </c>
      <c r="G137" s="49">
        <v>36330</v>
      </c>
      <c r="H137" s="50" t="str">
        <f t="shared" si="4"/>
        <v>Jun</v>
      </c>
      <c r="I137" s="51">
        <f t="shared" ca="1" si="5"/>
        <v>17</v>
      </c>
      <c r="J137" s="52" t="s">
        <v>257</v>
      </c>
      <c r="K137" s="53">
        <v>80090</v>
      </c>
      <c r="L137" s="54">
        <v>2</v>
      </c>
      <c r="M137" s="55"/>
    </row>
    <row r="138" spans="1:13">
      <c r="A138" s="39" t="s">
        <v>416</v>
      </c>
      <c r="B138" s="46" t="s">
        <v>271</v>
      </c>
      <c r="C138" s="39" t="s">
        <v>417</v>
      </c>
      <c r="D138" s="72">
        <v>707553376</v>
      </c>
      <c r="E138" s="73">
        <v>9194194193</v>
      </c>
      <c r="F138" s="39" t="s">
        <v>256</v>
      </c>
      <c r="G138" s="49">
        <v>36085</v>
      </c>
      <c r="H138" s="50" t="str">
        <f t="shared" si="4"/>
        <v>Oct</v>
      </c>
      <c r="I138" s="51">
        <f t="shared" ca="1" si="5"/>
        <v>18</v>
      </c>
      <c r="J138" s="52" t="s">
        <v>276</v>
      </c>
      <c r="K138" s="53">
        <v>59110</v>
      </c>
      <c r="L138" s="54">
        <v>3</v>
      </c>
      <c r="M138" s="55"/>
    </row>
    <row r="139" spans="1:13">
      <c r="A139" s="39" t="s">
        <v>418</v>
      </c>
      <c r="B139" s="46" t="s">
        <v>285</v>
      </c>
      <c r="C139" s="39" t="s">
        <v>417</v>
      </c>
      <c r="D139" s="72">
        <v>575648597</v>
      </c>
      <c r="E139" s="73">
        <v>9198865267</v>
      </c>
      <c r="F139" s="39" t="s">
        <v>247</v>
      </c>
      <c r="G139" s="49">
        <v>38642</v>
      </c>
      <c r="H139" s="50" t="str">
        <f t="shared" si="4"/>
        <v>Oct</v>
      </c>
      <c r="I139" s="51">
        <f t="shared" ca="1" si="5"/>
        <v>11</v>
      </c>
      <c r="J139" s="52"/>
      <c r="K139" s="53">
        <v>38360</v>
      </c>
      <c r="L139" s="54">
        <v>5</v>
      </c>
      <c r="M139" s="55"/>
    </row>
    <row r="140" spans="1:13">
      <c r="A140" s="39" t="s">
        <v>419</v>
      </c>
      <c r="B140" s="46" t="s">
        <v>285</v>
      </c>
      <c r="C140" s="39" t="s">
        <v>417</v>
      </c>
      <c r="D140" s="72">
        <v>425598783</v>
      </c>
      <c r="E140" s="73">
        <v>9191559081</v>
      </c>
      <c r="F140" s="39" t="s">
        <v>261</v>
      </c>
      <c r="G140" s="49">
        <v>36071</v>
      </c>
      <c r="H140" s="50" t="str">
        <f t="shared" si="4"/>
        <v>Oct</v>
      </c>
      <c r="I140" s="51">
        <f t="shared" ca="1" si="5"/>
        <v>18</v>
      </c>
      <c r="J140" s="52" t="s">
        <v>276</v>
      </c>
      <c r="K140" s="53">
        <v>25460</v>
      </c>
      <c r="L140" s="54">
        <v>3</v>
      </c>
      <c r="M140" s="55"/>
    </row>
    <row r="141" spans="1:13">
      <c r="A141" s="39" t="s">
        <v>420</v>
      </c>
      <c r="B141" s="46" t="s">
        <v>251</v>
      </c>
      <c r="C141" s="39" t="s">
        <v>417</v>
      </c>
      <c r="D141" s="72">
        <v>212136062</v>
      </c>
      <c r="E141" s="73">
        <v>9197226463</v>
      </c>
      <c r="F141" s="39" t="s">
        <v>256</v>
      </c>
      <c r="G141" s="49">
        <v>37083</v>
      </c>
      <c r="H141" s="50" t="str">
        <f t="shared" si="4"/>
        <v>Jul</v>
      </c>
      <c r="I141" s="51">
        <f t="shared" ca="1" si="5"/>
        <v>15</v>
      </c>
      <c r="J141" s="52" t="s">
        <v>283</v>
      </c>
      <c r="K141" s="53">
        <v>98880</v>
      </c>
      <c r="L141" s="54">
        <v>2</v>
      </c>
      <c r="M141" s="55"/>
    </row>
    <row r="142" spans="1:13">
      <c r="A142" s="39" t="s">
        <v>421</v>
      </c>
      <c r="B142" s="46" t="s">
        <v>280</v>
      </c>
      <c r="C142" s="39" t="s">
        <v>417</v>
      </c>
      <c r="D142" s="72">
        <v>291841866</v>
      </c>
      <c r="E142" s="73">
        <v>9191534053</v>
      </c>
      <c r="F142" s="39" t="s">
        <v>256</v>
      </c>
      <c r="G142" s="49">
        <v>34873</v>
      </c>
      <c r="H142" s="50" t="str">
        <f t="shared" si="4"/>
        <v>Jun</v>
      </c>
      <c r="I142" s="51">
        <f t="shared" ca="1" si="5"/>
        <v>21</v>
      </c>
      <c r="J142" s="52" t="s">
        <v>257</v>
      </c>
      <c r="K142" s="53">
        <v>77410</v>
      </c>
      <c r="L142" s="54">
        <v>3</v>
      </c>
      <c r="M142" s="55"/>
    </row>
    <row r="143" spans="1:13">
      <c r="A143" s="39" t="s">
        <v>422</v>
      </c>
      <c r="B143" s="46" t="s">
        <v>271</v>
      </c>
      <c r="C143" s="39" t="s">
        <v>417</v>
      </c>
      <c r="D143" s="72">
        <v>736688620</v>
      </c>
      <c r="E143" s="73">
        <v>2524562999</v>
      </c>
      <c r="F143" s="39" t="s">
        <v>261</v>
      </c>
      <c r="G143" s="49">
        <v>40769</v>
      </c>
      <c r="H143" s="50" t="str">
        <f t="shared" si="4"/>
        <v>Aug</v>
      </c>
      <c r="I143" s="51">
        <f t="shared" ca="1" si="5"/>
        <v>5</v>
      </c>
      <c r="J143" s="52" t="s">
        <v>257</v>
      </c>
      <c r="K143" s="53">
        <v>47420</v>
      </c>
      <c r="L143" s="54">
        <v>5</v>
      </c>
      <c r="M143" s="55"/>
    </row>
    <row r="144" spans="1:13">
      <c r="A144" s="39" t="s">
        <v>423</v>
      </c>
      <c r="B144" s="46" t="s">
        <v>285</v>
      </c>
      <c r="C144" s="39" t="s">
        <v>417</v>
      </c>
      <c r="D144" s="72">
        <v>393051351</v>
      </c>
      <c r="E144" s="73">
        <v>9197508998</v>
      </c>
      <c r="F144" s="39" t="s">
        <v>261</v>
      </c>
      <c r="G144" s="49">
        <v>36187</v>
      </c>
      <c r="H144" s="50" t="str">
        <f t="shared" si="4"/>
        <v>Jan</v>
      </c>
      <c r="I144" s="51">
        <f t="shared" ca="1" si="5"/>
        <v>17</v>
      </c>
      <c r="J144" s="52" t="s">
        <v>276</v>
      </c>
      <c r="K144" s="53">
        <v>39400</v>
      </c>
      <c r="L144" s="54">
        <v>2</v>
      </c>
      <c r="M144" s="55"/>
    </row>
    <row r="145" spans="1:14">
      <c r="A145" s="39" t="s">
        <v>424</v>
      </c>
      <c r="B145" s="46" t="s">
        <v>271</v>
      </c>
      <c r="C145" s="39" t="s">
        <v>417</v>
      </c>
      <c r="D145" s="72">
        <v>518690148</v>
      </c>
      <c r="E145" s="73">
        <v>2526500529</v>
      </c>
      <c r="F145" s="39" t="s">
        <v>256</v>
      </c>
      <c r="G145" s="49">
        <v>41400</v>
      </c>
      <c r="H145" s="50" t="str">
        <f t="shared" si="4"/>
        <v>May</v>
      </c>
      <c r="I145" s="51">
        <f t="shared" ca="1" si="5"/>
        <v>3</v>
      </c>
      <c r="J145" s="52" t="s">
        <v>267</v>
      </c>
      <c r="K145" s="53">
        <v>39170</v>
      </c>
      <c r="L145" s="54">
        <v>4</v>
      </c>
      <c r="M145" s="55"/>
    </row>
    <row r="146" spans="1:14">
      <c r="A146" s="39" t="s">
        <v>425</v>
      </c>
      <c r="B146" s="46" t="s">
        <v>285</v>
      </c>
      <c r="C146" s="39" t="s">
        <v>417</v>
      </c>
      <c r="D146" s="72">
        <v>110184347</v>
      </c>
      <c r="E146" s="73">
        <v>2526166452</v>
      </c>
      <c r="F146" s="39" t="s">
        <v>256</v>
      </c>
      <c r="G146" s="49">
        <v>36254</v>
      </c>
      <c r="H146" s="50" t="str">
        <f t="shared" si="4"/>
        <v>Apr</v>
      </c>
      <c r="I146" s="51">
        <f t="shared" ca="1" si="5"/>
        <v>17</v>
      </c>
      <c r="J146" s="52" t="s">
        <v>257</v>
      </c>
      <c r="K146" s="53">
        <v>76540</v>
      </c>
      <c r="L146" s="54">
        <v>5</v>
      </c>
      <c r="M146" s="55"/>
    </row>
    <row r="147" spans="1:14">
      <c r="A147" s="39" t="s">
        <v>426</v>
      </c>
      <c r="B147" s="46" t="s">
        <v>271</v>
      </c>
      <c r="C147" s="39" t="s">
        <v>417</v>
      </c>
      <c r="D147" s="72">
        <v>282972141</v>
      </c>
      <c r="E147" s="73">
        <v>2527135797</v>
      </c>
      <c r="F147" s="39" t="s">
        <v>247</v>
      </c>
      <c r="G147" s="49">
        <v>36940</v>
      </c>
      <c r="H147" s="50" t="str">
        <f t="shared" si="4"/>
        <v>Feb</v>
      </c>
      <c r="I147" s="51">
        <f t="shared" ca="1" si="5"/>
        <v>15</v>
      </c>
      <c r="J147" s="52"/>
      <c r="K147" s="53">
        <v>30140</v>
      </c>
      <c r="L147" s="54">
        <v>5</v>
      </c>
      <c r="M147" s="55"/>
    </row>
    <row r="148" spans="1:14">
      <c r="A148" s="39" t="s">
        <v>427</v>
      </c>
      <c r="B148" s="46" t="s">
        <v>266</v>
      </c>
      <c r="C148" s="39" t="s">
        <v>417</v>
      </c>
      <c r="D148" s="72">
        <v>956291859</v>
      </c>
      <c r="E148" s="73">
        <v>2521156902</v>
      </c>
      <c r="F148" s="39" t="s">
        <v>247</v>
      </c>
      <c r="G148" s="49">
        <v>41260</v>
      </c>
      <c r="H148" s="50" t="str">
        <f t="shared" si="4"/>
        <v>Dec</v>
      </c>
      <c r="I148" s="51">
        <f t="shared" ca="1" si="5"/>
        <v>3</v>
      </c>
      <c r="J148" s="52"/>
      <c r="K148" s="53">
        <v>54850</v>
      </c>
      <c r="L148" s="54">
        <v>3</v>
      </c>
      <c r="M148" s="55"/>
    </row>
    <row r="149" spans="1:14">
      <c r="A149" s="39" t="s">
        <v>428</v>
      </c>
      <c r="B149" s="46" t="s">
        <v>271</v>
      </c>
      <c r="C149" s="39" t="s">
        <v>417</v>
      </c>
      <c r="D149" s="72">
        <v>503349830</v>
      </c>
      <c r="E149" s="73">
        <v>9191999230</v>
      </c>
      <c r="F149" s="39" t="s">
        <v>256</v>
      </c>
      <c r="G149" s="49">
        <v>34406</v>
      </c>
      <c r="H149" s="50" t="str">
        <f t="shared" si="4"/>
        <v>Mar</v>
      </c>
      <c r="I149" s="51">
        <f t="shared" ca="1" si="5"/>
        <v>22</v>
      </c>
      <c r="J149" s="52" t="s">
        <v>283</v>
      </c>
      <c r="K149" s="53">
        <v>38570</v>
      </c>
      <c r="L149" s="54">
        <v>2</v>
      </c>
      <c r="M149" s="55"/>
    </row>
    <row r="150" spans="1:14">
      <c r="A150" s="39" t="s">
        <v>429</v>
      </c>
      <c r="B150" s="46" t="s">
        <v>271</v>
      </c>
      <c r="C150" s="39" t="s">
        <v>417</v>
      </c>
      <c r="D150" s="72">
        <v>407299017</v>
      </c>
      <c r="E150" s="73">
        <v>9195968632</v>
      </c>
      <c r="F150" s="39" t="s">
        <v>252</v>
      </c>
      <c r="G150" s="49">
        <v>40894</v>
      </c>
      <c r="H150" s="50" t="str">
        <f t="shared" si="4"/>
        <v>Dec</v>
      </c>
      <c r="I150" s="51">
        <f t="shared" ca="1" si="5"/>
        <v>4</v>
      </c>
      <c r="J150" s="52"/>
      <c r="K150" s="53">
        <v>18890</v>
      </c>
      <c r="L150" s="54">
        <v>3</v>
      </c>
      <c r="M150" s="55"/>
    </row>
    <row r="151" spans="1:14">
      <c r="A151" s="39" t="s">
        <v>430</v>
      </c>
      <c r="B151" s="46" t="s">
        <v>245</v>
      </c>
      <c r="C151" s="39" t="s">
        <v>417</v>
      </c>
      <c r="D151" s="72">
        <v>870601943</v>
      </c>
      <c r="E151" s="73">
        <v>9196097340</v>
      </c>
      <c r="F151" s="39" t="s">
        <v>247</v>
      </c>
      <c r="G151" s="49">
        <v>35762</v>
      </c>
      <c r="H151" s="50" t="str">
        <f t="shared" si="4"/>
        <v>Nov</v>
      </c>
      <c r="I151" s="51">
        <f t="shared" ca="1" si="5"/>
        <v>18</v>
      </c>
      <c r="J151" s="52"/>
      <c r="K151" s="53">
        <v>54050</v>
      </c>
      <c r="L151" s="54">
        <v>5</v>
      </c>
      <c r="M151" s="55"/>
    </row>
    <row r="152" spans="1:14">
      <c r="A152" s="39" t="s">
        <v>431</v>
      </c>
      <c r="B152" s="46" t="s">
        <v>285</v>
      </c>
      <c r="C152" s="39" t="s">
        <v>417</v>
      </c>
      <c r="D152" s="72">
        <v>927043360</v>
      </c>
      <c r="E152" s="73">
        <v>2526053287</v>
      </c>
      <c r="F152" s="39" t="s">
        <v>247</v>
      </c>
      <c r="G152" s="49">
        <v>34425</v>
      </c>
      <c r="H152" s="50" t="str">
        <f t="shared" si="4"/>
        <v>Apr</v>
      </c>
      <c r="I152" s="51">
        <f t="shared" ca="1" si="5"/>
        <v>22</v>
      </c>
      <c r="J152" s="52"/>
      <c r="K152" s="53">
        <v>26780</v>
      </c>
      <c r="L152" s="54">
        <v>2</v>
      </c>
      <c r="M152" s="55"/>
    </row>
    <row r="153" spans="1:14">
      <c r="A153" s="39" t="s">
        <v>432</v>
      </c>
      <c r="B153" s="46" t="s">
        <v>245</v>
      </c>
      <c r="C153" s="39" t="s">
        <v>417</v>
      </c>
      <c r="D153" s="72">
        <v>304068732</v>
      </c>
      <c r="E153" s="73">
        <v>2523919445</v>
      </c>
      <c r="F153" s="39" t="s">
        <v>261</v>
      </c>
      <c r="G153" s="49">
        <v>34710</v>
      </c>
      <c r="H153" s="50" t="str">
        <f t="shared" si="4"/>
        <v>Jan</v>
      </c>
      <c r="I153" s="51">
        <f t="shared" ca="1" si="5"/>
        <v>21</v>
      </c>
      <c r="J153" s="52" t="s">
        <v>257</v>
      </c>
      <c r="K153" s="53">
        <v>40930</v>
      </c>
      <c r="L153" s="54">
        <v>4</v>
      </c>
      <c r="M153" s="55"/>
      <c r="N153" s="63"/>
    </row>
    <row r="154" spans="1:14">
      <c r="A154" s="39" t="s">
        <v>433</v>
      </c>
      <c r="B154" s="46" t="s">
        <v>245</v>
      </c>
      <c r="C154" s="39" t="s">
        <v>417</v>
      </c>
      <c r="D154" s="72">
        <v>429283827</v>
      </c>
      <c r="E154" s="73">
        <v>9195508095</v>
      </c>
      <c r="F154" s="39" t="s">
        <v>256</v>
      </c>
      <c r="G154" s="49">
        <v>37644</v>
      </c>
      <c r="H154" s="50" t="str">
        <f t="shared" si="4"/>
        <v>Jan</v>
      </c>
      <c r="I154" s="51">
        <f t="shared" ca="1" si="5"/>
        <v>13</v>
      </c>
      <c r="J154" s="52" t="s">
        <v>283</v>
      </c>
      <c r="K154" s="53">
        <v>85660</v>
      </c>
      <c r="L154" s="54">
        <v>2</v>
      </c>
      <c r="M154" s="55"/>
    </row>
    <row r="155" spans="1:14">
      <c r="A155" s="39" t="s">
        <v>434</v>
      </c>
      <c r="B155" s="46" t="s">
        <v>251</v>
      </c>
      <c r="C155" s="39" t="s">
        <v>417</v>
      </c>
      <c r="D155" s="72">
        <v>993867417</v>
      </c>
      <c r="E155" s="73">
        <v>2522338778</v>
      </c>
      <c r="F155" s="39" t="s">
        <v>256</v>
      </c>
      <c r="G155" s="49">
        <v>34924</v>
      </c>
      <c r="H155" s="50" t="str">
        <f t="shared" si="4"/>
        <v>Aug</v>
      </c>
      <c r="I155" s="51">
        <f t="shared" ca="1" si="5"/>
        <v>21</v>
      </c>
      <c r="J155" s="52" t="s">
        <v>283</v>
      </c>
      <c r="K155" s="53">
        <v>55610</v>
      </c>
      <c r="L155" s="54">
        <v>5</v>
      </c>
      <c r="M155" s="55"/>
    </row>
    <row r="156" spans="1:14">
      <c r="A156" s="39" t="s">
        <v>435</v>
      </c>
      <c r="B156" s="46" t="s">
        <v>280</v>
      </c>
      <c r="C156" s="39" t="s">
        <v>417</v>
      </c>
      <c r="D156" s="72">
        <v>525507320</v>
      </c>
      <c r="E156" s="73">
        <v>2523938131</v>
      </c>
      <c r="F156" s="39" t="s">
        <v>256</v>
      </c>
      <c r="G156" s="49">
        <v>37415</v>
      </c>
      <c r="H156" s="50" t="str">
        <f t="shared" si="4"/>
        <v>Jun</v>
      </c>
      <c r="I156" s="51">
        <f t="shared" ca="1" si="5"/>
        <v>14</v>
      </c>
      <c r="J156" s="52" t="s">
        <v>276</v>
      </c>
      <c r="K156" s="53">
        <v>47620</v>
      </c>
      <c r="L156" s="54">
        <v>5</v>
      </c>
      <c r="M156" s="55"/>
    </row>
    <row r="157" spans="1:14">
      <c r="A157" s="39" t="s">
        <v>436</v>
      </c>
      <c r="B157" s="46" t="s">
        <v>280</v>
      </c>
      <c r="C157" s="39" t="s">
        <v>417</v>
      </c>
      <c r="D157" s="72">
        <v>279591317</v>
      </c>
      <c r="E157" s="73">
        <v>2522381391</v>
      </c>
      <c r="F157" s="39" t="s">
        <v>252</v>
      </c>
      <c r="G157" s="49">
        <v>37264</v>
      </c>
      <c r="H157" s="50" t="str">
        <f t="shared" si="4"/>
        <v>Jan</v>
      </c>
      <c r="I157" s="51">
        <f t="shared" ca="1" si="5"/>
        <v>14</v>
      </c>
      <c r="J157" s="52"/>
      <c r="K157" s="53">
        <v>46520</v>
      </c>
      <c r="L157" s="54">
        <v>4</v>
      </c>
      <c r="M157" s="55"/>
    </row>
    <row r="158" spans="1:14">
      <c r="A158" s="39" t="s">
        <v>437</v>
      </c>
      <c r="B158" s="46" t="s">
        <v>285</v>
      </c>
      <c r="C158" s="39" t="s">
        <v>417</v>
      </c>
      <c r="D158" s="72">
        <v>541365827</v>
      </c>
      <c r="E158" s="73">
        <v>2525317859</v>
      </c>
      <c r="F158" s="39" t="s">
        <v>256</v>
      </c>
      <c r="G158" s="49">
        <v>39136</v>
      </c>
      <c r="H158" s="50" t="str">
        <f t="shared" si="4"/>
        <v>Feb</v>
      </c>
      <c r="I158" s="51">
        <f t="shared" ca="1" si="5"/>
        <v>9</v>
      </c>
      <c r="J158" s="52" t="s">
        <v>267</v>
      </c>
      <c r="K158" s="53">
        <v>78670</v>
      </c>
      <c r="L158" s="54">
        <v>1</v>
      </c>
      <c r="M158" s="55"/>
    </row>
    <row r="159" spans="1:14">
      <c r="A159" s="39" t="s">
        <v>438</v>
      </c>
      <c r="B159" s="46" t="s">
        <v>271</v>
      </c>
      <c r="C159" s="39" t="s">
        <v>417</v>
      </c>
      <c r="D159" s="72">
        <v>571821715</v>
      </c>
      <c r="E159" s="73">
        <v>2527102355</v>
      </c>
      <c r="F159" s="39" t="s">
        <v>256</v>
      </c>
      <c r="G159" s="49">
        <v>36606</v>
      </c>
      <c r="H159" s="50" t="str">
        <f t="shared" si="4"/>
        <v>Mar</v>
      </c>
      <c r="I159" s="51">
        <f t="shared" ca="1" si="5"/>
        <v>16</v>
      </c>
      <c r="J159" s="52" t="s">
        <v>283</v>
      </c>
      <c r="K159" s="53">
        <v>68240</v>
      </c>
      <c r="L159" s="54">
        <v>1</v>
      </c>
      <c r="M159" s="55"/>
    </row>
    <row r="160" spans="1:14">
      <c r="A160" s="39" t="s">
        <v>439</v>
      </c>
      <c r="B160" s="46" t="s">
        <v>280</v>
      </c>
      <c r="C160" s="39" t="s">
        <v>417</v>
      </c>
      <c r="D160" s="72">
        <v>171868795</v>
      </c>
      <c r="E160" s="73">
        <v>9194323329</v>
      </c>
      <c r="F160" s="39" t="s">
        <v>256</v>
      </c>
      <c r="G160" s="49">
        <v>34080</v>
      </c>
      <c r="H160" s="50" t="str">
        <f t="shared" si="4"/>
        <v>Apr</v>
      </c>
      <c r="I160" s="51">
        <f t="shared" ca="1" si="5"/>
        <v>23</v>
      </c>
      <c r="J160" s="52" t="s">
        <v>276</v>
      </c>
      <c r="K160" s="53">
        <v>38830</v>
      </c>
      <c r="L160" s="54">
        <v>4</v>
      </c>
      <c r="M160" s="55"/>
    </row>
    <row r="161" spans="1:14">
      <c r="A161" s="39" t="s">
        <v>440</v>
      </c>
      <c r="B161" s="46" t="s">
        <v>285</v>
      </c>
      <c r="C161" s="39" t="s">
        <v>417</v>
      </c>
      <c r="D161" s="72">
        <v>659929807</v>
      </c>
      <c r="E161" s="73">
        <v>9193089561</v>
      </c>
      <c r="F161" s="39" t="s">
        <v>256</v>
      </c>
      <c r="G161" s="49">
        <v>39754</v>
      </c>
      <c r="H161" s="50" t="str">
        <f t="shared" si="4"/>
        <v>Nov</v>
      </c>
      <c r="I161" s="51">
        <f t="shared" ca="1" si="5"/>
        <v>8</v>
      </c>
      <c r="J161" s="52" t="s">
        <v>257</v>
      </c>
      <c r="K161" s="53">
        <v>26890</v>
      </c>
      <c r="L161" s="54">
        <v>4</v>
      </c>
      <c r="M161" s="55"/>
    </row>
    <row r="162" spans="1:14">
      <c r="A162" s="39" t="s">
        <v>441</v>
      </c>
      <c r="B162" s="46" t="s">
        <v>271</v>
      </c>
      <c r="C162" s="39" t="s">
        <v>417</v>
      </c>
      <c r="D162" s="72">
        <v>113699123</v>
      </c>
      <c r="E162" s="73">
        <v>2526563683</v>
      </c>
      <c r="F162" s="39" t="s">
        <v>256</v>
      </c>
      <c r="G162" s="49">
        <v>34118</v>
      </c>
      <c r="H162" s="50" t="str">
        <f t="shared" si="4"/>
        <v>May</v>
      </c>
      <c r="I162" s="51">
        <f t="shared" ca="1" si="5"/>
        <v>23</v>
      </c>
      <c r="J162" s="52" t="s">
        <v>267</v>
      </c>
      <c r="K162" s="53">
        <v>42430</v>
      </c>
      <c r="L162" s="54">
        <v>5</v>
      </c>
      <c r="M162" s="55"/>
    </row>
    <row r="163" spans="1:14">
      <c r="A163" s="39" t="s">
        <v>442</v>
      </c>
      <c r="B163" s="46" t="s">
        <v>271</v>
      </c>
      <c r="C163" s="39" t="s">
        <v>417</v>
      </c>
      <c r="D163" s="72">
        <v>249760737</v>
      </c>
      <c r="E163" s="73">
        <v>2522969056</v>
      </c>
      <c r="F163" s="39" t="s">
        <v>247</v>
      </c>
      <c r="G163" s="49">
        <v>34950</v>
      </c>
      <c r="H163" s="50" t="str">
        <f t="shared" si="4"/>
        <v>Sep</v>
      </c>
      <c r="I163" s="51">
        <f t="shared" ca="1" si="5"/>
        <v>21</v>
      </c>
      <c r="J163" s="52"/>
      <c r="K163" s="53">
        <v>97280</v>
      </c>
      <c r="L163" s="54">
        <v>5</v>
      </c>
      <c r="M163" s="55"/>
    </row>
    <row r="164" spans="1:14">
      <c r="A164" s="39" t="s">
        <v>443</v>
      </c>
      <c r="B164" s="46" t="s">
        <v>285</v>
      </c>
      <c r="C164" s="39" t="s">
        <v>417</v>
      </c>
      <c r="D164" s="72">
        <v>536516131</v>
      </c>
      <c r="E164" s="73">
        <v>2524442207</v>
      </c>
      <c r="F164" s="39" t="s">
        <v>256</v>
      </c>
      <c r="G164" s="49">
        <v>41471</v>
      </c>
      <c r="H164" s="50" t="str">
        <f t="shared" si="4"/>
        <v>Jul</v>
      </c>
      <c r="I164" s="51">
        <f t="shared" ca="1" si="5"/>
        <v>3</v>
      </c>
      <c r="J164" s="52" t="s">
        <v>283</v>
      </c>
      <c r="K164" s="53">
        <v>51140</v>
      </c>
      <c r="L164" s="54">
        <v>3</v>
      </c>
      <c r="M164" s="55"/>
    </row>
    <row r="165" spans="1:14">
      <c r="A165" s="39" t="s">
        <v>444</v>
      </c>
      <c r="B165" s="46" t="s">
        <v>245</v>
      </c>
      <c r="C165" s="39" t="s">
        <v>417</v>
      </c>
      <c r="D165" s="72">
        <v>932787692</v>
      </c>
      <c r="E165" s="73">
        <v>2522612740</v>
      </c>
      <c r="F165" s="39" t="s">
        <v>247</v>
      </c>
      <c r="G165" s="49">
        <v>35162</v>
      </c>
      <c r="H165" s="50" t="str">
        <f t="shared" si="4"/>
        <v>Apr</v>
      </c>
      <c r="I165" s="51">
        <f t="shared" ca="1" si="5"/>
        <v>20</v>
      </c>
      <c r="J165" s="52"/>
      <c r="K165" s="53">
        <v>76910</v>
      </c>
      <c r="L165" s="54">
        <v>2</v>
      </c>
      <c r="M165" s="55"/>
    </row>
    <row r="166" spans="1:14">
      <c r="A166" s="39" t="s">
        <v>445</v>
      </c>
      <c r="B166" s="46" t="s">
        <v>285</v>
      </c>
      <c r="C166" s="39" t="s">
        <v>417</v>
      </c>
      <c r="D166" s="72">
        <v>116869057</v>
      </c>
      <c r="E166" s="73">
        <v>2521614846</v>
      </c>
      <c r="F166" s="39" t="s">
        <v>261</v>
      </c>
      <c r="G166" s="49">
        <v>35756</v>
      </c>
      <c r="H166" s="50" t="str">
        <f t="shared" si="4"/>
        <v>Nov</v>
      </c>
      <c r="I166" s="51">
        <f t="shared" ca="1" si="5"/>
        <v>18</v>
      </c>
      <c r="J166" s="52" t="s">
        <v>267</v>
      </c>
      <c r="K166" s="53">
        <v>18010</v>
      </c>
      <c r="L166" s="54">
        <v>4</v>
      </c>
      <c r="M166" s="55"/>
      <c r="N166" s="63"/>
    </row>
    <row r="167" spans="1:14">
      <c r="A167" s="39" t="s">
        <v>446</v>
      </c>
      <c r="B167" s="46" t="s">
        <v>251</v>
      </c>
      <c r="C167" s="39" t="s">
        <v>417</v>
      </c>
      <c r="D167" s="72">
        <v>105708355</v>
      </c>
      <c r="E167" s="73">
        <v>2524697218</v>
      </c>
      <c r="F167" s="39" t="s">
        <v>256</v>
      </c>
      <c r="G167" s="49">
        <v>36990</v>
      </c>
      <c r="H167" s="50" t="str">
        <f t="shared" si="4"/>
        <v>Apr</v>
      </c>
      <c r="I167" s="51">
        <f t="shared" ca="1" si="5"/>
        <v>15</v>
      </c>
      <c r="J167" s="52" t="s">
        <v>262</v>
      </c>
      <c r="K167" s="53">
        <v>85210</v>
      </c>
      <c r="L167" s="54">
        <v>5</v>
      </c>
      <c r="M167" s="55"/>
    </row>
    <row r="168" spans="1:14">
      <c r="A168" s="39" t="s">
        <v>447</v>
      </c>
      <c r="B168" s="46" t="s">
        <v>285</v>
      </c>
      <c r="C168" s="39" t="s">
        <v>417</v>
      </c>
      <c r="D168" s="72">
        <v>659766304</v>
      </c>
      <c r="E168" s="73">
        <v>9195876028</v>
      </c>
      <c r="F168" s="39" t="s">
        <v>256</v>
      </c>
      <c r="G168" s="49">
        <v>36502</v>
      </c>
      <c r="H168" s="50" t="str">
        <f t="shared" si="4"/>
        <v>Dec</v>
      </c>
      <c r="I168" s="51">
        <f t="shared" ca="1" si="5"/>
        <v>16</v>
      </c>
      <c r="J168" s="52" t="s">
        <v>283</v>
      </c>
      <c r="K168" s="53">
        <v>45300</v>
      </c>
      <c r="L168" s="54">
        <v>5</v>
      </c>
      <c r="M168" s="55"/>
    </row>
    <row r="169" spans="1:14">
      <c r="A169" s="39" t="s">
        <v>448</v>
      </c>
      <c r="B169" s="46" t="s">
        <v>271</v>
      </c>
      <c r="C169" s="39" t="s">
        <v>417</v>
      </c>
      <c r="D169" s="72">
        <v>232896341</v>
      </c>
      <c r="E169" s="73">
        <v>9197288082</v>
      </c>
      <c r="F169" s="39" t="s">
        <v>247</v>
      </c>
      <c r="G169" s="49">
        <v>41237</v>
      </c>
      <c r="H169" s="50" t="str">
        <f t="shared" si="4"/>
        <v>Nov</v>
      </c>
      <c r="I169" s="51">
        <f t="shared" ca="1" si="5"/>
        <v>3</v>
      </c>
      <c r="J169" s="52"/>
      <c r="K169" s="53">
        <v>55000</v>
      </c>
      <c r="L169" s="54">
        <v>4</v>
      </c>
      <c r="M169" s="55"/>
    </row>
    <row r="170" spans="1:14">
      <c r="A170" s="39" t="s">
        <v>449</v>
      </c>
      <c r="B170" s="46" t="s">
        <v>251</v>
      </c>
      <c r="C170" s="39" t="s">
        <v>417</v>
      </c>
      <c r="D170" s="72">
        <v>281005046</v>
      </c>
      <c r="E170" s="73">
        <v>2527051004</v>
      </c>
      <c r="F170" s="39" t="s">
        <v>247</v>
      </c>
      <c r="G170" s="49">
        <v>41055</v>
      </c>
      <c r="H170" s="50" t="str">
        <f t="shared" si="4"/>
        <v>May</v>
      </c>
      <c r="I170" s="51">
        <f t="shared" ca="1" si="5"/>
        <v>4</v>
      </c>
      <c r="J170" s="52"/>
      <c r="K170" s="53">
        <v>68300</v>
      </c>
      <c r="L170" s="54">
        <v>4</v>
      </c>
      <c r="M170" s="55"/>
    </row>
    <row r="171" spans="1:14">
      <c r="A171" s="39" t="s">
        <v>450</v>
      </c>
      <c r="B171" s="46" t="s">
        <v>285</v>
      </c>
      <c r="C171" s="39" t="s">
        <v>417</v>
      </c>
      <c r="D171" s="72">
        <v>302598687</v>
      </c>
      <c r="E171" s="73">
        <v>9195394899</v>
      </c>
      <c r="F171" s="39" t="s">
        <v>256</v>
      </c>
      <c r="G171" s="49">
        <v>35087</v>
      </c>
      <c r="H171" s="50" t="str">
        <f t="shared" si="4"/>
        <v>Jan</v>
      </c>
      <c r="I171" s="51">
        <f t="shared" ca="1" si="5"/>
        <v>20</v>
      </c>
      <c r="J171" s="52" t="s">
        <v>257</v>
      </c>
      <c r="K171" s="53">
        <v>38210</v>
      </c>
      <c r="L171" s="54">
        <v>1</v>
      </c>
      <c r="M171" s="55"/>
    </row>
    <row r="172" spans="1:14">
      <c r="A172" s="39" t="s">
        <v>451</v>
      </c>
      <c r="B172" s="46" t="s">
        <v>271</v>
      </c>
      <c r="C172" s="39" t="s">
        <v>417</v>
      </c>
      <c r="D172" s="72">
        <v>603301910</v>
      </c>
      <c r="E172" s="73">
        <v>9196514650</v>
      </c>
      <c r="F172" s="39" t="s">
        <v>256</v>
      </c>
      <c r="G172" s="49">
        <v>35214</v>
      </c>
      <c r="H172" s="50" t="str">
        <f t="shared" si="4"/>
        <v>May</v>
      </c>
      <c r="I172" s="51">
        <f t="shared" ca="1" si="5"/>
        <v>20</v>
      </c>
      <c r="J172" s="52" t="s">
        <v>257</v>
      </c>
      <c r="K172" s="53">
        <v>87480</v>
      </c>
      <c r="L172" s="54">
        <v>3</v>
      </c>
      <c r="M172" s="55"/>
    </row>
    <row r="173" spans="1:14">
      <c r="A173" s="39" t="s">
        <v>452</v>
      </c>
      <c r="B173" s="46" t="s">
        <v>285</v>
      </c>
      <c r="C173" s="39" t="s">
        <v>417</v>
      </c>
      <c r="D173" s="72">
        <v>661397587</v>
      </c>
      <c r="E173" s="73">
        <v>9196126835</v>
      </c>
      <c r="F173" s="39" t="s">
        <v>247</v>
      </c>
      <c r="G173" s="49">
        <v>35913</v>
      </c>
      <c r="H173" s="50" t="str">
        <f t="shared" si="4"/>
        <v>Apr</v>
      </c>
      <c r="I173" s="51">
        <f t="shared" ca="1" si="5"/>
        <v>18</v>
      </c>
      <c r="J173" s="52"/>
      <c r="K173" s="53">
        <v>48670</v>
      </c>
      <c r="L173" s="54">
        <v>5</v>
      </c>
      <c r="M173" s="55"/>
    </row>
    <row r="174" spans="1:14">
      <c r="A174" s="39" t="s">
        <v>453</v>
      </c>
      <c r="B174" s="46" t="s">
        <v>271</v>
      </c>
      <c r="C174" s="39" t="s">
        <v>417</v>
      </c>
      <c r="D174" s="72">
        <v>622274162</v>
      </c>
      <c r="E174" s="73">
        <v>9191264786</v>
      </c>
      <c r="F174" s="39" t="s">
        <v>247</v>
      </c>
      <c r="G174" s="49">
        <v>35772</v>
      </c>
      <c r="H174" s="50" t="str">
        <f t="shared" si="4"/>
        <v>Dec</v>
      </c>
      <c r="I174" s="51">
        <f t="shared" ca="1" si="5"/>
        <v>18</v>
      </c>
      <c r="J174" s="52"/>
      <c r="K174" s="53">
        <v>31630</v>
      </c>
      <c r="L174" s="54">
        <v>4</v>
      </c>
      <c r="M174" s="55"/>
    </row>
    <row r="175" spans="1:14">
      <c r="A175" s="39" t="s">
        <v>454</v>
      </c>
      <c r="B175" s="46" t="s">
        <v>271</v>
      </c>
      <c r="C175" s="39" t="s">
        <v>417</v>
      </c>
      <c r="D175" s="72">
        <v>625531462</v>
      </c>
      <c r="E175" s="73">
        <v>2527553017</v>
      </c>
      <c r="F175" s="39" t="s">
        <v>256</v>
      </c>
      <c r="G175" s="49">
        <v>38289</v>
      </c>
      <c r="H175" s="50" t="str">
        <f t="shared" si="4"/>
        <v>Oct</v>
      </c>
      <c r="I175" s="51">
        <f t="shared" ca="1" si="5"/>
        <v>12</v>
      </c>
      <c r="J175" s="52" t="s">
        <v>257</v>
      </c>
      <c r="K175" s="53">
        <v>50980</v>
      </c>
      <c r="L175" s="54">
        <v>3</v>
      </c>
      <c r="M175" s="55"/>
    </row>
    <row r="176" spans="1:14">
      <c r="A176" s="39" t="s">
        <v>455</v>
      </c>
      <c r="B176" s="46" t="s">
        <v>251</v>
      </c>
      <c r="C176" s="39" t="s">
        <v>456</v>
      </c>
      <c r="D176" s="72">
        <v>117896630</v>
      </c>
      <c r="E176" s="73">
        <v>9197173558</v>
      </c>
      <c r="F176" s="39" t="s">
        <v>247</v>
      </c>
      <c r="G176" s="49">
        <v>41264</v>
      </c>
      <c r="H176" s="50" t="str">
        <f t="shared" si="4"/>
        <v>Dec</v>
      </c>
      <c r="I176" s="51">
        <f t="shared" ca="1" si="5"/>
        <v>3</v>
      </c>
      <c r="J176" s="52" t="s">
        <v>267</v>
      </c>
      <c r="K176" s="53">
        <v>85430</v>
      </c>
      <c r="L176" s="54">
        <v>4</v>
      </c>
      <c r="M176" s="55"/>
    </row>
    <row r="177" spans="1:13">
      <c r="A177" s="39" t="s">
        <v>457</v>
      </c>
      <c r="B177" s="46" t="s">
        <v>271</v>
      </c>
      <c r="C177" s="39" t="s">
        <v>456</v>
      </c>
      <c r="D177" s="72">
        <v>351268538</v>
      </c>
      <c r="E177" s="73">
        <v>2525610944</v>
      </c>
      <c r="F177" s="39" t="s">
        <v>252</v>
      </c>
      <c r="G177" s="49">
        <v>37520</v>
      </c>
      <c r="H177" s="50" t="str">
        <f t="shared" si="4"/>
        <v>Sep</v>
      </c>
      <c r="I177" s="51">
        <f t="shared" ca="1" si="5"/>
        <v>14</v>
      </c>
      <c r="J177" s="52" t="s">
        <v>283</v>
      </c>
      <c r="K177" s="53">
        <v>74230</v>
      </c>
      <c r="L177" s="54">
        <v>5</v>
      </c>
      <c r="M177" s="55"/>
    </row>
    <row r="178" spans="1:13">
      <c r="A178" s="39" t="s">
        <v>458</v>
      </c>
      <c r="B178" s="46" t="s">
        <v>285</v>
      </c>
      <c r="C178" s="39" t="s">
        <v>456</v>
      </c>
      <c r="D178" s="72">
        <v>771953685</v>
      </c>
      <c r="E178" s="73">
        <v>2526739978</v>
      </c>
      <c r="F178" s="39" t="s">
        <v>252</v>
      </c>
      <c r="G178" s="49">
        <v>38947</v>
      </c>
      <c r="H178" s="50" t="str">
        <f t="shared" si="4"/>
        <v>Aug</v>
      </c>
      <c r="I178" s="51">
        <f t="shared" ca="1" si="5"/>
        <v>10</v>
      </c>
      <c r="J178" s="52" t="s">
        <v>257</v>
      </c>
      <c r="K178" s="53">
        <v>102160</v>
      </c>
      <c r="L178" s="54">
        <v>5</v>
      </c>
      <c r="M178" s="55"/>
    </row>
    <row r="179" spans="1:13">
      <c r="A179" s="39" t="s">
        <v>459</v>
      </c>
      <c r="B179" s="46" t="s">
        <v>285</v>
      </c>
      <c r="C179" s="39" t="s">
        <v>456</v>
      </c>
      <c r="D179" s="72">
        <v>875920441</v>
      </c>
      <c r="E179" s="73">
        <v>9191715499</v>
      </c>
      <c r="F179" s="39" t="s">
        <v>261</v>
      </c>
      <c r="G179" s="49">
        <v>38506</v>
      </c>
      <c r="H179" s="50" t="str">
        <f t="shared" si="4"/>
        <v>Jun</v>
      </c>
      <c r="I179" s="51">
        <f t="shared" ca="1" si="5"/>
        <v>11</v>
      </c>
      <c r="J179" s="52" t="s">
        <v>276</v>
      </c>
      <c r="K179" s="53">
        <v>62160</v>
      </c>
      <c r="L179" s="54">
        <v>1</v>
      </c>
      <c r="M179" s="55"/>
    </row>
    <row r="180" spans="1:13">
      <c r="A180" s="39" t="s">
        <v>460</v>
      </c>
      <c r="B180" s="46" t="s">
        <v>280</v>
      </c>
      <c r="C180" s="39" t="s">
        <v>456</v>
      </c>
      <c r="D180" s="72">
        <v>477110649</v>
      </c>
      <c r="E180" s="73">
        <v>9191351512</v>
      </c>
      <c r="F180" s="39" t="s">
        <v>256</v>
      </c>
      <c r="G180" s="49">
        <v>38044</v>
      </c>
      <c r="H180" s="50" t="str">
        <f t="shared" si="4"/>
        <v>Feb</v>
      </c>
      <c r="I180" s="51">
        <f t="shared" ca="1" si="5"/>
        <v>12</v>
      </c>
      <c r="J180" s="52" t="s">
        <v>262</v>
      </c>
      <c r="K180" s="53">
        <v>54180</v>
      </c>
      <c r="L180" s="54">
        <v>1</v>
      </c>
      <c r="M180" s="55"/>
    </row>
    <row r="181" spans="1:13">
      <c r="A181" s="39" t="s">
        <v>461</v>
      </c>
      <c r="B181" s="46" t="s">
        <v>280</v>
      </c>
      <c r="C181" s="39" t="s">
        <v>456</v>
      </c>
      <c r="D181" s="72">
        <v>746497232</v>
      </c>
      <c r="E181" s="73">
        <v>9196681578</v>
      </c>
      <c r="F181" s="39" t="s">
        <v>247</v>
      </c>
      <c r="G181" s="49">
        <v>37674</v>
      </c>
      <c r="H181" s="50" t="str">
        <f t="shared" si="4"/>
        <v>Feb</v>
      </c>
      <c r="I181" s="51">
        <f t="shared" ca="1" si="5"/>
        <v>13</v>
      </c>
      <c r="J181" s="52" t="s">
        <v>283</v>
      </c>
      <c r="K181" s="53">
        <v>83290</v>
      </c>
      <c r="L181" s="54">
        <v>4</v>
      </c>
      <c r="M181" s="55"/>
    </row>
    <row r="182" spans="1:13">
      <c r="A182" s="39" t="s">
        <v>462</v>
      </c>
      <c r="B182" s="46" t="s">
        <v>271</v>
      </c>
      <c r="C182" s="39" t="s">
        <v>456</v>
      </c>
      <c r="D182" s="72">
        <v>861884260</v>
      </c>
      <c r="E182" s="73">
        <v>9196632360</v>
      </c>
      <c r="F182" s="39" t="s">
        <v>256</v>
      </c>
      <c r="G182" s="49">
        <v>34386</v>
      </c>
      <c r="H182" s="50" t="str">
        <f t="shared" si="4"/>
        <v>Feb</v>
      </c>
      <c r="I182" s="51">
        <f t="shared" ca="1" si="5"/>
        <v>22</v>
      </c>
      <c r="J182" s="52" t="s">
        <v>257</v>
      </c>
      <c r="K182" s="53">
        <v>106970</v>
      </c>
      <c r="L182" s="54">
        <v>1</v>
      </c>
      <c r="M182" s="55"/>
    </row>
    <row r="183" spans="1:13">
      <c r="A183" s="39" t="s">
        <v>463</v>
      </c>
      <c r="B183" s="46" t="s">
        <v>271</v>
      </c>
      <c r="C183" s="39" t="s">
        <v>456</v>
      </c>
      <c r="D183" s="72">
        <v>244171882</v>
      </c>
      <c r="E183" s="73">
        <v>2527577867</v>
      </c>
      <c r="F183" s="39" t="s">
        <v>261</v>
      </c>
      <c r="G183" s="49">
        <v>35402</v>
      </c>
      <c r="H183" s="50" t="str">
        <f t="shared" si="4"/>
        <v>Dec</v>
      </c>
      <c r="I183" s="51">
        <f t="shared" ca="1" si="5"/>
        <v>19</v>
      </c>
      <c r="J183" s="52" t="s">
        <v>267</v>
      </c>
      <c r="K183" s="53">
        <v>107740</v>
      </c>
      <c r="L183" s="54">
        <v>4</v>
      </c>
      <c r="M183" s="55"/>
    </row>
    <row r="184" spans="1:13">
      <c r="A184" s="39" t="s">
        <v>464</v>
      </c>
      <c r="B184" s="46" t="s">
        <v>271</v>
      </c>
      <c r="C184" s="39" t="s">
        <v>465</v>
      </c>
      <c r="D184" s="72">
        <v>501523688</v>
      </c>
      <c r="E184" s="73">
        <v>2528560698</v>
      </c>
      <c r="F184" s="39" t="s">
        <v>256</v>
      </c>
      <c r="G184" s="49">
        <v>36521</v>
      </c>
      <c r="H184" s="50" t="str">
        <f t="shared" si="4"/>
        <v>Dec</v>
      </c>
      <c r="I184" s="51">
        <f t="shared" ca="1" si="5"/>
        <v>16</v>
      </c>
      <c r="J184" s="52" t="s">
        <v>257</v>
      </c>
      <c r="K184" s="53">
        <v>95680</v>
      </c>
      <c r="L184" s="54">
        <v>2</v>
      </c>
      <c r="M184" s="55"/>
    </row>
    <row r="185" spans="1:13">
      <c r="A185" s="39" t="s">
        <v>466</v>
      </c>
      <c r="B185" s="46" t="s">
        <v>285</v>
      </c>
      <c r="C185" s="39" t="s">
        <v>465</v>
      </c>
      <c r="D185" s="72">
        <v>722630791</v>
      </c>
      <c r="E185" s="73">
        <v>2522263363</v>
      </c>
      <c r="F185" s="39" t="s">
        <v>252</v>
      </c>
      <c r="G185" s="49">
        <v>36983</v>
      </c>
      <c r="H185" s="50" t="str">
        <f t="shared" si="4"/>
        <v>Apr</v>
      </c>
      <c r="I185" s="51">
        <f t="shared" ca="1" si="5"/>
        <v>15</v>
      </c>
      <c r="J185" s="52"/>
      <c r="K185" s="53">
        <v>10680</v>
      </c>
      <c r="L185" s="54">
        <v>3</v>
      </c>
      <c r="M185" s="55"/>
    </row>
    <row r="186" spans="1:13">
      <c r="A186" s="39" t="s">
        <v>467</v>
      </c>
      <c r="B186" s="46" t="s">
        <v>271</v>
      </c>
      <c r="C186" s="39" t="s">
        <v>465</v>
      </c>
      <c r="D186" s="72">
        <v>592631929</v>
      </c>
      <c r="E186" s="73">
        <v>2523922629</v>
      </c>
      <c r="F186" s="39" t="s">
        <v>247</v>
      </c>
      <c r="G186" s="49">
        <v>36350</v>
      </c>
      <c r="H186" s="50" t="str">
        <f t="shared" si="4"/>
        <v>Jul</v>
      </c>
      <c r="I186" s="51">
        <f t="shared" ca="1" si="5"/>
        <v>17</v>
      </c>
      <c r="J186" s="52"/>
      <c r="K186" s="53">
        <v>63530</v>
      </c>
      <c r="L186" s="54">
        <v>4</v>
      </c>
      <c r="M186" s="55"/>
    </row>
    <row r="187" spans="1:13">
      <c r="A187" s="39" t="s">
        <v>468</v>
      </c>
      <c r="B187" s="46" t="s">
        <v>285</v>
      </c>
      <c r="C187" s="39" t="s">
        <v>465</v>
      </c>
      <c r="D187" s="72">
        <v>319449613</v>
      </c>
      <c r="E187" s="73">
        <v>2523454032</v>
      </c>
      <c r="F187" s="39" t="s">
        <v>256</v>
      </c>
      <c r="G187" s="49">
        <v>37333</v>
      </c>
      <c r="H187" s="50" t="str">
        <f t="shared" si="4"/>
        <v>Mar</v>
      </c>
      <c r="I187" s="51">
        <f t="shared" ca="1" si="5"/>
        <v>14</v>
      </c>
      <c r="J187" s="52" t="s">
        <v>267</v>
      </c>
      <c r="K187" s="53">
        <v>45310</v>
      </c>
      <c r="L187" s="54">
        <v>2</v>
      </c>
      <c r="M187" s="55"/>
    </row>
    <row r="188" spans="1:13">
      <c r="A188" s="39" t="s">
        <v>469</v>
      </c>
      <c r="B188" s="46" t="s">
        <v>245</v>
      </c>
      <c r="C188" s="39" t="s">
        <v>465</v>
      </c>
      <c r="D188" s="72">
        <v>865073824</v>
      </c>
      <c r="E188" s="73">
        <v>2524785979</v>
      </c>
      <c r="F188" s="39" t="s">
        <v>256</v>
      </c>
      <c r="G188" s="49">
        <v>35542</v>
      </c>
      <c r="H188" s="50" t="str">
        <f t="shared" si="4"/>
        <v>Apr</v>
      </c>
      <c r="I188" s="51">
        <f t="shared" ca="1" si="5"/>
        <v>19</v>
      </c>
      <c r="J188" s="52" t="s">
        <v>276</v>
      </c>
      <c r="K188" s="53">
        <v>41380</v>
      </c>
      <c r="L188" s="54">
        <v>3</v>
      </c>
      <c r="M188" s="55"/>
    </row>
    <row r="189" spans="1:13">
      <c r="A189" s="39" t="s">
        <v>470</v>
      </c>
      <c r="B189" s="46" t="s">
        <v>285</v>
      </c>
      <c r="C189" s="39" t="s">
        <v>465</v>
      </c>
      <c r="D189" s="72">
        <v>894030119</v>
      </c>
      <c r="E189" s="73">
        <v>2528652588</v>
      </c>
      <c r="F189" s="39" t="s">
        <v>256</v>
      </c>
      <c r="G189" s="49">
        <v>38069</v>
      </c>
      <c r="H189" s="50" t="str">
        <f t="shared" si="4"/>
        <v>Mar</v>
      </c>
      <c r="I189" s="51">
        <f t="shared" ca="1" si="5"/>
        <v>12</v>
      </c>
      <c r="J189" s="52" t="s">
        <v>262</v>
      </c>
      <c r="K189" s="53">
        <v>79210</v>
      </c>
      <c r="L189" s="54">
        <v>5</v>
      </c>
      <c r="M189" s="55"/>
    </row>
    <row r="190" spans="1:13">
      <c r="A190" s="39" t="s">
        <v>471</v>
      </c>
      <c r="B190" s="46" t="s">
        <v>251</v>
      </c>
      <c r="C190" s="39" t="s">
        <v>465</v>
      </c>
      <c r="D190" s="72">
        <v>100679868</v>
      </c>
      <c r="E190" s="73">
        <v>9198082183</v>
      </c>
      <c r="F190" s="39" t="s">
        <v>261</v>
      </c>
      <c r="G190" s="49">
        <v>36808</v>
      </c>
      <c r="H190" s="50" t="str">
        <f t="shared" si="4"/>
        <v>Oct</v>
      </c>
      <c r="I190" s="51">
        <f t="shared" ca="1" si="5"/>
        <v>16</v>
      </c>
      <c r="J190" s="52" t="s">
        <v>257</v>
      </c>
      <c r="K190" s="53">
        <v>58600</v>
      </c>
      <c r="L190" s="54">
        <v>5</v>
      </c>
      <c r="M190" s="55"/>
    </row>
    <row r="191" spans="1:13">
      <c r="A191" s="39" t="s">
        <v>472</v>
      </c>
      <c r="B191" s="46" t="s">
        <v>280</v>
      </c>
      <c r="C191" s="39" t="s">
        <v>465</v>
      </c>
      <c r="D191" s="72">
        <v>647552282</v>
      </c>
      <c r="E191" s="73">
        <v>9193392642</v>
      </c>
      <c r="F191" s="39" t="s">
        <v>247</v>
      </c>
      <c r="G191" s="49">
        <v>35266</v>
      </c>
      <c r="H191" s="50" t="str">
        <f t="shared" si="4"/>
        <v>Jul</v>
      </c>
      <c r="I191" s="51">
        <f t="shared" ca="1" si="5"/>
        <v>20</v>
      </c>
      <c r="J191" s="52"/>
      <c r="K191" s="53">
        <v>42550</v>
      </c>
      <c r="L191" s="54">
        <v>3</v>
      </c>
      <c r="M191" s="55"/>
    </row>
    <row r="192" spans="1:13">
      <c r="A192" s="39" t="s">
        <v>473</v>
      </c>
      <c r="B192" s="46" t="s">
        <v>266</v>
      </c>
      <c r="C192" s="39" t="s">
        <v>465</v>
      </c>
      <c r="D192" s="72">
        <v>906321388</v>
      </c>
      <c r="E192" s="73">
        <v>2527919826</v>
      </c>
      <c r="F192" s="39" t="s">
        <v>247</v>
      </c>
      <c r="G192" s="49">
        <v>36361</v>
      </c>
      <c r="H192" s="50" t="str">
        <f t="shared" si="4"/>
        <v>Jul</v>
      </c>
      <c r="I192" s="51">
        <f t="shared" ca="1" si="5"/>
        <v>17</v>
      </c>
      <c r="J192" s="52"/>
      <c r="K192" s="53">
        <v>33910</v>
      </c>
      <c r="L192" s="54">
        <v>5</v>
      </c>
      <c r="M192" s="55"/>
    </row>
    <row r="193" spans="1:13">
      <c r="A193" s="39" t="s">
        <v>474</v>
      </c>
      <c r="B193" s="46" t="s">
        <v>251</v>
      </c>
      <c r="C193" s="39" t="s">
        <v>465</v>
      </c>
      <c r="D193" s="72">
        <v>884025623</v>
      </c>
      <c r="E193" s="73">
        <v>2521280865</v>
      </c>
      <c r="F193" s="39" t="s">
        <v>247</v>
      </c>
      <c r="G193" s="49">
        <v>35032</v>
      </c>
      <c r="H193" s="50" t="str">
        <f t="shared" si="4"/>
        <v>Nov</v>
      </c>
      <c r="I193" s="51">
        <f t="shared" ca="1" si="5"/>
        <v>20</v>
      </c>
      <c r="J193" s="52"/>
      <c r="K193" s="53">
        <v>77320</v>
      </c>
      <c r="L193" s="54">
        <v>4</v>
      </c>
      <c r="M193" s="55"/>
    </row>
    <row r="194" spans="1:13">
      <c r="A194" s="39" t="s">
        <v>475</v>
      </c>
      <c r="B194" s="46" t="s">
        <v>245</v>
      </c>
      <c r="C194" s="39" t="s">
        <v>465</v>
      </c>
      <c r="D194" s="72">
        <v>318068637</v>
      </c>
      <c r="E194" s="73">
        <v>9193709408</v>
      </c>
      <c r="F194" s="39" t="s">
        <v>247</v>
      </c>
      <c r="G194" s="49">
        <v>40539</v>
      </c>
      <c r="H194" s="50" t="str">
        <f t="shared" ref="H194:H257" si="6">CHOOSE(MONTH(G194),"Jan","Feb","Mar","Apr","May","Jun","Jul","Aug","Sep","Oct","Nov","Dec")</f>
        <v>Dec</v>
      </c>
      <c r="I194" s="51">
        <f t="shared" ref="I194:I257" ca="1" si="7">DATEDIF(G194,TODAY(),"Y")</f>
        <v>5</v>
      </c>
      <c r="J194" s="52"/>
      <c r="K194" s="53">
        <v>75340</v>
      </c>
      <c r="L194" s="54">
        <v>4</v>
      </c>
      <c r="M194" s="55"/>
    </row>
    <row r="195" spans="1:13">
      <c r="A195" s="39" t="s">
        <v>476</v>
      </c>
      <c r="B195" s="46" t="s">
        <v>285</v>
      </c>
      <c r="C195" s="39" t="s">
        <v>465</v>
      </c>
      <c r="D195" s="72">
        <v>356242235</v>
      </c>
      <c r="E195" s="73">
        <v>2521667727</v>
      </c>
      <c r="F195" s="39" t="s">
        <v>261</v>
      </c>
      <c r="G195" s="49">
        <v>37605</v>
      </c>
      <c r="H195" s="50" t="str">
        <f t="shared" si="6"/>
        <v>Dec</v>
      </c>
      <c r="I195" s="51">
        <f t="shared" ca="1" si="7"/>
        <v>13</v>
      </c>
      <c r="J195" s="52" t="s">
        <v>283</v>
      </c>
      <c r="K195" s="53">
        <v>56050</v>
      </c>
      <c r="L195" s="54">
        <v>3</v>
      </c>
      <c r="M195" s="55"/>
    </row>
    <row r="196" spans="1:13">
      <c r="A196" s="39" t="s">
        <v>477</v>
      </c>
      <c r="B196" s="46" t="s">
        <v>245</v>
      </c>
      <c r="C196" s="39" t="s">
        <v>465</v>
      </c>
      <c r="D196" s="72">
        <v>612295735</v>
      </c>
      <c r="E196" s="73">
        <v>9195228292</v>
      </c>
      <c r="F196" s="39" t="s">
        <v>256</v>
      </c>
      <c r="G196" s="49">
        <v>36512</v>
      </c>
      <c r="H196" s="50" t="str">
        <f t="shared" si="6"/>
        <v>Dec</v>
      </c>
      <c r="I196" s="51">
        <f t="shared" ca="1" si="7"/>
        <v>16</v>
      </c>
      <c r="J196" s="52" t="s">
        <v>283</v>
      </c>
      <c r="K196" s="53">
        <v>87770</v>
      </c>
      <c r="L196" s="54">
        <v>5</v>
      </c>
      <c r="M196" s="55"/>
    </row>
    <row r="197" spans="1:13">
      <c r="A197" s="39" t="s">
        <v>478</v>
      </c>
      <c r="B197" s="46" t="s">
        <v>285</v>
      </c>
      <c r="C197" s="39" t="s">
        <v>465</v>
      </c>
      <c r="D197" s="72">
        <v>725801036</v>
      </c>
      <c r="E197" s="73">
        <v>9195089157</v>
      </c>
      <c r="F197" s="39" t="s">
        <v>247</v>
      </c>
      <c r="G197" s="49">
        <v>36973</v>
      </c>
      <c r="H197" s="50" t="str">
        <f t="shared" si="6"/>
        <v>Mar</v>
      </c>
      <c r="I197" s="51">
        <f t="shared" ca="1" si="7"/>
        <v>15</v>
      </c>
      <c r="J197" s="52"/>
      <c r="K197" s="53">
        <v>86050</v>
      </c>
      <c r="L197" s="54">
        <v>5</v>
      </c>
      <c r="M197" s="55"/>
    </row>
    <row r="198" spans="1:13">
      <c r="A198" s="39" t="s">
        <v>479</v>
      </c>
      <c r="B198" s="46" t="s">
        <v>271</v>
      </c>
      <c r="C198" s="39" t="s">
        <v>465</v>
      </c>
      <c r="D198" s="72">
        <v>415299442</v>
      </c>
      <c r="E198" s="73">
        <v>2521408985</v>
      </c>
      <c r="F198" s="39" t="s">
        <v>256</v>
      </c>
      <c r="G198" s="49">
        <v>40697</v>
      </c>
      <c r="H198" s="50" t="str">
        <f t="shared" si="6"/>
        <v>Jun</v>
      </c>
      <c r="I198" s="51">
        <f t="shared" ca="1" si="7"/>
        <v>5</v>
      </c>
      <c r="J198" s="52" t="s">
        <v>257</v>
      </c>
      <c r="K198" s="53">
        <v>83180</v>
      </c>
      <c r="L198" s="54">
        <v>3</v>
      </c>
      <c r="M198" s="55"/>
    </row>
    <row r="199" spans="1:13">
      <c r="A199" s="39" t="s">
        <v>480</v>
      </c>
      <c r="B199" s="46" t="s">
        <v>271</v>
      </c>
      <c r="C199" s="39" t="s">
        <v>465</v>
      </c>
      <c r="D199" s="72">
        <v>387517948</v>
      </c>
      <c r="E199" s="73">
        <v>9198213594</v>
      </c>
      <c r="F199" s="39" t="s">
        <v>256</v>
      </c>
      <c r="G199" s="49">
        <v>41635</v>
      </c>
      <c r="H199" s="50" t="str">
        <f t="shared" si="6"/>
        <v>Dec</v>
      </c>
      <c r="I199" s="51">
        <f t="shared" ca="1" si="7"/>
        <v>2</v>
      </c>
      <c r="J199" s="52" t="s">
        <v>257</v>
      </c>
      <c r="K199" s="53">
        <v>56930</v>
      </c>
      <c r="L199" s="54">
        <v>3</v>
      </c>
      <c r="M199" s="55"/>
    </row>
    <row r="200" spans="1:13">
      <c r="A200" s="39" t="s">
        <v>481</v>
      </c>
      <c r="B200" s="46" t="s">
        <v>245</v>
      </c>
      <c r="C200" s="39" t="s">
        <v>465</v>
      </c>
      <c r="D200" s="72">
        <v>466947318</v>
      </c>
      <c r="E200" s="73">
        <v>9191765611</v>
      </c>
      <c r="F200" s="39" t="s">
        <v>256</v>
      </c>
      <c r="G200" s="49">
        <v>41579</v>
      </c>
      <c r="H200" s="50" t="str">
        <f t="shared" si="6"/>
        <v>Nov</v>
      </c>
      <c r="I200" s="51">
        <f t="shared" ca="1" si="7"/>
        <v>3</v>
      </c>
      <c r="J200" s="52" t="s">
        <v>257</v>
      </c>
      <c r="K200" s="53">
        <v>52580</v>
      </c>
      <c r="L200" s="54">
        <v>2</v>
      </c>
      <c r="M200" s="55"/>
    </row>
    <row r="201" spans="1:13">
      <c r="A201" s="39" t="s">
        <v>482</v>
      </c>
      <c r="B201" s="46" t="s">
        <v>251</v>
      </c>
      <c r="C201" s="39" t="s">
        <v>465</v>
      </c>
      <c r="D201" s="72">
        <v>682907379</v>
      </c>
      <c r="E201" s="73">
        <v>2521854525</v>
      </c>
      <c r="F201" s="39" t="s">
        <v>256</v>
      </c>
      <c r="G201" s="49">
        <v>36312</v>
      </c>
      <c r="H201" s="50" t="str">
        <f t="shared" si="6"/>
        <v>Jun</v>
      </c>
      <c r="I201" s="51">
        <f t="shared" ca="1" si="7"/>
        <v>17</v>
      </c>
      <c r="J201" s="52" t="s">
        <v>267</v>
      </c>
      <c r="K201" s="53">
        <v>47420</v>
      </c>
      <c r="L201" s="54">
        <v>5</v>
      </c>
      <c r="M201" s="55"/>
    </row>
    <row r="202" spans="1:13">
      <c r="A202" s="39" t="s">
        <v>483</v>
      </c>
      <c r="B202" s="46" t="s">
        <v>280</v>
      </c>
      <c r="C202" s="39" t="s">
        <v>465</v>
      </c>
      <c r="D202" s="72">
        <v>826450563</v>
      </c>
      <c r="E202" s="73">
        <v>9196607355</v>
      </c>
      <c r="F202" s="39" t="s">
        <v>247</v>
      </c>
      <c r="G202" s="49">
        <v>37705</v>
      </c>
      <c r="H202" s="50" t="str">
        <f t="shared" si="6"/>
        <v>Mar</v>
      </c>
      <c r="I202" s="51">
        <f t="shared" ca="1" si="7"/>
        <v>13</v>
      </c>
      <c r="J202" s="52"/>
      <c r="K202" s="53">
        <v>69310</v>
      </c>
      <c r="L202" s="54">
        <v>3</v>
      </c>
      <c r="M202" s="55"/>
    </row>
    <row r="203" spans="1:13">
      <c r="A203" s="39" t="s">
        <v>484</v>
      </c>
      <c r="B203" s="46" t="s">
        <v>285</v>
      </c>
      <c r="C203" s="39" t="s">
        <v>465</v>
      </c>
      <c r="D203" s="72">
        <v>618535019</v>
      </c>
      <c r="E203" s="73">
        <v>9193695179</v>
      </c>
      <c r="F203" s="39" t="s">
        <v>256</v>
      </c>
      <c r="G203" s="49">
        <v>36933</v>
      </c>
      <c r="H203" s="50" t="str">
        <f t="shared" si="6"/>
        <v>Feb</v>
      </c>
      <c r="I203" s="51">
        <f t="shared" ca="1" si="7"/>
        <v>15</v>
      </c>
      <c r="J203" s="52" t="s">
        <v>283</v>
      </c>
      <c r="K203" s="53">
        <v>107690</v>
      </c>
      <c r="L203" s="54">
        <v>5</v>
      </c>
      <c r="M203" s="55"/>
    </row>
    <row r="204" spans="1:13">
      <c r="A204" s="39" t="s">
        <v>485</v>
      </c>
      <c r="B204" s="46" t="s">
        <v>271</v>
      </c>
      <c r="C204" s="39" t="s">
        <v>465</v>
      </c>
      <c r="D204" s="72">
        <v>665773893</v>
      </c>
      <c r="E204" s="73">
        <v>9198857217</v>
      </c>
      <c r="F204" s="39" t="s">
        <v>252</v>
      </c>
      <c r="G204" s="49">
        <v>41575</v>
      </c>
      <c r="H204" s="50" t="str">
        <f t="shared" si="6"/>
        <v>Oct</v>
      </c>
      <c r="I204" s="51">
        <f t="shared" ca="1" si="7"/>
        <v>3</v>
      </c>
      <c r="J204" s="52"/>
      <c r="K204" s="53">
        <v>34110</v>
      </c>
      <c r="L204" s="54">
        <v>4</v>
      </c>
      <c r="M204" s="55"/>
    </row>
    <row r="205" spans="1:13">
      <c r="A205" s="39" t="s">
        <v>486</v>
      </c>
      <c r="B205" s="46" t="s">
        <v>251</v>
      </c>
      <c r="C205" s="39" t="s">
        <v>465</v>
      </c>
      <c r="D205" s="72">
        <v>923123594</v>
      </c>
      <c r="E205" s="73">
        <v>2528669137</v>
      </c>
      <c r="F205" s="39" t="s">
        <v>256</v>
      </c>
      <c r="G205" s="49">
        <v>37199</v>
      </c>
      <c r="H205" s="50" t="str">
        <f t="shared" si="6"/>
        <v>Nov</v>
      </c>
      <c r="I205" s="51">
        <f t="shared" ca="1" si="7"/>
        <v>15</v>
      </c>
      <c r="J205" s="52" t="s">
        <v>276</v>
      </c>
      <c r="K205" s="53">
        <v>97680</v>
      </c>
      <c r="L205" s="54">
        <v>2</v>
      </c>
      <c r="M205" s="55"/>
    </row>
    <row r="206" spans="1:13">
      <c r="A206" s="39" t="s">
        <v>487</v>
      </c>
      <c r="B206" s="46" t="s">
        <v>280</v>
      </c>
      <c r="C206" s="39" t="s">
        <v>465</v>
      </c>
      <c r="D206" s="72">
        <v>487810878</v>
      </c>
      <c r="E206" s="73">
        <v>9194555389</v>
      </c>
      <c r="F206" s="39" t="s">
        <v>256</v>
      </c>
      <c r="G206" s="49">
        <v>35069</v>
      </c>
      <c r="H206" s="50" t="str">
        <f t="shared" si="6"/>
        <v>Jan</v>
      </c>
      <c r="I206" s="51">
        <f t="shared" ca="1" si="7"/>
        <v>20</v>
      </c>
      <c r="J206" s="52" t="s">
        <v>283</v>
      </c>
      <c r="K206" s="53">
        <v>28000</v>
      </c>
      <c r="L206" s="54">
        <v>4</v>
      </c>
      <c r="M206" s="55"/>
    </row>
    <row r="207" spans="1:13">
      <c r="A207" s="39" t="s">
        <v>488</v>
      </c>
      <c r="B207" s="46" t="s">
        <v>266</v>
      </c>
      <c r="C207" s="39" t="s">
        <v>465</v>
      </c>
      <c r="D207" s="72">
        <v>165917010</v>
      </c>
      <c r="E207" s="73">
        <v>2527038033</v>
      </c>
      <c r="F207" s="39" t="s">
        <v>247</v>
      </c>
      <c r="G207" s="49">
        <v>35672</v>
      </c>
      <c r="H207" s="50" t="str">
        <f t="shared" si="6"/>
        <v>Aug</v>
      </c>
      <c r="I207" s="51">
        <f t="shared" ca="1" si="7"/>
        <v>19</v>
      </c>
      <c r="J207" s="52"/>
      <c r="K207" s="53">
        <v>96830</v>
      </c>
      <c r="L207" s="54">
        <v>3</v>
      </c>
      <c r="M207" s="55"/>
    </row>
    <row r="208" spans="1:13">
      <c r="A208" s="39" t="s">
        <v>489</v>
      </c>
      <c r="B208" s="46" t="s">
        <v>285</v>
      </c>
      <c r="C208" s="39" t="s">
        <v>465</v>
      </c>
      <c r="D208" s="72">
        <v>337370590</v>
      </c>
      <c r="E208" s="73">
        <v>9197046530</v>
      </c>
      <c r="F208" s="39" t="s">
        <v>247</v>
      </c>
      <c r="G208" s="49">
        <v>39045</v>
      </c>
      <c r="H208" s="50" t="str">
        <f t="shared" si="6"/>
        <v>Nov</v>
      </c>
      <c r="I208" s="51">
        <f t="shared" ca="1" si="7"/>
        <v>9</v>
      </c>
      <c r="J208" s="52"/>
      <c r="K208" s="53">
        <v>68890</v>
      </c>
      <c r="L208" s="54">
        <v>2</v>
      </c>
      <c r="M208" s="55"/>
    </row>
    <row r="209" spans="1:13">
      <c r="A209" s="39" t="s">
        <v>490</v>
      </c>
      <c r="B209" s="46" t="s">
        <v>245</v>
      </c>
      <c r="C209" s="39" t="s">
        <v>465</v>
      </c>
      <c r="D209" s="72">
        <v>354619285</v>
      </c>
      <c r="E209" s="73">
        <v>2526657361</v>
      </c>
      <c r="F209" s="39" t="s">
        <v>256</v>
      </c>
      <c r="G209" s="49">
        <v>37123</v>
      </c>
      <c r="H209" s="50" t="str">
        <f t="shared" si="6"/>
        <v>Aug</v>
      </c>
      <c r="I209" s="51">
        <f t="shared" ca="1" si="7"/>
        <v>15</v>
      </c>
      <c r="J209" s="52" t="s">
        <v>262</v>
      </c>
      <c r="K209" s="53">
        <v>27190</v>
      </c>
      <c r="L209" s="54">
        <v>2</v>
      </c>
      <c r="M209" s="55"/>
    </row>
    <row r="210" spans="1:13">
      <c r="A210" s="39" t="s">
        <v>491</v>
      </c>
      <c r="B210" s="46" t="s">
        <v>271</v>
      </c>
      <c r="C210" s="39" t="s">
        <v>465</v>
      </c>
      <c r="D210" s="72">
        <v>806508287</v>
      </c>
      <c r="E210" s="73">
        <v>2528801464</v>
      </c>
      <c r="F210" s="39" t="s">
        <v>256</v>
      </c>
      <c r="G210" s="49">
        <v>34632</v>
      </c>
      <c r="H210" s="50" t="str">
        <f t="shared" si="6"/>
        <v>Oct</v>
      </c>
      <c r="I210" s="51">
        <f t="shared" ca="1" si="7"/>
        <v>22</v>
      </c>
      <c r="J210" s="52" t="s">
        <v>257</v>
      </c>
      <c r="K210" s="53">
        <v>63530</v>
      </c>
      <c r="L210" s="54">
        <v>4</v>
      </c>
      <c r="M210" s="55"/>
    </row>
    <row r="211" spans="1:13">
      <c r="A211" s="39" t="s">
        <v>492</v>
      </c>
      <c r="B211" s="46" t="s">
        <v>271</v>
      </c>
      <c r="C211" s="39" t="s">
        <v>465</v>
      </c>
      <c r="D211" s="72">
        <v>332289257</v>
      </c>
      <c r="E211" s="73">
        <v>9198367725</v>
      </c>
      <c r="F211" s="39" t="s">
        <v>247</v>
      </c>
      <c r="G211" s="49">
        <v>36993</v>
      </c>
      <c r="H211" s="50" t="str">
        <f t="shared" si="6"/>
        <v>Apr</v>
      </c>
      <c r="I211" s="51">
        <f t="shared" ca="1" si="7"/>
        <v>15</v>
      </c>
      <c r="J211" s="52"/>
      <c r="K211" s="53">
        <v>81910</v>
      </c>
      <c r="L211" s="54">
        <v>5</v>
      </c>
      <c r="M211" s="55"/>
    </row>
    <row r="212" spans="1:13">
      <c r="A212" s="39" t="s">
        <v>493</v>
      </c>
      <c r="B212" s="46" t="s">
        <v>266</v>
      </c>
      <c r="C212" s="39" t="s">
        <v>465</v>
      </c>
      <c r="D212" s="72">
        <v>143534593</v>
      </c>
      <c r="E212" s="73">
        <v>2527172882</v>
      </c>
      <c r="F212" s="39" t="s">
        <v>247</v>
      </c>
      <c r="G212" s="49">
        <v>38821</v>
      </c>
      <c r="H212" s="50" t="str">
        <f t="shared" si="6"/>
        <v>Apr</v>
      </c>
      <c r="I212" s="51">
        <f t="shared" ca="1" si="7"/>
        <v>10</v>
      </c>
      <c r="J212" s="52"/>
      <c r="K212" s="53">
        <v>90500</v>
      </c>
      <c r="L212" s="54">
        <v>1</v>
      </c>
      <c r="M212" s="55"/>
    </row>
    <row r="213" spans="1:13">
      <c r="A213" s="39" t="s">
        <v>494</v>
      </c>
      <c r="B213" s="46" t="s">
        <v>280</v>
      </c>
      <c r="C213" s="39" t="s">
        <v>465</v>
      </c>
      <c r="D213" s="72">
        <v>396727504</v>
      </c>
      <c r="E213" s="73">
        <v>9193204992</v>
      </c>
      <c r="F213" s="39" t="s">
        <v>247</v>
      </c>
      <c r="G213" s="49">
        <v>37601</v>
      </c>
      <c r="H213" s="50" t="str">
        <f t="shared" si="6"/>
        <v>Dec</v>
      </c>
      <c r="I213" s="51">
        <f t="shared" ca="1" si="7"/>
        <v>13</v>
      </c>
      <c r="J213" s="52"/>
      <c r="K213" s="53">
        <v>50210</v>
      </c>
      <c r="L213" s="54">
        <v>2</v>
      </c>
      <c r="M213" s="55"/>
    </row>
    <row r="214" spans="1:13">
      <c r="A214" s="39" t="s">
        <v>495</v>
      </c>
      <c r="B214" s="46" t="s">
        <v>285</v>
      </c>
      <c r="C214" s="39" t="s">
        <v>465</v>
      </c>
      <c r="D214" s="72">
        <v>561737107</v>
      </c>
      <c r="E214" s="73">
        <v>9198294156</v>
      </c>
      <c r="F214" s="39" t="s">
        <v>256</v>
      </c>
      <c r="G214" s="49">
        <v>36025</v>
      </c>
      <c r="H214" s="50" t="str">
        <f t="shared" si="6"/>
        <v>Aug</v>
      </c>
      <c r="I214" s="51">
        <f t="shared" ca="1" si="7"/>
        <v>18</v>
      </c>
      <c r="J214" s="52" t="s">
        <v>283</v>
      </c>
      <c r="K214" s="53">
        <v>87690</v>
      </c>
      <c r="L214" s="54">
        <v>5</v>
      </c>
      <c r="M214" s="55"/>
    </row>
    <row r="215" spans="1:13">
      <c r="A215" s="39" t="s">
        <v>496</v>
      </c>
      <c r="B215" s="46" t="s">
        <v>245</v>
      </c>
      <c r="C215" s="39" t="s">
        <v>465</v>
      </c>
      <c r="D215" s="72">
        <v>470935648</v>
      </c>
      <c r="E215" s="73">
        <v>9192053579</v>
      </c>
      <c r="F215" s="39" t="s">
        <v>247</v>
      </c>
      <c r="G215" s="49">
        <v>39538</v>
      </c>
      <c r="H215" s="50" t="str">
        <f t="shared" si="6"/>
        <v>Mar</v>
      </c>
      <c r="I215" s="51">
        <f t="shared" ca="1" si="7"/>
        <v>8</v>
      </c>
      <c r="J215" s="52"/>
      <c r="K215" s="53">
        <v>47620</v>
      </c>
      <c r="L215" s="54">
        <v>1</v>
      </c>
      <c r="M215" s="55"/>
    </row>
    <row r="216" spans="1:13">
      <c r="A216" s="39" t="s">
        <v>497</v>
      </c>
      <c r="B216" s="46" t="s">
        <v>285</v>
      </c>
      <c r="C216" s="39" t="s">
        <v>465</v>
      </c>
      <c r="D216" s="72">
        <v>337943008</v>
      </c>
      <c r="E216" s="73">
        <v>2521257896</v>
      </c>
      <c r="F216" s="39" t="s">
        <v>256</v>
      </c>
      <c r="G216" s="49">
        <v>38395</v>
      </c>
      <c r="H216" s="50" t="str">
        <f t="shared" si="6"/>
        <v>Feb</v>
      </c>
      <c r="I216" s="51">
        <f t="shared" ca="1" si="7"/>
        <v>11</v>
      </c>
      <c r="J216" s="52" t="s">
        <v>257</v>
      </c>
      <c r="K216" s="53">
        <v>34760</v>
      </c>
      <c r="L216" s="54">
        <v>3</v>
      </c>
      <c r="M216" s="55"/>
    </row>
    <row r="217" spans="1:13">
      <c r="A217" s="39" t="s">
        <v>498</v>
      </c>
      <c r="B217" s="46" t="s">
        <v>271</v>
      </c>
      <c r="C217" s="39" t="s">
        <v>465</v>
      </c>
      <c r="D217" s="72">
        <v>220781349</v>
      </c>
      <c r="E217" s="73">
        <v>2525185281</v>
      </c>
      <c r="F217" s="39" t="s">
        <v>247</v>
      </c>
      <c r="G217" s="49">
        <v>35150</v>
      </c>
      <c r="H217" s="50" t="str">
        <f t="shared" si="6"/>
        <v>Mar</v>
      </c>
      <c r="I217" s="51">
        <f t="shared" ca="1" si="7"/>
        <v>20</v>
      </c>
      <c r="J217" s="52"/>
      <c r="K217" s="53">
        <v>54920</v>
      </c>
      <c r="L217" s="54">
        <v>5</v>
      </c>
      <c r="M217" s="55"/>
    </row>
    <row r="218" spans="1:13">
      <c r="A218" s="39" t="s">
        <v>499</v>
      </c>
      <c r="B218" s="46" t="s">
        <v>280</v>
      </c>
      <c r="C218" s="39" t="s">
        <v>465</v>
      </c>
      <c r="D218" s="72">
        <v>620336005</v>
      </c>
      <c r="E218" s="73">
        <v>9196422185</v>
      </c>
      <c r="F218" s="39" t="s">
        <v>256</v>
      </c>
      <c r="G218" s="49">
        <v>39378</v>
      </c>
      <c r="H218" s="50" t="str">
        <f t="shared" si="6"/>
        <v>Oct</v>
      </c>
      <c r="I218" s="51">
        <f t="shared" ca="1" si="7"/>
        <v>9</v>
      </c>
      <c r="J218" s="52" t="s">
        <v>257</v>
      </c>
      <c r="K218" s="53">
        <v>49270</v>
      </c>
      <c r="L218" s="54">
        <v>3</v>
      </c>
      <c r="M218" s="55"/>
    </row>
    <row r="219" spans="1:13">
      <c r="A219" s="39" t="s">
        <v>500</v>
      </c>
      <c r="B219" s="46" t="s">
        <v>245</v>
      </c>
      <c r="C219" s="39" t="s">
        <v>465</v>
      </c>
      <c r="D219" s="72">
        <v>436778229</v>
      </c>
      <c r="E219" s="73">
        <v>2525871924</v>
      </c>
      <c r="F219" s="39" t="s">
        <v>247</v>
      </c>
      <c r="G219" s="49">
        <v>40823</v>
      </c>
      <c r="H219" s="50" t="str">
        <f t="shared" si="6"/>
        <v>Oct</v>
      </c>
      <c r="I219" s="51">
        <f t="shared" ca="1" si="7"/>
        <v>5</v>
      </c>
      <c r="J219" s="52"/>
      <c r="K219" s="53">
        <v>72050</v>
      </c>
      <c r="L219" s="54">
        <v>5</v>
      </c>
      <c r="M219" s="55"/>
    </row>
    <row r="220" spans="1:13">
      <c r="A220" s="39" t="s">
        <v>501</v>
      </c>
      <c r="B220" s="46" t="s">
        <v>266</v>
      </c>
      <c r="C220" s="39" t="s">
        <v>465</v>
      </c>
      <c r="D220" s="72">
        <v>292993080</v>
      </c>
      <c r="E220" s="73">
        <v>2525085320</v>
      </c>
      <c r="F220" s="39" t="s">
        <v>256</v>
      </c>
      <c r="G220" s="49">
        <v>40456</v>
      </c>
      <c r="H220" s="50" t="str">
        <f t="shared" si="6"/>
        <v>Oct</v>
      </c>
      <c r="I220" s="51">
        <f t="shared" ca="1" si="7"/>
        <v>6</v>
      </c>
      <c r="J220" s="52" t="s">
        <v>283</v>
      </c>
      <c r="K220" s="53">
        <v>71300</v>
      </c>
      <c r="L220" s="54">
        <v>4</v>
      </c>
      <c r="M220" s="55"/>
    </row>
    <row r="221" spans="1:13">
      <c r="A221" s="39" t="s">
        <v>502</v>
      </c>
      <c r="B221" s="46" t="s">
        <v>266</v>
      </c>
      <c r="C221" s="39" t="s">
        <v>465</v>
      </c>
      <c r="D221" s="72">
        <v>378189642</v>
      </c>
      <c r="E221" s="73">
        <v>2526228199</v>
      </c>
      <c r="F221" s="39" t="s">
        <v>247</v>
      </c>
      <c r="G221" s="49">
        <v>38900</v>
      </c>
      <c r="H221" s="50" t="str">
        <f t="shared" si="6"/>
        <v>Jul</v>
      </c>
      <c r="I221" s="51">
        <f t="shared" ca="1" si="7"/>
        <v>10</v>
      </c>
      <c r="J221" s="52"/>
      <c r="K221" s="53">
        <v>77060</v>
      </c>
      <c r="L221" s="54">
        <v>5</v>
      </c>
      <c r="M221" s="55"/>
    </row>
    <row r="222" spans="1:13">
      <c r="A222" s="39" t="s">
        <v>503</v>
      </c>
      <c r="B222" s="46" t="s">
        <v>271</v>
      </c>
      <c r="C222" s="39" t="s">
        <v>465</v>
      </c>
      <c r="D222" s="72">
        <v>708108747</v>
      </c>
      <c r="E222" s="73">
        <v>9192520526</v>
      </c>
      <c r="F222" s="39" t="s">
        <v>256</v>
      </c>
      <c r="G222" s="49">
        <v>38944</v>
      </c>
      <c r="H222" s="50" t="str">
        <f t="shared" si="6"/>
        <v>Aug</v>
      </c>
      <c r="I222" s="51">
        <f t="shared" ca="1" si="7"/>
        <v>10</v>
      </c>
      <c r="J222" s="52" t="s">
        <v>257</v>
      </c>
      <c r="K222" s="53">
        <v>90210</v>
      </c>
      <c r="L222" s="54">
        <v>3</v>
      </c>
      <c r="M222" s="55"/>
    </row>
    <row r="223" spans="1:13">
      <c r="A223" s="39" t="s">
        <v>504</v>
      </c>
      <c r="B223" s="46" t="s">
        <v>280</v>
      </c>
      <c r="C223" s="39" t="s">
        <v>465</v>
      </c>
      <c r="D223" s="72">
        <v>504914685</v>
      </c>
      <c r="E223" s="73">
        <v>9195250630</v>
      </c>
      <c r="F223" s="39" t="s">
        <v>256</v>
      </c>
      <c r="G223" s="49">
        <v>37085</v>
      </c>
      <c r="H223" s="50" t="str">
        <f t="shared" si="6"/>
        <v>Jul</v>
      </c>
      <c r="I223" s="51">
        <f t="shared" ca="1" si="7"/>
        <v>15</v>
      </c>
      <c r="J223" s="52" t="s">
        <v>257</v>
      </c>
      <c r="K223" s="53">
        <v>39850</v>
      </c>
      <c r="L223" s="54">
        <v>4</v>
      </c>
      <c r="M223" s="55"/>
    </row>
    <row r="224" spans="1:13">
      <c r="A224" s="39" t="s">
        <v>505</v>
      </c>
      <c r="B224" s="46" t="s">
        <v>271</v>
      </c>
      <c r="C224" s="39" t="s">
        <v>465</v>
      </c>
      <c r="D224" s="72">
        <v>384454025</v>
      </c>
      <c r="E224" s="73">
        <v>2522064219</v>
      </c>
      <c r="F224" s="39" t="s">
        <v>247</v>
      </c>
      <c r="G224" s="49">
        <v>37456</v>
      </c>
      <c r="H224" s="50" t="str">
        <f t="shared" si="6"/>
        <v>Jul</v>
      </c>
      <c r="I224" s="51">
        <f t="shared" ca="1" si="7"/>
        <v>14</v>
      </c>
      <c r="J224" s="52"/>
      <c r="K224" s="53">
        <v>28570</v>
      </c>
      <c r="L224" s="54">
        <v>4</v>
      </c>
      <c r="M224" s="55"/>
    </row>
    <row r="225" spans="1:13">
      <c r="A225" s="39" t="s">
        <v>506</v>
      </c>
      <c r="B225" s="46" t="s">
        <v>285</v>
      </c>
      <c r="C225" s="39" t="s">
        <v>465</v>
      </c>
      <c r="D225" s="72">
        <v>167058119</v>
      </c>
      <c r="E225" s="73">
        <v>2527237007</v>
      </c>
      <c r="F225" s="39" t="s">
        <v>252</v>
      </c>
      <c r="G225" s="49">
        <v>38731</v>
      </c>
      <c r="H225" s="50" t="str">
        <f t="shared" si="6"/>
        <v>Jan</v>
      </c>
      <c r="I225" s="51">
        <f t="shared" ca="1" si="7"/>
        <v>10</v>
      </c>
      <c r="J225" s="52"/>
      <c r="K225" s="53">
        <v>10670</v>
      </c>
      <c r="L225" s="54">
        <v>1</v>
      </c>
      <c r="M225" s="55"/>
    </row>
    <row r="226" spans="1:13">
      <c r="A226" s="39" t="s">
        <v>507</v>
      </c>
      <c r="B226" s="46" t="s">
        <v>245</v>
      </c>
      <c r="C226" s="39" t="s">
        <v>465</v>
      </c>
      <c r="D226" s="72">
        <v>405396173</v>
      </c>
      <c r="E226" s="73">
        <v>2521777060</v>
      </c>
      <c r="F226" s="39" t="s">
        <v>256</v>
      </c>
      <c r="G226" s="49">
        <v>39734</v>
      </c>
      <c r="H226" s="50" t="str">
        <f t="shared" si="6"/>
        <v>Oct</v>
      </c>
      <c r="I226" s="51">
        <f t="shared" ca="1" si="7"/>
        <v>8</v>
      </c>
      <c r="J226" s="52" t="s">
        <v>276</v>
      </c>
      <c r="K226" s="53">
        <v>82450</v>
      </c>
      <c r="L226" s="54">
        <v>4</v>
      </c>
      <c r="M226" s="55"/>
    </row>
    <row r="227" spans="1:13">
      <c r="A227" s="39" t="s">
        <v>508</v>
      </c>
      <c r="B227" s="46" t="s">
        <v>285</v>
      </c>
      <c r="C227" s="39" t="s">
        <v>465</v>
      </c>
      <c r="D227" s="72">
        <v>399060898</v>
      </c>
      <c r="E227" s="73">
        <v>9195197037</v>
      </c>
      <c r="F227" s="39" t="s">
        <v>247</v>
      </c>
      <c r="G227" s="49">
        <v>39322</v>
      </c>
      <c r="H227" s="50" t="str">
        <f t="shared" si="6"/>
        <v>Aug</v>
      </c>
      <c r="I227" s="51">
        <f t="shared" ca="1" si="7"/>
        <v>9</v>
      </c>
      <c r="J227" s="52"/>
      <c r="K227" s="53">
        <v>45580</v>
      </c>
      <c r="L227" s="54">
        <v>4</v>
      </c>
      <c r="M227" s="55"/>
    </row>
    <row r="228" spans="1:13">
      <c r="A228" s="39" t="s">
        <v>509</v>
      </c>
      <c r="B228" s="46" t="s">
        <v>280</v>
      </c>
      <c r="C228" s="39" t="s">
        <v>465</v>
      </c>
      <c r="D228" s="72">
        <v>575270646</v>
      </c>
      <c r="E228" s="73">
        <v>9197819805</v>
      </c>
      <c r="F228" s="39" t="s">
        <v>256</v>
      </c>
      <c r="G228" s="49">
        <v>40349</v>
      </c>
      <c r="H228" s="50" t="str">
        <f t="shared" si="6"/>
        <v>Jun</v>
      </c>
      <c r="I228" s="51">
        <f t="shared" ca="1" si="7"/>
        <v>6</v>
      </c>
      <c r="J228" s="52" t="s">
        <v>257</v>
      </c>
      <c r="K228" s="53">
        <v>55460</v>
      </c>
      <c r="L228" s="54">
        <v>2</v>
      </c>
      <c r="M228" s="55"/>
    </row>
    <row r="229" spans="1:13">
      <c r="A229" s="39" t="s">
        <v>510</v>
      </c>
      <c r="B229" s="46" t="s">
        <v>271</v>
      </c>
      <c r="C229" s="39" t="s">
        <v>465</v>
      </c>
      <c r="D229" s="72">
        <v>527185620</v>
      </c>
      <c r="E229" s="73">
        <v>2524627771</v>
      </c>
      <c r="F229" s="39" t="s">
        <v>256</v>
      </c>
      <c r="G229" s="49">
        <v>41271</v>
      </c>
      <c r="H229" s="50" t="str">
        <f t="shared" si="6"/>
        <v>Dec</v>
      </c>
      <c r="I229" s="51">
        <f t="shared" ca="1" si="7"/>
        <v>3</v>
      </c>
      <c r="J229" s="52" t="s">
        <v>283</v>
      </c>
      <c r="K229" s="53">
        <v>42360</v>
      </c>
      <c r="L229" s="54">
        <v>5</v>
      </c>
      <c r="M229" s="55"/>
    </row>
    <row r="230" spans="1:13">
      <c r="A230" s="39" t="s">
        <v>511</v>
      </c>
      <c r="B230" s="46" t="s">
        <v>251</v>
      </c>
      <c r="C230" s="39" t="s">
        <v>465</v>
      </c>
      <c r="D230" s="72">
        <v>240272873</v>
      </c>
      <c r="E230" s="73">
        <v>9198912054</v>
      </c>
      <c r="F230" s="39" t="s">
        <v>247</v>
      </c>
      <c r="G230" s="49">
        <v>39913</v>
      </c>
      <c r="H230" s="50" t="str">
        <f t="shared" si="6"/>
        <v>Apr</v>
      </c>
      <c r="I230" s="51">
        <f t="shared" ca="1" si="7"/>
        <v>7</v>
      </c>
      <c r="J230" s="52"/>
      <c r="K230" s="53">
        <v>96400</v>
      </c>
      <c r="L230" s="54">
        <v>4</v>
      </c>
      <c r="M230" s="55"/>
    </row>
    <row r="231" spans="1:13">
      <c r="A231" s="39" t="s">
        <v>512</v>
      </c>
      <c r="B231" s="46" t="s">
        <v>285</v>
      </c>
      <c r="C231" s="39" t="s">
        <v>465</v>
      </c>
      <c r="D231" s="72">
        <v>428024993</v>
      </c>
      <c r="E231" s="73">
        <v>9196410575</v>
      </c>
      <c r="F231" s="39" t="s">
        <v>247</v>
      </c>
      <c r="G231" s="49">
        <v>34775</v>
      </c>
      <c r="H231" s="50" t="str">
        <f t="shared" si="6"/>
        <v>Mar</v>
      </c>
      <c r="I231" s="51">
        <f t="shared" ca="1" si="7"/>
        <v>21</v>
      </c>
      <c r="J231" s="52"/>
      <c r="K231" s="53">
        <v>38630</v>
      </c>
      <c r="L231" s="54">
        <v>3</v>
      </c>
      <c r="M231" s="55"/>
    </row>
    <row r="232" spans="1:13">
      <c r="A232" s="39" t="s">
        <v>513</v>
      </c>
      <c r="B232" s="46" t="s">
        <v>285</v>
      </c>
      <c r="C232" s="39" t="s">
        <v>465</v>
      </c>
      <c r="D232" s="72">
        <v>482927373</v>
      </c>
      <c r="E232" s="73">
        <v>9198413271</v>
      </c>
      <c r="F232" s="39" t="s">
        <v>256</v>
      </c>
      <c r="G232" s="49">
        <v>36527</v>
      </c>
      <c r="H232" s="50" t="str">
        <f t="shared" si="6"/>
        <v>Jan</v>
      </c>
      <c r="I232" s="51">
        <f t="shared" ca="1" si="7"/>
        <v>16</v>
      </c>
      <c r="J232" s="52" t="s">
        <v>283</v>
      </c>
      <c r="K232" s="53">
        <v>38870</v>
      </c>
      <c r="L232" s="54">
        <v>2</v>
      </c>
      <c r="M232" s="55"/>
    </row>
    <row r="233" spans="1:13">
      <c r="A233" s="39" t="s">
        <v>514</v>
      </c>
      <c r="B233" s="46" t="s">
        <v>251</v>
      </c>
      <c r="C233" s="39" t="s">
        <v>465</v>
      </c>
      <c r="D233" s="72">
        <v>317844971</v>
      </c>
      <c r="E233" s="73">
        <v>9193557946</v>
      </c>
      <c r="F233" s="39" t="s">
        <v>247</v>
      </c>
      <c r="G233" s="49">
        <v>36928</v>
      </c>
      <c r="H233" s="50" t="str">
        <f t="shared" si="6"/>
        <v>Feb</v>
      </c>
      <c r="I233" s="51">
        <f t="shared" ca="1" si="7"/>
        <v>15</v>
      </c>
      <c r="J233" s="52"/>
      <c r="K233" s="53">
        <v>92290</v>
      </c>
      <c r="L233" s="54">
        <v>1</v>
      </c>
      <c r="M233" s="55"/>
    </row>
    <row r="234" spans="1:13">
      <c r="A234" s="39" t="s">
        <v>515</v>
      </c>
      <c r="B234" s="46" t="s">
        <v>280</v>
      </c>
      <c r="C234" s="39" t="s">
        <v>465</v>
      </c>
      <c r="D234" s="72">
        <v>177332873</v>
      </c>
      <c r="E234" s="73">
        <v>9195915044</v>
      </c>
      <c r="F234" s="39" t="s">
        <v>256</v>
      </c>
      <c r="G234" s="49">
        <v>37414</v>
      </c>
      <c r="H234" s="50" t="str">
        <f t="shared" si="6"/>
        <v>Jun</v>
      </c>
      <c r="I234" s="51">
        <f t="shared" ca="1" si="7"/>
        <v>14</v>
      </c>
      <c r="J234" s="52" t="s">
        <v>257</v>
      </c>
      <c r="K234" s="53">
        <v>48070</v>
      </c>
      <c r="L234" s="54">
        <v>3</v>
      </c>
      <c r="M234" s="55"/>
    </row>
    <row r="235" spans="1:13">
      <c r="A235" s="39" t="s">
        <v>516</v>
      </c>
      <c r="B235" s="46" t="s">
        <v>266</v>
      </c>
      <c r="C235" s="39" t="s">
        <v>465</v>
      </c>
      <c r="D235" s="72">
        <v>590896401</v>
      </c>
      <c r="E235" s="73">
        <v>2523122603</v>
      </c>
      <c r="F235" s="39" t="s">
        <v>256</v>
      </c>
      <c r="G235" s="49">
        <v>39322</v>
      </c>
      <c r="H235" s="50" t="str">
        <f t="shared" si="6"/>
        <v>Aug</v>
      </c>
      <c r="I235" s="51">
        <f t="shared" ca="1" si="7"/>
        <v>9</v>
      </c>
      <c r="J235" s="52" t="s">
        <v>262</v>
      </c>
      <c r="K235" s="53">
        <v>84910</v>
      </c>
      <c r="L235" s="54">
        <v>1</v>
      </c>
      <c r="M235" s="55"/>
    </row>
    <row r="236" spans="1:13">
      <c r="A236" s="39" t="s">
        <v>517</v>
      </c>
      <c r="B236" s="46" t="s">
        <v>271</v>
      </c>
      <c r="C236" s="39" t="s">
        <v>465</v>
      </c>
      <c r="D236" s="72">
        <v>984570981</v>
      </c>
      <c r="E236" s="73">
        <v>2528155179</v>
      </c>
      <c r="F236" s="39" t="s">
        <v>261</v>
      </c>
      <c r="G236" s="49">
        <v>37270</v>
      </c>
      <c r="H236" s="50" t="str">
        <f t="shared" si="6"/>
        <v>Jan</v>
      </c>
      <c r="I236" s="51">
        <f t="shared" ca="1" si="7"/>
        <v>14</v>
      </c>
      <c r="J236" s="52" t="s">
        <v>283</v>
      </c>
      <c r="K236" s="53">
        <v>57830</v>
      </c>
      <c r="L236" s="54">
        <v>1</v>
      </c>
      <c r="M236" s="55"/>
    </row>
    <row r="237" spans="1:13">
      <c r="A237" s="39" t="s">
        <v>518</v>
      </c>
      <c r="B237" s="46" t="s">
        <v>271</v>
      </c>
      <c r="C237" s="39" t="s">
        <v>465</v>
      </c>
      <c r="D237" s="72">
        <v>775217609</v>
      </c>
      <c r="E237" s="73">
        <v>9191591006</v>
      </c>
      <c r="F237" s="39" t="s">
        <v>256</v>
      </c>
      <c r="G237" s="49">
        <v>35405</v>
      </c>
      <c r="H237" s="50" t="str">
        <f t="shared" si="6"/>
        <v>Dec</v>
      </c>
      <c r="I237" s="51">
        <f t="shared" ca="1" si="7"/>
        <v>19</v>
      </c>
      <c r="J237" s="52" t="s">
        <v>283</v>
      </c>
      <c r="K237" s="53">
        <v>29650</v>
      </c>
      <c r="L237" s="54">
        <v>2</v>
      </c>
      <c r="M237" s="55"/>
    </row>
    <row r="238" spans="1:13">
      <c r="A238" s="39" t="s">
        <v>519</v>
      </c>
      <c r="B238" s="46" t="s">
        <v>271</v>
      </c>
      <c r="C238" s="39" t="s">
        <v>465</v>
      </c>
      <c r="D238" s="72">
        <v>854806695</v>
      </c>
      <c r="E238" s="73">
        <v>9192672603</v>
      </c>
      <c r="F238" s="39" t="s">
        <v>256</v>
      </c>
      <c r="G238" s="49">
        <v>34722</v>
      </c>
      <c r="H238" s="50" t="str">
        <f t="shared" si="6"/>
        <v>Jan</v>
      </c>
      <c r="I238" s="51">
        <f t="shared" ca="1" si="7"/>
        <v>21</v>
      </c>
      <c r="J238" s="52" t="s">
        <v>283</v>
      </c>
      <c r="K238" s="53">
        <v>31430</v>
      </c>
      <c r="L238" s="54">
        <v>5</v>
      </c>
      <c r="M238" s="55"/>
    </row>
    <row r="239" spans="1:13">
      <c r="A239" s="39" t="s">
        <v>520</v>
      </c>
      <c r="B239" s="46" t="s">
        <v>285</v>
      </c>
      <c r="C239" s="39" t="s">
        <v>465</v>
      </c>
      <c r="D239" s="72">
        <v>377194926</v>
      </c>
      <c r="E239" s="73">
        <v>9197362525</v>
      </c>
      <c r="F239" s="39" t="s">
        <v>256</v>
      </c>
      <c r="G239" s="49">
        <v>41604</v>
      </c>
      <c r="H239" s="50" t="str">
        <f t="shared" si="6"/>
        <v>Nov</v>
      </c>
      <c r="I239" s="51">
        <f t="shared" ca="1" si="7"/>
        <v>2</v>
      </c>
      <c r="J239" s="52" t="s">
        <v>267</v>
      </c>
      <c r="K239" s="53">
        <v>53110</v>
      </c>
      <c r="L239" s="54">
        <v>1</v>
      </c>
      <c r="M239" s="55"/>
    </row>
    <row r="240" spans="1:13">
      <c r="A240" s="39" t="s">
        <v>521</v>
      </c>
      <c r="B240" s="46" t="s">
        <v>271</v>
      </c>
      <c r="C240" s="39" t="s">
        <v>465</v>
      </c>
      <c r="D240" s="72">
        <v>698869555</v>
      </c>
      <c r="E240" s="73">
        <v>2526052545</v>
      </c>
      <c r="F240" s="39" t="s">
        <v>261</v>
      </c>
      <c r="G240" s="49">
        <v>37504</v>
      </c>
      <c r="H240" s="50" t="str">
        <f t="shared" si="6"/>
        <v>Sep</v>
      </c>
      <c r="I240" s="51">
        <f t="shared" ca="1" si="7"/>
        <v>14</v>
      </c>
      <c r="J240" s="52" t="s">
        <v>267</v>
      </c>
      <c r="K240" s="53">
        <v>49940</v>
      </c>
      <c r="L240" s="54">
        <v>1</v>
      </c>
      <c r="M240" s="55"/>
    </row>
    <row r="241" spans="1:13">
      <c r="A241" s="39" t="s">
        <v>522</v>
      </c>
      <c r="B241" s="46" t="s">
        <v>251</v>
      </c>
      <c r="C241" s="39" t="s">
        <v>465</v>
      </c>
      <c r="D241" s="72">
        <v>720538680</v>
      </c>
      <c r="E241" s="73">
        <v>2522126686</v>
      </c>
      <c r="F241" s="39" t="s">
        <v>256</v>
      </c>
      <c r="G241" s="49">
        <v>35484</v>
      </c>
      <c r="H241" s="50" t="str">
        <f t="shared" si="6"/>
        <v>Feb</v>
      </c>
      <c r="I241" s="51">
        <f t="shared" ca="1" si="7"/>
        <v>19</v>
      </c>
      <c r="J241" s="52" t="s">
        <v>257</v>
      </c>
      <c r="K241" s="53">
        <v>97210</v>
      </c>
      <c r="L241" s="54">
        <v>4</v>
      </c>
      <c r="M241" s="55"/>
    </row>
    <row r="242" spans="1:13">
      <c r="A242" s="39" t="s">
        <v>523</v>
      </c>
      <c r="B242" s="46" t="s">
        <v>245</v>
      </c>
      <c r="C242" s="39" t="s">
        <v>465</v>
      </c>
      <c r="D242" s="72">
        <v>467030396</v>
      </c>
      <c r="E242" s="73">
        <v>2526213620</v>
      </c>
      <c r="F242" s="39" t="s">
        <v>256</v>
      </c>
      <c r="G242" s="49">
        <v>34721</v>
      </c>
      <c r="H242" s="50" t="str">
        <f t="shared" si="6"/>
        <v>Jan</v>
      </c>
      <c r="I242" s="51">
        <f t="shared" ca="1" si="7"/>
        <v>21</v>
      </c>
      <c r="J242" s="52" t="s">
        <v>283</v>
      </c>
      <c r="K242" s="53">
        <v>70690</v>
      </c>
      <c r="L242" s="54">
        <v>1</v>
      </c>
      <c r="M242" s="55"/>
    </row>
    <row r="243" spans="1:13">
      <c r="A243" s="39" t="s">
        <v>524</v>
      </c>
      <c r="B243" s="46" t="s">
        <v>271</v>
      </c>
      <c r="C243" s="39" t="s">
        <v>465</v>
      </c>
      <c r="D243" s="72">
        <v>380653169</v>
      </c>
      <c r="E243" s="73">
        <v>9194743535</v>
      </c>
      <c r="F243" s="39" t="s">
        <v>256</v>
      </c>
      <c r="G243" s="49">
        <v>35152</v>
      </c>
      <c r="H243" s="50" t="str">
        <f t="shared" si="6"/>
        <v>Mar</v>
      </c>
      <c r="I243" s="51">
        <f t="shared" ca="1" si="7"/>
        <v>20</v>
      </c>
      <c r="J243" s="52" t="s">
        <v>283</v>
      </c>
      <c r="K243" s="53">
        <v>98380</v>
      </c>
      <c r="L243" s="54">
        <v>2</v>
      </c>
      <c r="M243" s="55"/>
    </row>
    <row r="244" spans="1:13">
      <c r="A244" s="39" t="s">
        <v>525</v>
      </c>
      <c r="B244" s="46" t="s">
        <v>245</v>
      </c>
      <c r="C244" s="39" t="s">
        <v>465</v>
      </c>
      <c r="D244" s="72">
        <v>561968668</v>
      </c>
      <c r="E244" s="73">
        <v>2522433774</v>
      </c>
      <c r="F244" s="39" t="s">
        <v>256</v>
      </c>
      <c r="G244" s="49">
        <v>39810</v>
      </c>
      <c r="H244" s="50" t="str">
        <f t="shared" si="6"/>
        <v>Dec</v>
      </c>
      <c r="I244" s="51">
        <f t="shared" ca="1" si="7"/>
        <v>7</v>
      </c>
      <c r="J244" s="52" t="s">
        <v>262</v>
      </c>
      <c r="K244" s="53">
        <v>91900</v>
      </c>
      <c r="L244" s="54">
        <v>1</v>
      </c>
      <c r="M244" s="55"/>
    </row>
    <row r="245" spans="1:13">
      <c r="A245" s="39" t="s">
        <v>526</v>
      </c>
      <c r="B245" s="46" t="s">
        <v>266</v>
      </c>
      <c r="C245" s="39" t="s">
        <v>465</v>
      </c>
      <c r="D245" s="72">
        <v>484217278</v>
      </c>
      <c r="E245" s="73">
        <v>9195627374</v>
      </c>
      <c r="F245" s="39" t="s">
        <v>252</v>
      </c>
      <c r="G245" s="49">
        <v>40748</v>
      </c>
      <c r="H245" s="50" t="str">
        <f t="shared" si="6"/>
        <v>Jul</v>
      </c>
      <c r="I245" s="51">
        <f t="shared" ca="1" si="7"/>
        <v>5</v>
      </c>
      <c r="J245" s="52"/>
      <c r="K245" s="53">
        <v>12690</v>
      </c>
      <c r="L245" s="54">
        <v>4</v>
      </c>
      <c r="M245" s="55"/>
    </row>
    <row r="246" spans="1:13">
      <c r="A246" s="39" t="s">
        <v>527</v>
      </c>
      <c r="B246" s="46" t="s">
        <v>245</v>
      </c>
      <c r="C246" s="39" t="s">
        <v>465</v>
      </c>
      <c r="D246" s="72">
        <v>488831244</v>
      </c>
      <c r="E246" s="73">
        <v>9198979762</v>
      </c>
      <c r="F246" s="39" t="s">
        <v>261</v>
      </c>
      <c r="G246" s="49">
        <v>38621</v>
      </c>
      <c r="H246" s="50" t="str">
        <f t="shared" si="6"/>
        <v>Sep</v>
      </c>
      <c r="I246" s="51">
        <f t="shared" ca="1" si="7"/>
        <v>11</v>
      </c>
      <c r="J246" s="52" t="s">
        <v>257</v>
      </c>
      <c r="K246" s="53">
        <v>29350</v>
      </c>
      <c r="L246" s="54">
        <v>1</v>
      </c>
      <c r="M246" s="55"/>
    </row>
    <row r="247" spans="1:13">
      <c r="A247" s="39" t="s">
        <v>528</v>
      </c>
      <c r="B247" s="46" t="s">
        <v>266</v>
      </c>
      <c r="C247" s="39" t="s">
        <v>465</v>
      </c>
      <c r="D247" s="72">
        <v>135965371</v>
      </c>
      <c r="E247" s="73">
        <v>9195592950</v>
      </c>
      <c r="F247" s="39" t="s">
        <v>256</v>
      </c>
      <c r="G247" s="49">
        <v>38937</v>
      </c>
      <c r="H247" s="50" t="str">
        <f t="shared" si="6"/>
        <v>Aug</v>
      </c>
      <c r="I247" s="51">
        <f t="shared" ca="1" si="7"/>
        <v>10</v>
      </c>
      <c r="J247" s="52" t="s">
        <v>283</v>
      </c>
      <c r="K247" s="53">
        <v>37100</v>
      </c>
      <c r="L247" s="54">
        <v>5</v>
      </c>
      <c r="M247" s="55"/>
    </row>
    <row r="248" spans="1:13">
      <c r="A248" s="39" t="s">
        <v>529</v>
      </c>
      <c r="B248" s="46" t="s">
        <v>271</v>
      </c>
      <c r="C248" s="39" t="s">
        <v>465</v>
      </c>
      <c r="D248" s="72">
        <v>259573806</v>
      </c>
      <c r="E248" s="73">
        <v>9193302808</v>
      </c>
      <c r="F248" s="39" t="s">
        <v>256</v>
      </c>
      <c r="G248" s="49">
        <v>34649</v>
      </c>
      <c r="H248" s="50" t="str">
        <f t="shared" si="6"/>
        <v>Nov</v>
      </c>
      <c r="I248" s="51">
        <f t="shared" ca="1" si="7"/>
        <v>21</v>
      </c>
      <c r="J248" s="52" t="s">
        <v>276</v>
      </c>
      <c r="K248" s="53">
        <v>72460</v>
      </c>
      <c r="L248" s="54">
        <v>4</v>
      </c>
      <c r="M248" s="55"/>
    </row>
    <row r="249" spans="1:13">
      <c r="A249" s="39" t="s">
        <v>530</v>
      </c>
      <c r="B249" s="46" t="s">
        <v>285</v>
      </c>
      <c r="C249" s="39" t="s">
        <v>465</v>
      </c>
      <c r="D249" s="72">
        <v>920477476</v>
      </c>
      <c r="E249" s="73">
        <v>2523162442</v>
      </c>
      <c r="F249" s="39" t="s">
        <v>247</v>
      </c>
      <c r="G249" s="49">
        <v>36186</v>
      </c>
      <c r="H249" s="50" t="str">
        <f t="shared" si="6"/>
        <v>Jan</v>
      </c>
      <c r="I249" s="51">
        <f t="shared" ca="1" si="7"/>
        <v>17</v>
      </c>
      <c r="J249" s="52"/>
      <c r="K249" s="53">
        <v>29290</v>
      </c>
      <c r="L249" s="54">
        <v>3</v>
      </c>
      <c r="M249" s="55"/>
    </row>
    <row r="250" spans="1:13">
      <c r="A250" s="39" t="s">
        <v>531</v>
      </c>
      <c r="B250" s="46" t="s">
        <v>285</v>
      </c>
      <c r="C250" s="39" t="s">
        <v>465</v>
      </c>
      <c r="D250" s="72">
        <v>276980518</v>
      </c>
      <c r="E250" s="73">
        <v>9195267252</v>
      </c>
      <c r="F250" s="39" t="s">
        <v>256</v>
      </c>
      <c r="G250" s="49">
        <v>39833</v>
      </c>
      <c r="H250" s="50" t="str">
        <f t="shared" si="6"/>
        <v>Jan</v>
      </c>
      <c r="I250" s="51">
        <f t="shared" ca="1" si="7"/>
        <v>7</v>
      </c>
      <c r="J250" s="52" t="s">
        <v>276</v>
      </c>
      <c r="K250" s="53">
        <v>35300</v>
      </c>
      <c r="L250" s="54">
        <v>5</v>
      </c>
      <c r="M250" s="55"/>
    </row>
    <row r="251" spans="1:13">
      <c r="A251" s="39" t="s">
        <v>532</v>
      </c>
      <c r="B251" s="46" t="s">
        <v>280</v>
      </c>
      <c r="C251" s="39" t="s">
        <v>465</v>
      </c>
      <c r="D251" s="72">
        <v>725737456</v>
      </c>
      <c r="E251" s="73">
        <v>9191847141</v>
      </c>
      <c r="F251" s="39" t="s">
        <v>247</v>
      </c>
      <c r="G251" s="49">
        <v>39875</v>
      </c>
      <c r="H251" s="50" t="str">
        <f t="shared" si="6"/>
        <v>Mar</v>
      </c>
      <c r="I251" s="51">
        <f t="shared" ca="1" si="7"/>
        <v>7</v>
      </c>
      <c r="J251" s="52"/>
      <c r="K251" s="53">
        <v>71200</v>
      </c>
      <c r="L251" s="54">
        <v>4</v>
      </c>
      <c r="M251" s="55"/>
    </row>
    <row r="252" spans="1:13">
      <c r="A252" s="39" t="s">
        <v>533</v>
      </c>
      <c r="B252" s="46" t="s">
        <v>280</v>
      </c>
      <c r="C252" s="39" t="s">
        <v>465</v>
      </c>
      <c r="D252" s="72">
        <v>350104448</v>
      </c>
      <c r="E252" s="73">
        <v>9193883356</v>
      </c>
      <c r="F252" s="39" t="s">
        <v>256</v>
      </c>
      <c r="G252" s="49">
        <v>36530</v>
      </c>
      <c r="H252" s="50" t="str">
        <f t="shared" si="6"/>
        <v>Jan</v>
      </c>
      <c r="I252" s="51">
        <f t="shared" ca="1" si="7"/>
        <v>16</v>
      </c>
      <c r="J252" s="52" t="s">
        <v>267</v>
      </c>
      <c r="K252" s="53">
        <v>53900</v>
      </c>
      <c r="L252" s="54">
        <v>1</v>
      </c>
      <c r="M252" s="55"/>
    </row>
    <row r="253" spans="1:13">
      <c r="A253" s="39" t="s">
        <v>534</v>
      </c>
      <c r="B253" s="46" t="s">
        <v>285</v>
      </c>
      <c r="C253" s="39" t="s">
        <v>465</v>
      </c>
      <c r="D253" s="72">
        <v>130619578</v>
      </c>
      <c r="E253" s="73">
        <v>9195057530</v>
      </c>
      <c r="F253" s="39" t="s">
        <v>247</v>
      </c>
      <c r="G253" s="49">
        <v>37719</v>
      </c>
      <c r="H253" s="50" t="str">
        <f t="shared" si="6"/>
        <v>Apr</v>
      </c>
      <c r="I253" s="51">
        <f t="shared" ca="1" si="7"/>
        <v>13</v>
      </c>
      <c r="J253" s="52"/>
      <c r="K253" s="53">
        <v>107420</v>
      </c>
      <c r="L253" s="54">
        <v>5</v>
      </c>
      <c r="M253" s="55"/>
    </row>
    <row r="254" spans="1:13">
      <c r="A254" s="39" t="s">
        <v>535</v>
      </c>
      <c r="B254" s="46" t="s">
        <v>245</v>
      </c>
      <c r="C254" s="39" t="s">
        <v>465</v>
      </c>
      <c r="D254" s="72">
        <v>353414196</v>
      </c>
      <c r="E254" s="73">
        <v>2528159919</v>
      </c>
      <c r="F254" s="39" t="s">
        <v>256</v>
      </c>
      <c r="G254" s="49">
        <v>37699</v>
      </c>
      <c r="H254" s="50" t="str">
        <f t="shared" si="6"/>
        <v>Mar</v>
      </c>
      <c r="I254" s="51">
        <f t="shared" ca="1" si="7"/>
        <v>13</v>
      </c>
      <c r="J254" s="52" t="s">
        <v>267</v>
      </c>
      <c r="K254" s="53">
        <v>28380</v>
      </c>
      <c r="L254" s="54">
        <v>1</v>
      </c>
      <c r="M254" s="55"/>
    </row>
    <row r="255" spans="1:13">
      <c r="A255" s="39" t="s">
        <v>536</v>
      </c>
      <c r="B255" s="46" t="s">
        <v>271</v>
      </c>
      <c r="C255" s="39" t="s">
        <v>465</v>
      </c>
      <c r="D255" s="72">
        <v>506577536</v>
      </c>
      <c r="E255" s="73">
        <v>2524999647</v>
      </c>
      <c r="F255" s="39" t="s">
        <v>252</v>
      </c>
      <c r="G255" s="49">
        <v>37306</v>
      </c>
      <c r="H255" s="50" t="str">
        <f t="shared" si="6"/>
        <v>Feb</v>
      </c>
      <c r="I255" s="51">
        <f t="shared" ca="1" si="7"/>
        <v>14</v>
      </c>
      <c r="J255" s="52"/>
      <c r="K255" s="53">
        <v>11310</v>
      </c>
      <c r="L255" s="54">
        <v>4</v>
      </c>
      <c r="M255" s="55"/>
    </row>
    <row r="256" spans="1:13">
      <c r="A256" s="39" t="s">
        <v>537</v>
      </c>
      <c r="B256" s="46" t="s">
        <v>271</v>
      </c>
      <c r="C256" s="39" t="s">
        <v>465</v>
      </c>
      <c r="D256" s="72">
        <v>280304785</v>
      </c>
      <c r="E256" s="73">
        <v>2525918708</v>
      </c>
      <c r="F256" s="39" t="s">
        <v>256</v>
      </c>
      <c r="G256" s="49">
        <v>36997</v>
      </c>
      <c r="H256" s="50" t="str">
        <f t="shared" si="6"/>
        <v>Apr</v>
      </c>
      <c r="I256" s="51">
        <f t="shared" ca="1" si="7"/>
        <v>15</v>
      </c>
      <c r="J256" s="52" t="s">
        <v>257</v>
      </c>
      <c r="K256" s="53">
        <v>48410</v>
      </c>
      <c r="L256" s="54">
        <v>2</v>
      </c>
      <c r="M256" s="55"/>
    </row>
    <row r="257" spans="1:13">
      <c r="A257" s="39" t="s">
        <v>538</v>
      </c>
      <c r="B257" s="46" t="s">
        <v>280</v>
      </c>
      <c r="C257" s="39" t="s">
        <v>465</v>
      </c>
      <c r="D257" s="72">
        <v>466293520</v>
      </c>
      <c r="E257" s="73">
        <v>2524442142</v>
      </c>
      <c r="F257" s="39" t="s">
        <v>252</v>
      </c>
      <c r="G257" s="49">
        <v>34752</v>
      </c>
      <c r="H257" s="50" t="str">
        <f t="shared" si="6"/>
        <v>Feb</v>
      </c>
      <c r="I257" s="51">
        <f t="shared" ca="1" si="7"/>
        <v>21</v>
      </c>
      <c r="J257" s="52"/>
      <c r="K257" s="53">
        <v>26810</v>
      </c>
      <c r="L257" s="54">
        <v>4</v>
      </c>
      <c r="M257" s="55"/>
    </row>
    <row r="258" spans="1:13">
      <c r="A258" s="39" t="s">
        <v>539</v>
      </c>
      <c r="B258" s="46" t="s">
        <v>266</v>
      </c>
      <c r="C258" s="39" t="s">
        <v>465</v>
      </c>
      <c r="D258" s="72">
        <v>858800513</v>
      </c>
      <c r="E258" s="73">
        <v>9193547588</v>
      </c>
      <c r="F258" s="39" t="s">
        <v>256</v>
      </c>
      <c r="G258" s="49">
        <v>40313</v>
      </c>
      <c r="H258" s="50" t="str">
        <f t="shared" ref="H258:H321" si="8">CHOOSE(MONTH(G258),"Jan","Feb","Mar","Apr","May","Jun","Jul","Aug","Sep","Oct","Nov","Dec")</f>
        <v>May</v>
      </c>
      <c r="I258" s="51">
        <f t="shared" ref="I258:I321" ca="1" si="9">DATEDIF(G258,TODAY(),"Y")</f>
        <v>6</v>
      </c>
      <c r="J258" s="52" t="s">
        <v>262</v>
      </c>
      <c r="K258" s="53">
        <v>85240</v>
      </c>
      <c r="L258" s="54">
        <v>3</v>
      </c>
      <c r="M258" s="55"/>
    </row>
    <row r="259" spans="1:13">
      <c r="A259" s="39" t="s">
        <v>540</v>
      </c>
      <c r="B259" s="46" t="s">
        <v>285</v>
      </c>
      <c r="C259" s="39" t="s">
        <v>465</v>
      </c>
      <c r="D259" s="72">
        <v>635767088</v>
      </c>
      <c r="E259" s="73">
        <v>2522153322</v>
      </c>
      <c r="F259" s="39" t="s">
        <v>247</v>
      </c>
      <c r="G259" s="49">
        <v>37978</v>
      </c>
      <c r="H259" s="50" t="str">
        <f t="shared" si="8"/>
        <v>Dec</v>
      </c>
      <c r="I259" s="51">
        <f t="shared" ca="1" si="9"/>
        <v>12</v>
      </c>
      <c r="J259" s="52"/>
      <c r="K259" s="53">
        <v>82210</v>
      </c>
      <c r="L259" s="54">
        <v>5</v>
      </c>
      <c r="M259" s="55"/>
    </row>
    <row r="260" spans="1:13">
      <c r="A260" s="39" t="s">
        <v>541</v>
      </c>
      <c r="B260" s="46" t="s">
        <v>271</v>
      </c>
      <c r="C260" s="39" t="s">
        <v>465</v>
      </c>
      <c r="D260" s="72">
        <v>512405919</v>
      </c>
      <c r="E260" s="73">
        <v>9195858234</v>
      </c>
      <c r="F260" s="39" t="s">
        <v>256</v>
      </c>
      <c r="G260" s="49">
        <v>38437</v>
      </c>
      <c r="H260" s="50" t="str">
        <f t="shared" si="8"/>
        <v>Mar</v>
      </c>
      <c r="I260" s="51">
        <f t="shared" ca="1" si="9"/>
        <v>11</v>
      </c>
      <c r="J260" s="52" t="s">
        <v>267</v>
      </c>
      <c r="K260" s="53">
        <v>76960</v>
      </c>
      <c r="L260" s="54">
        <v>1</v>
      </c>
      <c r="M260" s="55"/>
    </row>
    <row r="261" spans="1:13">
      <c r="A261" s="39" t="s">
        <v>542</v>
      </c>
      <c r="B261" s="46" t="s">
        <v>271</v>
      </c>
      <c r="C261" s="39" t="s">
        <v>465</v>
      </c>
      <c r="D261" s="72">
        <v>616417564</v>
      </c>
      <c r="E261" s="73">
        <v>9191806180</v>
      </c>
      <c r="F261" s="39" t="s">
        <v>247</v>
      </c>
      <c r="G261" s="49">
        <v>36452</v>
      </c>
      <c r="H261" s="50" t="str">
        <f t="shared" si="8"/>
        <v>Oct</v>
      </c>
      <c r="I261" s="51">
        <f t="shared" ca="1" si="9"/>
        <v>17</v>
      </c>
      <c r="J261" s="52"/>
      <c r="K261" s="53">
        <v>50580</v>
      </c>
      <c r="L261" s="54">
        <v>5</v>
      </c>
      <c r="M261" s="55"/>
    </row>
    <row r="262" spans="1:13">
      <c r="A262" s="39" t="s">
        <v>543</v>
      </c>
      <c r="B262" s="46" t="s">
        <v>251</v>
      </c>
      <c r="C262" s="39" t="s">
        <v>465</v>
      </c>
      <c r="D262" s="72">
        <v>624234626</v>
      </c>
      <c r="E262" s="73">
        <v>2523077504</v>
      </c>
      <c r="F262" s="39" t="s">
        <v>261</v>
      </c>
      <c r="G262" s="49">
        <v>36344</v>
      </c>
      <c r="H262" s="50" t="str">
        <f t="shared" si="8"/>
        <v>Jul</v>
      </c>
      <c r="I262" s="51">
        <f t="shared" ca="1" si="9"/>
        <v>17</v>
      </c>
      <c r="J262" s="52" t="s">
        <v>257</v>
      </c>
      <c r="K262" s="53">
        <v>55970</v>
      </c>
      <c r="L262" s="54">
        <v>5</v>
      </c>
      <c r="M262" s="55"/>
    </row>
    <row r="263" spans="1:13">
      <c r="A263" s="39" t="s">
        <v>544</v>
      </c>
      <c r="B263" s="46" t="s">
        <v>245</v>
      </c>
      <c r="C263" s="39" t="s">
        <v>465</v>
      </c>
      <c r="D263" s="72">
        <v>361925033</v>
      </c>
      <c r="E263" s="73">
        <v>9196633751</v>
      </c>
      <c r="F263" s="39" t="s">
        <v>247</v>
      </c>
      <c r="G263" s="49">
        <v>39290</v>
      </c>
      <c r="H263" s="50" t="str">
        <f t="shared" si="8"/>
        <v>Jul</v>
      </c>
      <c r="I263" s="51">
        <f t="shared" ca="1" si="9"/>
        <v>9</v>
      </c>
      <c r="J263" s="52"/>
      <c r="K263" s="53">
        <v>86200</v>
      </c>
      <c r="L263" s="54">
        <v>3</v>
      </c>
      <c r="M263" s="55"/>
    </row>
    <row r="264" spans="1:13">
      <c r="A264" s="39" t="s">
        <v>545</v>
      </c>
      <c r="B264" s="46" t="s">
        <v>285</v>
      </c>
      <c r="C264" s="39" t="s">
        <v>465</v>
      </c>
      <c r="D264" s="72">
        <v>251824309</v>
      </c>
      <c r="E264" s="73">
        <v>9197950668</v>
      </c>
      <c r="F264" s="39" t="s">
        <v>247</v>
      </c>
      <c r="G264" s="49">
        <v>37730</v>
      </c>
      <c r="H264" s="50" t="str">
        <f t="shared" si="8"/>
        <v>Apr</v>
      </c>
      <c r="I264" s="51">
        <f t="shared" ca="1" si="9"/>
        <v>13</v>
      </c>
      <c r="J264" s="52"/>
      <c r="K264" s="53">
        <v>54500</v>
      </c>
      <c r="L264" s="54">
        <v>1</v>
      </c>
      <c r="M264" s="55"/>
    </row>
    <row r="265" spans="1:13">
      <c r="A265" s="39" t="s">
        <v>546</v>
      </c>
      <c r="B265" s="46" t="s">
        <v>285</v>
      </c>
      <c r="C265" s="39" t="s">
        <v>465</v>
      </c>
      <c r="D265" s="72">
        <v>243062914</v>
      </c>
      <c r="E265" s="73">
        <v>9194018412</v>
      </c>
      <c r="F265" s="39" t="s">
        <v>256</v>
      </c>
      <c r="G265" s="49">
        <v>36200</v>
      </c>
      <c r="H265" s="50" t="str">
        <f t="shared" si="8"/>
        <v>Feb</v>
      </c>
      <c r="I265" s="51">
        <f t="shared" ca="1" si="9"/>
        <v>17</v>
      </c>
      <c r="J265" s="52" t="s">
        <v>257</v>
      </c>
      <c r="K265" s="53">
        <v>88140</v>
      </c>
      <c r="L265" s="54">
        <v>3</v>
      </c>
      <c r="M265" s="55"/>
    </row>
    <row r="266" spans="1:13">
      <c r="A266" s="39" t="s">
        <v>547</v>
      </c>
      <c r="B266" s="46" t="s">
        <v>285</v>
      </c>
      <c r="C266" s="39" t="s">
        <v>465</v>
      </c>
      <c r="D266" s="72">
        <v>798466688</v>
      </c>
      <c r="E266" s="73">
        <v>9192232339</v>
      </c>
      <c r="F266" s="39" t="s">
        <v>256</v>
      </c>
      <c r="G266" s="49">
        <v>41204</v>
      </c>
      <c r="H266" s="50" t="str">
        <f t="shared" si="8"/>
        <v>Oct</v>
      </c>
      <c r="I266" s="51">
        <f t="shared" ca="1" si="9"/>
        <v>4</v>
      </c>
      <c r="J266" s="52" t="s">
        <v>257</v>
      </c>
      <c r="K266" s="53">
        <v>42720</v>
      </c>
      <c r="L266" s="54">
        <v>5</v>
      </c>
      <c r="M266" s="55"/>
    </row>
    <row r="267" spans="1:13">
      <c r="A267" s="39" t="s">
        <v>548</v>
      </c>
      <c r="B267" s="46" t="s">
        <v>271</v>
      </c>
      <c r="C267" s="39" t="s">
        <v>465</v>
      </c>
      <c r="D267" s="72">
        <v>219245495</v>
      </c>
      <c r="E267" s="73">
        <v>9198256039</v>
      </c>
      <c r="F267" s="39" t="s">
        <v>247</v>
      </c>
      <c r="G267" s="49">
        <v>35426</v>
      </c>
      <c r="H267" s="50" t="str">
        <f t="shared" si="8"/>
        <v>Dec</v>
      </c>
      <c r="I267" s="51">
        <f t="shared" ca="1" si="9"/>
        <v>19</v>
      </c>
      <c r="J267" s="52"/>
      <c r="K267" s="53">
        <v>75970</v>
      </c>
      <c r="L267" s="54">
        <v>3</v>
      </c>
      <c r="M267" s="55"/>
    </row>
    <row r="268" spans="1:13">
      <c r="A268" s="39" t="s">
        <v>549</v>
      </c>
      <c r="B268" s="46" t="s">
        <v>285</v>
      </c>
      <c r="C268" s="39" t="s">
        <v>465</v>
      </c>
      <c r="D268" s="72">
        <v>914330398</v>
      </c>
      <c r="E268" s="73">
        <v>9193498222</v>
      </c>
      <c r="F268" s="39" t="s">
        <v>256</v>
      </c>
      <c r="G268" s="49">
        <v>39822</v>
      </c>
      <c r="H268" s="50" t="str">
        <f t="shared" si="8"/>
        <v>Jan</v>
      </c>
      <c r="I268" s="51">
        <f t="shared" ca="1" si="9"/>
        <v>7</v>
      </c>
      <c r="J268" s="52" t="s">
        <v>283</v>
      </c>
      <c r="K268" s="53">
        <v>78860</v>
      </c>
      <c r="L268" s="54">
        <v>1</v>
      </c>
      <c r="M268" s="55"/>
    </row>
    <row r="269" spans="1:13">
      <c r="A269" s="39" t="s">
        <v>550</v>
      </c>
      <c r="B269" s="46" t="s">
        <v>266</v>
      </c>
      <c r="C269" s="39" t="s">
        <v>465</v>
      </c>
      <c r="D269" s="72">
        <v>523758324</v>
      </c>
      <c r="E269" s="73">
        <v>9191308831</v>
      </c>
      <c r="F269" s="39" t="s">
        <v>256</v>
      </c>
      <c r="G269" s="49">
        <v>36362</v>
      </c>
      <c r="H269" s="50" t="str">
        <f t="shared" si="8"/>
        <v>Jul</v>
      </c>
      <c r="I269" s="51">
        <f t="shared" ca="1" si="9"/>
        <v>17</v>
      </c>
      <c r="J269" s="52" t="s">
        <v>257</v>
      </c>
      <c r="K269" s="53">
        <v>71180</v>
      </c>
      <c r="L269" s="54">
        <v>4</v>
      </c>
      <c r="M269" s="55"/>
    </row>
    <row r="270" spans="1:13">
      <c r="A270" s="39" t="s">
        <v>551</v>
      </c>
      <c r="B270" s="46" t="s">
        <v>280</v>
      </c>
      <c r="C270" s="39" t="s">
        <v>465</v>
      </c>
      <c r="D270" s="72">
        <v>366740174</v>
      </c>
      <c r="E270" s="73">
        <v>2521549933</v>
      </c>
      <c r="F270" s="39" t="s">
        <v>252</v>
      </c>
      <c r="G270" s="49">
        <v>35166</v>
      </c>
      <c r="H270" s="50" t="str">
        <f t="shared" si="8"/>
        <v>Apr</v>
      </c>
      <c r="I270" s="51">
        <f t="shared" ca="1" si="9"/>
        <v>20</v>
      </c>
      <c r="J270" s="52"/>
      <c r="K270" s="53">
        <v>36500</v>
      </c>
      <c r="L270" s="54">
        <v>1</v>
      </c>
      <c r="M270" s="55"/>
    </row>
    <row r="271" spans="1:13">
      <c r="A271" s="39" t="s">
        <v>552</v>
      </c>
      <c r="B271" s="46" t="s">
        <v>285</v>
      </c>
      <c r="C271" s="39" t="s">
        <v>465</v>
      </c>
      <c r="D271" s="72">
        <v>559376297</v>
      </c>
      <c r="E271" s="73">
        <v>9194888110</v>
      </c>
      <c r="F271" s="39" t="s">
        <v>256</v>
      </c>
      <c r="G271" s="49">
        <v>37432</v>
      </c>
      <c r="H271" s="50" t="str">
        <f t="shared" si="8"/>
        <v>Jun</v>
      </c>
      <c r="I271" s="51">
        <f t="shared" ca="1" si="9"/>
        <v>14</v>
      </c>
      <c r="J271" s="52" t="s">
        <v>257</v>
      </c>
      <c r="K271" s="53">
        <v>42980</v>
      </c>
      <c r="L271" s="54">
        <v>2</v>
      </c>
      <c r="M271" s="55"/>
    </row>
    <row r="272" spans="1:13">
      <c r="A272" s="39" t="s">
        <v>553</v>
      </c>
      <c r="B272" s="46" t="s">
        <v>245</v>
      </c>
      <c r="C272" s="39" t="s">
        <v>465</v>
      </c>
      <c r="D272" s="72">
        <v>772163640</v>
      </c>
      <c r="E272" s="73">
        <v>9192474315</v>
      </c>
      <c r="F272" s="39" t="s">
        <v>256</v>
      </c>
      <c r="G272" s="49">
        <v>37445</v>
      </c>
      <c r="H272" s="50" t="str">
        <f t="shared" si="8"/>
        <v>Jul</v>
      </c>
      <c r="I272" s="51">
        <f t="shared" ca="1" si="9"/>
        <v>14</v>
      </c>
      <c r="J272" s="52" t="s">
        <v>257</v>
      </c>
      <c r="K272" s="53">
        <v>80740</v>
      </c>
      <c r="L272" s="54">
        <v>3</v>
      </c>
      <c r="M272" s="55"/>
    </row>
    <row r="273" spans="1:13">
      <c r="A273" s="39" t="s">
        <v>554</v>
      </c>
      <c r="B273" s="46" t="s">
        <v>245</v>
      </c>
      <c r="C273" s="39" t="s">
        <v>465</v>
      </c>
      <c r="D273" s="72">
        <v>416394493</v>
      </c>
      <c r="E273" s="73">
        <v>2525228252</v>
      </c>
      <c r="F273" s="39" t="s">
        <v>256</v>
      </c>
      <c r="G273" s="49">
        <v>36939</v>
      </c>
      <c r="H273" s="50" t="str">
        <f t="shared" si="8"/>
        <v>Feb</v>
      </c>
      <c r="I273" s="51">
        <f t="shared" ca="1" si="9"/>
        <v>15</v>
      </c>
      <c r="J273" s="52" t="s">
        <v>267</v>
      </c>
      <c r="K273" s="53">
        <v>66540</v>
      </c>
      <c r="L273" s="54">
        <v>5</v>
      </c>
      <c r="M273" s="55"/>
    </row>
    <row r="274" spans="1:13">
      <c r="A274" s="39" t="s">
        <v>555</v>
      </c>
      <c r="B274" s="46" t="s">
        <v>285</v>
      </c>
      <c r="C274" s="39" t="s">
        <v>465</v>
      </c>
      <c r="D274" s="72">
        <v>565952209</v>
      </c>
      <c r="E274" s="73">
        <v>2522889972</v>
      </c>
      <c r="F274" s="39" t="s">
        <v>256</v>
      </c>
      <c r="G274" s="49">
        <v>35972</v>
      </c>
      <c r="H274" s="50" t="str">
        <f t="shared" si="8"/>
        <v>Jun</v>
      </c>
      <c r="I274" s="51">
        <f t="shared" ca="1" si="9"/>
        <v>18</v>
      </c>
      <c r="J274" s="52" t="s">
        <v>283</v>
      </c>
      <c r="K274" s="53">
        <v>80460</v>
      </c>
      <c r="L274" s="54">
        <v>4</v>
      </c>
      <c r="M274" s="55"/>
    </row>
    <row r="275" spans="1:13">
      <c r="A275" s="39" t="s">
        <v>556</v>
      </c>
      <c r="B275" s="46" t="s">
        <v>271</v>
      </c>
      <c r="C275" s="39" t="s">
        <v>465</v>
      </c>
      <c r="D275" s="72">
        <v>569701716</v>
      </c>
      <c r="E275" s="73">
        <v>2527461285</v>
      </c>
      <c r="F275" s="39" t="s">
        <v>261</v>
      </c>
      <c r="G275" s="49">
        <v>37178</v>
      </c>
      <c r="H275" s="50" t="str">
        <f t="shared" si="8"/>
        <v>Oct</v>
      </c>
      <c r="I275" s="51">
        <f t="shared" ca="1" si="9"/>
        <v>15</v>
      </c>
      <c r="J275" s="52" t="s">
        <v>267</v>
      </c>
      <c r="K275" s="53">
        <v>26000</v>
      </c>
      <c r="L275" s="54">
        <v>2</v>
      </c>
      <c r="M275" s="55"/>
    </row>
    <row r="276" spans="1:13">
      <c r="A276" s="39" t="s">
        <v>557</v>
      </c>
      <c r="B276" s="46" t="s">
        <v>285</v>
      </c>
      <c r="C276" s="39" t="s">
        <v>465</v>
      </c>
      <c r="D276" s="72">
        <v>114005397</v>
      </c>
      <c r="E276" s="73">
        <v>2524694617</v>
      </c>
      <c r="F276" s="39" t="s">
        <v>247</v>
      </c>
      <c r="G276" s="49">
        <v>40190</v>
      </c>
      <c r="H276" s="50" t="str">
        <f t="shared" si="8"/>
        <v>Jan</v>
      </c>
      <c r="I276" s="51">
        <f t="shared" ca="1" si="9"/>
        <v>6</v>
      </c>
      <c r="J276" s="52"/>
      <c r="K276" s="53">
        <v>76620</v>
      </c>
      <c r="L276" s="54">
        <v>2</v>
      </c>
      <c r="M276" s="55"/>
    </row>
    <row r="277" spans="1:13">
      <c r="A277" s="39" t="s">
        <v>558</v>
      </c>
      <c r="B277" s="46" t="s">
        <v>280</v>
      </c>
      <c r="C277" s="39" t="s">
        <v>465</v>
      </c>
      <c r="D277" s="72">
        <v>312019803</v>
      </c>
      <c r="E277" s="73">
        <v>9197961953</v>
      </c>
      <c r="F277" s="39" t="s">
        <v>256</v>
      </c>
      <c r="G277" s="49">
        <v>38230</v>
      </c>
      <c r="H277" s="50" t="str">
        <f t="shared" si="8"/>
        <v>Aug</v>
      </c>
      <c r="I277" s="51">
        <f t="shared" ca="1" si="9"/>
        <v>12</v>
      </c>
      <c r="J277" s="52" t="s">
        <v>283</v>
      </c>
      <c r="K277" s="53">
        <v>30370</v>
      </c>
      <c r="L277" s="54">
        <v>4</v>
      </c>
      <c r="M277" s="55"/>
    </row>
    <row r="278" spans="1:13">
      <c r="A278" s="39" t="s">
        <v>559</v>
      </c>
      <c r="B278" s="46" t="s">
        <v>245</v>
      </c>
      <c r="C278" s="39" t="s">
        <v>465</v>
      </c>
      <c r="D278" s="72">
        <v>661850671</v>
      </c>
      <c r="E278" s="73">
        <v>2528405900</v>
      </c>
      <c r="F278" s="39" t="s">
        <v>252</v>
      </c>
      <c r="G278" s="49">
        <v>36830</v>
      </c>
      <c r="H278" s="50" t="str">
        <f t="shared" si="8"/>
        <v>Oct</v>
      </c>
      <c r="I278" s="51">
        <f t="shared" ca="1" si="9"/>
        <v>16</v>
      </c>
      <c r="J278" s="52"/>
      <c r="K278" s="53">
        <v>35010</v>
      </c>
      <c r="L278" s="54">
        <v>3</v>
      </c>
      <c r="M278" s="55"/>
    </row>
    <row r="279" spans="1:13">
      <c r="A279" s="39" t="s">
        <v>560</v>
      </c>
      <c r="B279" s="46" t="s">
        <v>245</v>
      </c>
      <c r="C279" s="39" t="s">
        <v>465</v>
      </c>
      <c r="D279" s="72">
        <v>427260216</v>
      </c>
      <c r="E279" s="73">
        <v>9198999194</v>
      </c>
      <c r="F279" s="39" t="s">
        <v>261</v>
      </c>
      <c r="G279" s="49">
        <v>35164</v>
      </c>
      <c r="H279" s="50" t="str">
        <f t="shared" si="8"/>
        <v>Apr</v>
      </c>
      <c r="I279" s="51">
        <f t="shared" ca="1" si="9"/>
        <v>20</v>
      </c>
      <c r="J279" s="52" t="s">
        <v>262</v>
      </c>
      <c r="K279" s="53">
        <v>22670</v>
      </c>
      <c r="L279" s="54">
        <v>4</v>
      </c>
      <c r="M279" s="55"/>
    </row>
    <row r="280" spans="1:13">
      <c r="A280" s="39" t="s">
        <v>561</v>
      </c>
      <c r="B280" s="46" t="s">
        <v>271</v>
      </c>
      <c r="C280" s="39" t="s">
        <v>465</v>
      </c>
      <c r="D280" s="72">
        <v>910964196</v>
      </c>
      <c r="E280" s="73">
        <v>9194361873</v>
      </c>
      <c r="F280" s="39" t="s">
        <v>247</v>
      </c>
      <c r="G280" s="49">
        <v>34820</v>
      </c>
      <c r="H280" s="50" t="str">
        <f t="shared" si="8"/>
        <v>May</v>
      </c>
      <c r="I280" s="51">
        <f t="shared" ca="1" si="9"/>
        <v>21</v>
      </c>
      <c r="J280" s="52"/>
      <c r="K280" s="53">
        <v>59440</v>
      </c>
      <c r="L280" s="54">
        <v>2</v>
      </c>
      <c r="M280" s="55"/>
    </row>
    <row r="281" spans="1:13">
      <c r="A281" s="39" t="s">
        <v>562</v>
      </c>
      <c r="B281" s="46" t="s">
        <v>285</v>
      </c>
      <c r="C281" s="39" t="s">
        <v>465</v>
      </c>
      <c r="D281" s="72">
        <v>110547055</v>
      </c>
      <c r="E281" s="73">
        <v>2526966637</v>
      </c>
      <c r="F281" s="39" t="s">
        <v>261</v>
      </c>
      <c r="G281" s="49">
        <v>37361</v>
      </c>
      <c r="H281" s="50" t="str">
        <f t="shared" si="8"/>
        <v>Apr</v>
      </c>
      <c r="I281" s="51">
        <f t="shared" ca="1" si="9"/>
        <v>14</v>
      </c>
      <c r="J281" s="52" t="s">
        <v>283</v>
      </c>
      <c r="K281" s="53">
        <v>13280</v>
      </c>
      <c r="L281" s="54">
        <v>1</v>
      </c>
      <c r="M281" s="55"/>
    </row>
    <row r="282" spans="1:13">
      <c r="A282" s="39" t="s">
        <v>563</v>
      </c>
      <c r="B282" s="46" t="s">
        <v>271</v>
      </c>
      <c r="C282" s="39" t="s">
        <v>465</v>
      </c>
      <c r="D282" s="72">
        <v>995858336</v>
      </c>
      <c r="E282" s="73">
        <v>2525035104</v>
      </c>
      <c r="F282" s="39" t="s">
        <v>247</v>
      </c>
      <c r="G282" s="49">
        <v>41471</v>
      </c>
      <c r="H282" s="50" t="str">
        <f t="shared" si="8"/>
        <v>Jul</v>
      </c>
      <c r="I282" s="51">
        <f t="shared" ca="1" si="9"/>
        <v>3</v>
      </c>
      <c r="J282" s="52"/>
      <c r="K282" s="53">
        <v>45410</v>
      </c>
      <c r="L282" s="54">
        <v>1</v>
      </c>
      <c r="M282" s="55"/>
    </row>
    <row r="283" spans="1:13">
      <c r="A283" s="39" t="s">
        <v>564</v>
      </c>
      <c r="B283" s="46" t="s">
        <v>271</v>
      </c>
      <c r="C283" s="39" t="s">
        <v>465</v>
      </c>
      <c r="D283" s="72">
        <v>930314379</v>
      </c>
      <c r="E283" s="73">
        <v>2524854867</v>
      </c>
      <c r="F283" s="39" t="s">
        <v>256</v>
      </c>
      <c r="G283" s="49">
        <v>40391</v>
      </c>
      <c r="H283" s="50" t="str">
        <f t="shared" si="8"/>
        <v>Aug</v>
      </c>
      <c r="I283" s="51">
        <f t="shared" ca="1" si="9"/>
        <v>6</v>
      </c>
      <c r="J283" s="52" t="s">
        <v>267</v>
      </c>
      <c r="K283" s="53">
        <v>85790</v>
      </c>
      <c r="L283" s="54">
        <v>5</v>
      </c>
      <c r="M283" s="55"/>
    </row>
    <row r="284" spans="1:13">
      <c r="A284" s="39" t="s">
        <v>565</v>
      </c>
      <c r="B284" s="46" t="s">
        <v>245</v>
      </c>
      <c r="C284" s="39" t="s">
        <v>465</v>
      </c>
      <c r="D284" s="72">
        <v>138607245</v>
      </c>
      <c r="E284" s="73">
        <v>2522140101</v>
      </c>
      <c r="F284" s="39" t="s">
        <v>247</v>
      </c>
      <c r="G284" s="49">
        <v>35054</v>
      </c>
      <c r="H284" s="50" t="str">
        <f t="shared" si="8"/>
        <v>Dec</v>
      </c>
      <c r="I284" s="51">
        <f t="shared" ca="1" si="9"/>
        <v>20</v>
      </c>
      <c r="J284" s="52"/>
      <c r="K284" s="53">
        <v>95060</v>
      </c>
      <c r="L284" s="54">
        <v>4</v>
      </c>
      <c r="M284" s="55"/>
    </row>
    <row r="285" spans="1:13">
      <c r="A285" s="39" t="s">
        <v>566</v>
      </c>
      <c r="B285" s="46" t="s">
        <v>271</v>
      </c>
      <c r="C285" s="39" t="s">
        <v>465</v>
      </c>
      <c r="D285" s="72">
        <v>853268713</v>
      </c>
      <c r="E285" s="73">
        <v>9192712826</v>
      </c>
      <c r="F285" s="39" t="s">
        <v>256</v>
      </c>
      <c r="G285" s="49">
        <v>36590</v>
      </c>
      <c r="H285" s="50" t="str">
        <f t="shared" si="8"/>
        <v>Mar</v>
      </c>
      <c r="I285" s="51">
        <f t="shared" ca="1" si="9"/>
        <v>16</v>
      </c>
      <c r="J285" s="52" t="s">
        <v>257</v>
      </c>
      <c r="K285" s="53">
        <v>72340</v>
      </c>
      <c r="L285" s="54">
        <v>1</v>
      </c>
      <c r="M285" s="55"/>
    </row>
    <row r="286" spans="1:13">
      <c r="A286" s="39" t="s">
        <v>567</v>
      </c>
      <c r="B286" s="46" t="s">
        <v>280</v>
      </c>
      <c r="C286" s="39" t="s">
        <v>465</v>
      </c>
      <c r="D286" s="72">
        <v>596008829</v>
      </c>
      <c r="E286" s="73">
        <v>9198721709</v>
      </c>
      <c r="F286" s="39" t="s">
        <v>247</v>
      </c>
      <c r="G286" s="49">
        <v>37012</v>
      </c>
      <c r="H286" s="50" t="str">
        <f t="shared" si="8"/>
        <v>May</v>
      </c>
      <c r="I286" s="51">
        <f t="shared" ca="1" si="9"/>
        <v>15</v>
      </c>
      <c r="J286" s="52"/>
      <c r="K286" s="53">
        <v>54060</v>
      </c>
      <c r="L286" s="54">
        <v>1</v>
      </c>
      <c r="M286" s="55"/>
    </row>
    <row r="287" spans="1:13">
      <c r="A287" s="39" t="s">
        <v>568</v>
      </c>
      <c r="B287" s="46" t="s">
        <v>271</v>
      </c>
      <c r="C287" s="39" t="s">
        <v>465</v>
      </c>
      <c r="D287" s="72">
        <v>462995574</v>
      </c>
      <c r="E287" s="73">
        <v>2523431009</v>
      </c>
      <c r="F287" s="39" t="s">
        <v>256</v>
      </c>
      <c r="G287" s="49">
        <v>37102</v>
      </c>
      <c r="H287" s="50" t="str">
        <f t="shared" si="8"/>
        <v>Jul</v>
      </c>
      <c r="I287" s="51">
        <f t="shared" ca="1" si="9"/>
        <v>15</v>
      </c>
      <c r="J287" s="52" t="s">
        <v>257</v>
      </c>
      <c r="K287" s="53">
        <v>105890</v>
      </c>
      <c r="L287" s="54">
        <v>5</v>
      </c>
      <c r="M287" s="55"/>
    </row>
    <row r="288" spans="1:13">
      <c r="A288" s="39" t="s">
        <v>569</v>
      </c>
      <c r="B288" s="46" t="s">
        <v>271</v>
      </c>
      <c r="C288" s="39" t="s">
        <v>465</v>
      </c>
      <c r="D288" s="72">
        <v>914326052</v>
      </c>
      <c r="E288" s="73">
        <v>2524249228</v>
      </c>
      <c r="F288" s="39" t="s">
        <v>256</v>
      </c>
      <c r="G288" s="49">
        <v>37536</v>
      </c>
      <c r="H288" s="50" t="str">
        <f t="shared" si="8"/>
        <v>Oct</v>
      </c>
      <c r="I288" s="51">
        <f t="shared" ca="1" si="9"/>
        <v>14</v>
      </c>
      <c r="J288" s="52" t="s">
        <v>257</v>
      </c>
      <c r="K288" s="53">
        <v>91430</v>
      </c>
      <c r="L288" s="54">
        <v>4</v>
      </c>
      <c r="M288" s="55"/>
    </row>
    <row r="289" spans="1:13">
      <c r="A289" s="39" t="s">
        <v>570</v>
      </c>
      <c r="B289" s="46" t="s">
        <v>271</v>
      </c>
      <c r="C289" s="39" t="s">
        <v>465</v>
      </c>
      <c r="D289" s="72">
        <v>687006783</v>
      </c>
      <c r="E289" s="73">
        <v>2524919418</v>
      </c>
      <c r="F289" s="39" t="s">
        <v>247</v>
      </c>
      <c r="G289" s="49">
        <v>36380</v>
      </c>
      <c r="H289" s="50" t="str">
        <f t="shared" si="8"/>
        <v>Aug</v>
      </c>
      <c r="I289" s="51">
        <f t="shared" ca="1" si="9"/>
        <v>17</v>
      </c>
      <c r="J289" s="52"/>
      <c r="K289" s="53">
        <v>79210</v>
      </c>
      <c r="L289" s="54">
        <v>2</v>
      </c>
      <c r="M289" s="55"/>
    </row>
    <row r="290" spans="1:13">
      <c r="A290" s="39" t="s">
        <v>571</v>
      </c>
      <c r="B290" s="46" t="s">
        <v>285</v>
      </c>
      <c r="C290" s="39" t="s">
        <v>465</v>
      </c>
      <c r="D290" s="72">
        <v>594680949</v>
      </c>
      <c r="E290" s="73">
        <v>9192375580</v>
      </c>
      <c r="F290" s="39" t="s">
        <v>261</v>
      </c>
      <c r="G290" s="49">
        <v>37423</v>
      </c>
      <c r="H290" s="50" t="str">
        <f t="shared" si="8"/>
        <v>Jun</v>
      </c>
      <c r="I290" s="51">
        <f t="shared" ca="1" si="9"/>
        <v>14</v>
      </c>
      <c r="J290" s="52" t="s">
        <v>283</v>
      </c>
      <c r="K290" s="53">
        <v>20720</v>
      </c>
      <c r="L290" s="54">
        <v>5</v>
      </c>
      <c r="M290" s="55"/>
    </row>
    <row r="291" spans="1:13">
      <c r="A291" s="39" t="s">
        <v>572</v>
      </c>
      <c r="B291" s="46" t="s">
        <v>266</v>
      </c>
      <c r="C291" s="39" t="s">
        <v>465</v>
      </c>
      <c r="D291" s="72">
        <v>596641549</v>
      </c>
      <c r="E291" s="73">
        <v>9196194175</v>
      </c>
      <c r="F291" s="39" t="s">
        <v>247</v>
      </c>
      <c r="G291" s="49">
        <v>37351</v>
      </c>
      <c r="H291" s="50" t="str">
        <f t="shared" si="8"/>
        <v>Apr</v>
      </c>
      <c r="I291" s="51">
        <f t="shared" ca="1" si="9"/>
        <v>14</v>
      </c>
      <c r="J291" s="52"/>
      <c r="K291" s="53">
        <v>32860</v>
      </c>
      <c r="L291" s="54">
        <v>3</v>
      </c>
      <c r="M291" s="55"/>
    </row>
    <row r="292" spans="1:13">
      <c r="A292" s="39" t="s">
        <v>573</v>
      </c>
      <c r="B292" s="46" t="s">
        <v>280</v>
      </c>
      <c r="C292" s="39" t="s">
        <v>465</v>
      </c>
      <c r="D292" s="72">
        <v>993383806</v>
      </c>
      <c r="E292" s="73">
        <v>2521810581</v>
      </c>
      <c r="F292" s="39" t="s">
        <v>252</v>
      </c>
      <c r="G292" s="49">
        <v>37068</v>
      </c>
      <c r="H292" s="50" t="str">
        <f t="shared" si="8"/>
        <v>Jun</v>
      </c>
      <c r="I292" s="51">
        <f t="shared" ca="1" si="9"/>
        <v>15</v>
      </c>
      <c r="J292" s="52"/>
      <c r="K292" s="53">
        <v>45130</v>
      </c>
      <c r="L292" s="54">
        <v>4</v>
      </c>
      <c r="M292" s="55"/>
    </row>
    <row r="293" spans="1:13">
      <c r="A293" s="39" t="s">
        <v>574</v>
      </c>
      <c r="B293" s="46" t="s">
        <v>271</v>
      </c>
      <c r="C293" s="39" t="s">
        <v>465</v>
      </c>
      <c r="D293" s="72">
        <v>829216164</v>
      </c>
      <c r="E293" s="73">
        <v>2524982487</v>
      </c>
      <c r="F293" s="39" t="s">
        <v>247</v>
      </c>
      <c r="G293" s="49">
        <v>40546</v>
      </c>
      <c r="H293" s="50" t="str">
        <f t="shared" si="8"/>
        <v>Jan</v>
      </c>
      <c r="I293" s="51">
        <f t="shared" ca="1" si="9"/>
        <v>5</v>
      </c>
      <c r="J293" s="52"/>
      <c r="K293" s="53">
        <v>101000</v>
      </c>
      <c r="L293" s="54">
        <v>2</v>
      </c>
      <c r="M293" s="55"/>
    </row>
    <row r="294" spans="1:13">
      <c r="A294" s="39" t="s">
        <v>575</v>
      </c>
      <c r="B294" s="46" t="s">
        <v>271</v>
      </c>
      <c r="C294" s="39" t="s">
        <v>465</v>
      </c>
      <c r="D294" s="72">
        <v>371001908</v>
      </c>
      <c r="E294" s="73">
        <v>2527061632</v>
      </c>
      <c r="F294" s="39" t="s">
        <v>256</v>
      </c>
      <c r="G294" s="49">
        <v>36357</v>
      </c>
      <c r="H294" s="50" t="str">
        <f t="shared" si="8"/>
        <v>Jul</v>
      </c>
      <c r="I294" s="51">
        <f t="shared" ca="1" si="9"/>
        <v>17</v>
      </c>
      <c r="J294" s="52" t="s">
        <v>262</v>
      </c>
      <c r="K294" s="53">
        <v>54580</v>
      </c>
      <c r="L294" s="54">
        <v>4</v>
      </c>
      <c r="M294" s="55"/>
    </row>
    <row r="295" spans="1:13">
      <c r="A295" s="39" t="s">
        <v>576</v>
      </c>
      <c r="B295" s="46" t="s">
        <v>280</v>
      </c>
      <c r="C295" s="39" t="s">
        <v>465</v>
      </c>
      <c r="D295" s="72">
        <v>180095803</v>
      </c>
      <c r="E295" s="73">
        <v>2526503334</v>
      </c>
      <c r="F295" s="39" t="s">
        <v>256</v>
      </c>
      <c r="G295" s="49">
        <v>40973</v>
      </c>
      <c r="H295" s="50" t="str">
        <f t="shared" si="8"/>
        <v>Mar</v>
      </c>
      <c r="I295" s="51">
        <f t="shared" ca="1" si="9"/>
        <v>4</v>
      </c>
      <c r="J295" s="52" t="s">
        <v>257</v>
      </c>
      <c r="K295" s="53">
        <v>93800</v>
      </c>
      <c r="L295" s="54">
        <v>5</v>
      </c>
      <c r="M295" s="55"/>
    </row>
    <row r="296" spans="1:13">
      <c r="A296" s="39" t="s">
        <v>577</v>
      </c>
      <c r="B296" s="46" t="s">
        <v>271</v>
      </c>
      <c r="C296" s="39" t="s">
        <v>465</v>
      </c>
      <c r="D296" s="72">
        <v>820244290</v>
      </c>
      <c r="E296" s="73">
        <v>9194944596</v>
      </c>
      <c r="F296" s="39" t="s">
        <v>247</v>
      </c>
      <c r="G296" s="49">
        <v>34980</v>
      </c>
      <c r="H296" s="50" t="str">
        <f t="shared" si="8"/>
        <v>Oct</v>
      </c>
      <c r="I296" s="51">
        <f t="shared" ca="1" si="9"/>
        <v>21</v>
      </c>
      <c r="J296" s="52"/>
      <c r="K296" s="53">
        <v>88790</v>
      </c>
      <c r="L296" s="54">
        <v>3</v>
      </c>
      <c r="M296" s="55"/>
    </row>
    <row r="297" spans="1:13">
      <c r="A297" s="39" t="s">
        <v>578</v>
      </c>
      <c r="B297" s="46" t="s">
        <v>280</v>
      </c>
      <c r="C297" s="39" t="s">
        <v>465</v>
      </c>
      <c r="D297" s="72">
        <v>969216994</v>
      </c>
      <c r="E297" s="73">
        <v>2528973095</v>
      </c>
      <c r="F297" s="39" t="s">
        <v>247</v>
      </c>
      <c r="G297" s="49">
        <v>37284</v>
      </c>
      <c r="H297" s="50" t="str">
        <f t="shared" si="8"/>
        <v>Jan</v>
      </c>
      <c r="I297" s="51">
        <f t="shared" ca="1" si="9"/>
        <v>14</v>
      </c>
      <c r="J297" s="52"/>
      <c r="K297" s="53">
        <v>30160</v>
      </c>
      <c r="L297" s="54">
        <v>5</v>
      </c>
      <c r="M297" s="55"/>
    </row>
    <row r="298" spans="1:13">
      <c r="A298" s="39" t="s">
        <v>579</v>
      </c>
      <c r="B298" s="46" t="s">
        <v>285</v>
      </c>
      <c r="C298" s="39" t="s">
        <v>465</v>
      </c>
      <c r="D298" s="72">
        <v>930282755</v>
      </c>
      <c r="E298" s="73">
        <v>9192380636</v>
      </c>
      <c r="F298" s="39" t="s">
        <v>261</v>
      </c>
      <c r="G298" s="49">
        <v>36190</v>
      </c>
      <c r="H298" s="50" t="str">
        <f t="shared" si="8"/>
        <v>Jan</v>
      </c>
      <c r="I298" s="51">
        <f t="shared" ca="1" si="9"/>
        <v>17</v>
      </c>
      <c r="J298" s="52" t="s">
        <v>257</v>
      </c>
      <c r="K298" s="53">
        <v>55540</v>
      </c>
      <c r="L298" s="54">
        <v>5</v>
      </c>
      <c r="M298" s="55"/>
    </row>
    <row r="299" spans="1:13">
      <c r="A299" s="39" t="s">
        <v>580</v>
      </c>
      <c r="B299" s="46" t="s">
        <v>245</v>
      </c>
      <c r="C299" s="39" t="s">
        <v>465</v>
      </c>
      <c r="D299" s="72">
        <v>136620388</v>
      </c>
      <c r="E299" s="73">
        <v>9195119214</v>
      </c>
      <c r="F299" s="39" t="s">
        <v>256</v>
      </c>
      <c r="G299" s="49">
        <v>36715</v>
      </c>
      <c r="H299" s="50" t="str">
        <f t="shared" si="8"/>
        <v>Jul</v>
      </c>
      <c r="I299" s="51">
        <f t="shared" ca="1" si="9"/>
        <v>16</v>
      </c>
      <c r="J299" s="52" t="s">
        <v>262</v>
      </c>
      <c r="K299" s="53">
        <v>84020</v>
      </c>
      <c r="L299" s="54">
        <v>3</v>
      </c>
      <c r="M299" s="55"/>
    </row>
    <row r="300" spans="1:13">
      <c r="A300" s="39" t="s">
        <v>581</v>
      </c>
      <c r="B300" s="46" t="s">
        <v>266</v>
      </c>
      <c r="C300" s="39" t="s">
        <v>465</v>
      </c>
      <c r="D300" s="72">
        <v>425634540</v>
      </c>
      <c r="E300" s="73">
        <v>9196969994</v>
      </c>
      <c r="F300" s="39" t="s">
        <v>256</v>
      </c>
      <c r="G300" s="49">
        <v>41176</v>
      </c>
      <c r="H300" s="50" t="str">
        <f t="shared" si="8"/>
        <v>Sep</v>
      </c>
      <c r="I300" s="51">
        <f t="shared" ca="1" si="9"/>
        <v>4</v>
      </c>
      <c r="J300" s="52" t="s">
        <v>267</v>
      </c>
      <c r="K300" s="53">
        <v>41630</v>
      </c>
      <c r="L300" s="54">
        <v>2</v>
      </c>
      <c r="M300" s="55"/>
    </row>
    <row r="301" spans="1:13">
      <c r="A301" s="39" t="s">
        <v>582</v>
      </c>
      <c r="B301" s="46" t="s">
        <v>251</v>
      </c>
      <c r="C301" s="39" t="s">
        <v>465</v>
      </c>
      <c r="D301" s="72">
        <v>944793994</v>
      </c>
      <c r="E301" s="73">
        <v>2525725646</v>
      </c>
      <c r="F301" s="39" t="s">
        <v>256</v>
      </c>
      <c r="G301" s="49">
        <v>35786</v>
      </c>
      <c r="H301" s="50" t="str">
        <f t="shared" si="8"/>
        <v>Dec</v>
      </c>
      <c r="I301" s="51">
        <f t="shared" ca="1" si="9"/>
        <v>18</v>
      </c>
      <c r="J301" s="52" t="s">
        <v>257</v>
      </c>
      <c r="K301" s="53">
        <v>29160</v>
      </c>
      <c r="L301" s="54">
        <v>3</v>
      </c>
      <c r="M301" s="55"/>
    </row>
    <row r="302" spans="1:13">
      <c r="A302" s="39" t="s">
        <v>583</v>
      </c>
      <c r="B302" s="46" t="s">
        <v>285</v>
      </c>
      <c r="C302" s="39" t="s">
        <v>465</v>
      </c>
      <c r="D302" s="72">
        <v>249929042</v>
      </c>
      <c r="E302" s="73">
        <v>2525790872</v>
      </c>
      <c r="F302" s="39" t="s">
        <v>256</v>
      </c>
      <c r="G302" s="49">
        <v>39665</v>
      </c>
      <c r="H302" s="50" t="str">
        <f t="shared" si="8"/>
        <v>Aug</v>
      </c>
      <c r="I302" s="51">
        <f t="shared" ca="1" si="9"/>
        <v>8</v>
      </c>
      <c r="J302" s="52" t="s">
        <v>257</v>
      </c>
      <c r="K302" s="53">
        <v>73270</v>
      </c>
      <c r="L302" s="54">
        <v>5</v>
      </c>
      <c r="M302" s="55"/>
    </row>
    <row r="303" spans="1:13">
      <c r="A303" s="39" t="s">
        <v>584</v>
      </c>
      <c r="B303" s="46" t="s">
        <v>251</v>
      </c>
      <c r="C303" s="39" t="s">
        <v>465</v>
      </c>
      <c r="D303" s="72">
        <v>783624212</v>
      </c>
      <c r="E303" s="73">
        <v>9193164024</v>
      </c>
      <c r="F303" s="39" t="s">
        <v>261</v>
      </c>
      <c r="G303" s="49">
        <v>35584</v>
      </c>
      <c r="H303" s="50" t="str">
        <f t="shared" si="8"/>
        <v>Jun</v>
      </c>
      <c r="I303" s="51">
        <f t="shared" ca="1" si="9"/>
        <v>19</v>
      </c>
      <c r="J303" s="52" t="s">
        <v>262</v>
      </c>
      <c r="K303" s="53">
        <v>18310</v>
      </c>
      <c r="L303" s="54">
        <v>2</v>
      </c>
      <c r="M303" s="55"/>
    </row>
    <row r="304" spans="1:13">
      <c r="A304" s="39" t="s">
        <v>585</v>
      </c>
      <c r="B304" s="46" t="s">
        <v>285</v>
      </c>
      <c r="C304" s="39" t="s">
        <v>465</v>
      </c>
      <c r="D304" s="72">
        <v>291715078</v>
      </c>
      <c r="E304" s="73">
        <v>9197662359</v>
      </c>
      <c r="F304" s="39" t="s">
        <v>256</v>
      </c>
      <c r="G304" s="49">
        <v>34614</v>
      </c>
      <c r="H304" s="50" t="str">
        <f t="shared" si="8"/>
        <v>Oct</v>
      </c>
      <c r="I304" s="51">
        <f t="shared" ca="1" si="9"/>
        <v>22</v>
      </c>
      <c r="J304" s="52" t="s">
        <v>586</v>
      </c>
      <c r="K304" s="53">
        <v>68280</v>
      </c>
      <c r="L304" s="54">
        <v>5</v>
      </c>
      <c r="M304" s="55"/>
    </row>
    <row r="305" spans="1:13">
      <c r="A305" s="39" t="s">
        <v>587</v>
      </c>
      <c r="B305" s="46" t="s">
        <v>285</v>
      </c>
      <c r="C305" s="39" t="s">
        <v>465</v>
      </c>
      <c r="D305" s="72">
        <v>378281658</v>
      </c>
      <c r="E305" s="73">
        <v>9196705508</v>
      </c>
      <c r="F305" s="39" t="s">
        <v>247</v>
      </c>
      <c r="G305" s="49">
        <v>39074</v>
      </c>
      <c r="H305" s="50" t="str">
        <f t="shared" si="8"/>
        <v>Dec</v>
      </c>
      <c r="I305" s="51">
        <f t="shared" ca="1" si="9"/>
        <v>9</v>
      </c>
      <c r="J305" s="52"/>
      <c r="K305" s="53">
        <v>47160</v>
      </c>
      <c r="L305" s="54">
        <v>2</v>
      </c>
      <c r="M305" s="55"/>
    </row>
    <row r="306" spans="1:13">
      <c r="A306" s="39" t="s">
        <v>588</v>
      </c>
      <c r="B306" s="46" t="s">
        <v>285</v>
      </c>
      <c r="C306" s="39" t="s">
        <v>465</v>
      </c>
      <c r="D306" s="72">
        <v>948480407</v>
      </c>
      <c r="E306" s="73">
        <v>9191449596</v>
      </c>
      <c r="F306" s="39" t="s">
        <v>247</v>
      </c>
      <c r="G306" s="49">
        <v>38635</v>
      </c>
      <c r="H306" s="50" t="str">
        <f t="shared" si="8"/>
        <v>Oct</v>
      </c>
      <c r="I306" s="51">
        <f t="shared" ca="1" si="9"/>
        <v>11</v>
      </c>
      <c r="J306" s="52"/>
      <c r="K306" s="53">
        <v>73640</v>
      </c>
      <c r="L306" s="54">
        <v>3</v>
      </c>
      <c r="M306" s="55"/>
    </row>
    <row r="307" spans="1:13">
      <c r="A307" s="39" t="s">
        <v>589</v>
      </c>
      <c r="B307" s="46" t="s">
        <v>245</v>
      </c>
      <c r="C307" s="39" t="s">
        <v>465</v>
      </c>
      <c r="D307" s="72">
        <v>159117255</v>
      </c>
      <c r="E307" s="73">
        <v>9198426889</v>
      </c>
      <c r="F307" s="39" t="s">
        <v>247</v>
      </c>
      <c r="G307" s="49">
        <v>40831</v>
      </c>
      <c r="H307" s="50" t="str">
        <f t="shared" si="8"/>
        <v>Oct</v>
      </c>
      <c r="I307" s="51">
        <f t="shared" ca="1" si="9"/>
        <v>5</v>
      </c>
      <c r="J307" s="52"/>
      <c r="K307" s="53">
        <v>94220</v>
      </c>
      <c r="L307" s="54">
        <v>4</v>
      </c>
      <c r="M307" s="55"/>
    </row>
    <row r="308" spans="1:13">
      <c r="A308" s="39" t="s">
        <v>590</v>
      </c>
      <c r="B308" s="46" t="s">
        <v>251</v>
      </c>
      <c r="C308" s="39" t="s">
        <v>465</v>
      </c>
      <c r="D308" s="72">
        <v>311883362</v>
      </c>
      <c r="E308" s="73">
        <v>2526505454</v>
      </c>
      <c r="F308" s="39" t="s">
        <v>247</v>
      </c>
      <c r="G308" s="49">
        <v>38327</v>
      </c>
      <c r="H308" s="50" t="str">
        <f t="shared" si="8"/>
        <v>Dec</v>
      </c>
      <c r="I308" s="51">
        <f t="shared" ca="1" si="9"/>
        <v>11</v>
      </c>
      <c r="J308" s="52"/>
      <c r="K308" s="53">
        <v>63320</v>
      </c>
      <c r="L308" s="54">
        <v>2</v>
      </c>
      <c r="M308" s="55"/>
    </row>
    <row r="309" spans="1:13">
      <c r="A309" s="39" t="s">
        <v>591</v>
      </c>
      <c r="B309" s="46" t="s">
        <v>285</v>
      </c>
      <c r="C309" s="39" t="s">
        <v>465</v>
      </c>
      <c r="D309" s="72">
        <v>412611335</v>
      </c>
      <c r="E309" s="73">
        <v>2525998691</v>
      </c>
      <c r="F309" s="39" t="s">
        <v>247</v>
      </c>
      <c r="G309" s="49">
        <v>39508</v>
      </c>
      <c r="H309" s="50" t="str">
        <f t="shared" si="8"/>
        <v>Mar</v>
      </c>
      <c r="I309" s="51">
        <f t="shared" ca="1" si="9"/>
        <v>8</v>
      </c>
      <c r="J309" s="52"/>
      <c r="K309" s="53">
        <v>49130</v>
      </c>
      <c r="L309" s="54">
        <v>2</v>
      </c>
      <c r="M309" s="55"/>
    </row>
    <row r="310" spans="1:13">
      <c r="A310" s="39" t="s">
        <v>592</v>
      </c>
      <c r="B310" s="46" t="s">
        <v>251</v>
      </c>
      <c r="C310" s="39" t="s">
        <v>465</v>
      </c>
      <c r="D310" s="72">
        <v>696435191</v>
      </c>
      <c r="E310" s="73">
        <v>2527710498</v>
      </c>
      <c r="F310" s="39" t="s">
        <v>256</v>
      </c>
      <c r="G310" s="49">
        <v>36592</v>
      </c>
      <c r="H310" s="50" t="str">
        <f t="shared" si="8"/>
        <v>Mar</v>
      </c>
      <c r="I310" s="51">
        <f t="shared" ca="1" si="9"/>
        <v>16</v>
      </c>
      <c r="J310" s="52" t="s">
        <v>283</v>
      </c>
      <c r="K310" s="53">
        <v>73380</v>
      </c>
      <c r="L310" s="54">
        <v>2</v>
      </c>
      <c r="M310" s="55"/>
    </row>
    <row r="311" spans="1:13">
      <c r="A311" s="39" t="s">
        <v>593</v>
      </c>
      <c r="B311" s="46" t="s">
        <v>245</v>
      </c>
      <c r="C311" s="39" t="s">
        <v>465</v>
      </c>
      <c r="D311" s="72">
        <v>328787467</v>
      </c>
      <c r="E311" s="73">
        <v>9194897618</v>
      </c>
      <c r="F311" s="39" t="s">
        <v>252</v>
      </c>
      <c r="G311" s="49">
        <v>40088</v>
      </c>
      <c r="H311" s="50" t="str">
        <f t="shared" si="8"/>
        <v>Oct</v>
      </c>
      <c r="I311" s="51">
        <f t="shared" ca="1" si="9"/>
        <v>7</v>
      </c>
      <c r="J311" s="52"/>
      <c r="K311" s="53">
        <v>17300</v>
      </c>
      <c r="L311" s="54">
        <v>4</v>
      </c>
      <c r="M311" s="55"/>
    </row>
    <row r="312" spans="1:13">
      <c r="A312" s="39" t="s">
        <v>594</v>
      </c>
      <c r="B312" s="46" t="s">
        <v>271</v>
      </c>
      <c r="C312" s="39" t="s">
        <v>465</v>
      </c>
      <c r="D312" s="72">
        <v>257249459</v>
      </c>
      <c r="E312" s="73">
        <v>9197775023</v>
      </c>
      <c r="F312" s="39" t="s">
        <v>247</v>
      </c>
      <c r="G312" s="49">
        <v>37638</v>
      </c>
      <c r="H312" s="50" t="str">
        <f t="shared" si="8"/>
        <v>Jan</v>
      </c>
      <c r="I312" s="51">
        <f t="shared" ca="1" si="9"/>
        <v>13</v>
      </c>
      <c r="J312" s="52"/>
      <c r="K312" s="53">
        <v>69120</v>
      </c>
      <c r="L312" s="54">
        <v>3</v>
      </c>
      <c r="M312" s="55"/>
    </row>
    <row r="313" spans="1:13">
      <c r="A313" s="39" t="s">
        <v>595</v>
      </c>
      <c r="B313" s="46" t="s">
        <v>245</v>
      </c>
      <c r="C313" s="39" t="s">
        <v>465</v>
      </c>
      <c r="D313" s="72">
        <v>313128501</v>
      </c>
      <c r="E313" s="73">
        <v>9193184277</v>
      </c>
      <c r="F313" s="39" t="s">
        <v>252</v>
      </c>
      <c r="G313" s="49">
        <v>36491</v>
      </c>
      <c r="H313" s="50" t="str">
        <f t="shared" si="8"/>
        <v>Nov</v>
      </c>
      <c r="I313" s="51">
        <f t="shared" ca="1" si="9"/>
        <v>16</v>
      </c>
      <c r="J313" s="52"/>
      <c r="K313" s="53">
        <v>26970</v>
      </c>
      <c r="L313" s="54">
        <v>1</v>
      </c>
      <c r="M313" s="55"/>
    </row>
    <row r="314" spans="1:13">
      <c r="A314" s="39" t="s">
        <v>596</v>
      </c>
      <c r="B314" s="46" t="s">
        <v>271</v>
      </c>
      <c r="C314" s="39" t="s">
        <v>465</v>
      </c>
      <c r="D314" s="72">
        <v>147724014</v>
      </c>
      <c r="E314" s="73">
        <v>9192212512</v>
      </c>
      <c r="F314" s="39" t="s">
        <v>256</v>
      </c>
      <c r="G314" s="49">
        <v>36189</v>
      </c>
      <c r="H314" s="50" t="str">
        <f t="shared" si="8"/>
        <v>Jan</v>
      </c>
      <c r="I314" s="51">
        <f t="shared" ca="1" si="9"/>
        <v>17</v>
      </c>
      <c r="J314" s="52" t="s">
        <v>283</v>
      </c>
      <c r="K314" s="53">
        <v>53120</v>
      </c>
      <c r="L314" s="54">
        <v>2</v>
      </c>
      <c r="M314" s="55"/>
    </row>
    <row r="315" spans="1:13">
      <c r="A315" s="39" t="s">
        <v>597</v>
      </c>
      <c r="B315" s="46" t="s">
        <v>271</v>
      </c>
      <c r="C315" s="39" t="s">
        <v>465</v>
      </c>
      <c r="D315" s="72">
        <v>676030562</v>
      </c>
      <c r="E315" s="73">
        <v>9198253211</v>
      </c>
      <c r="F315" s="39" t="s">
        <v>256</v>
      </c>
      <c r="G315" s="49">
        <v>36696</v>
      </c>
      <c r="H315" s="50" t="str">
        <f t="shared" si="8"/>
        <v>Jun</v>
      </c>
      <c r="I315" s="51">
        <f t="shared" ca="1" si="9"/>
        <v>16</v>
      </c>
      <c r="J315" s="52" t="s">
        <v>257</v>
      </c>
      <c r="K315" s="53">
        <v>72120</v>
      </c>
      <c r="L315" s="54">
        <v>1</v>
      </c>
      <c r="M315" s="55"/>
    </row>
    <row r="316" spans="1:13">
      <c r="A316" s="39" t="s">
        <v>598</v>
      </c>
      <c r="B316" s="46" t="s">
        <v>271</v>
      </c>
      <c r="C316" s="39" t="s">
        <v>465</v>
      </c>
      <c r="D316" s="72">
        <v>505966230</v>
      </c>
      <c r="E316" s="73">
        <v>9198038161</v>
      </c>
      <c r="F316" s="39" t="s">
        <v>256</v>
      </c>
      <c r="G316" s="49">
        <v>34994</v>
      </c>
      <c r="H316" s="50" t="str">
        <f t="shared" si="8"/>
        <v>Oct</v>
      </c>
      <c r="I316" s="51">
        <f t="shared" ca="1" si="9"/>
        <v>21</v>
      </c>
      <c r="J316" s="52" t="s">
        <v>283</v>
      </c>
      <c r="K316" s="53">
        <v>54600</v>
      </c>
      <c r="L316" s="54">
        <v>3</v>
      </c>
      <c r="M316" s="55"/>
    </row>
    <row r="317" spans="1:13">
      <c r="A317" s="39" t="s">
        <v>599</v>
      </c>
      <c r="B317" s="46" t="s">
        <v>271</v>
      </c>
      <c r="C317" s="39" t="s">
        <v>465</v>
      </c>
      <c r="D317" s="72">
        <v>962553692</v>
      </c>
      <c r="E317" s="73">
        <v>9196689962</v>
      </c>
      <c r="F317" s="39" t="s">
        <v>256</v>
      </c>
      <c r="G317" s="49">
        <v>36157</v>
      </c>
      <c r="H317" s="50" t="str">
        <f t="shared" si="8"/>
        <v>Dec</v>
      </c>
      <c r="I317" s="51">
        <f t="shared" ca="1" si="9"/>
        <v>17</v>
      </c>
      <c r="J317" s="52" t="s">
        <v>283</v>
      </c>
      <c r="K317" s="53">
        <v>103510</v>
      </c>
      <c r="L317" s="54">
        <v>3</v>
      </c>
      <c r="M317" s="55"/>
    </row>
    <row r="318" spans="1:13">
      <c r="A318" s="39" t="s">
        <v>600</v>
      </c>
      <c r="B318" s="46" t="s">
        <v>271</v>
      </c>
      <c r="C318" s="39" t="s">
        <v>465</v>
      </c>
      <c r="D318" s="72">
        <v>468053610</v>
      </c>
      <c r="E318" s="73">
        <v>2525344270</v>
      </c>
      <c r="F318" s="39" t="s">
        <v>256</v>
      </c>
      <c r="G318" s="49">
        <v>38510</v>
      </c>
      <c r="H318" s="50" t="str">
        <f t="shared" si="8"/>
        <v>Jun</v>
      </c>
      <c r="I318" s="51">
        <f t="shared" ca="1" si="9"/>
        <v>11</v>
      </c>
      <c r="J318" s="52" t="s">
        <v>283</v>
      </c>
      <c r="K318" s="53">
        <v>82900</v>
      </c>
      <c r="L318" s="54">
        <v>3</v>
      </c>
      <c r="M318" s="55"/>
    </row>
    <row r="319" spans="1:13">
      <c r="A319" s="39" t="s">
        <v>601</v>
      </c>
      <c r="B319" s="46" t="s">
        <v>271</v>
      </c>
      <c r="C319" s="39" t="s">
        <v>465</v>
      </c>
      <c r="D319" s="72">
        <v>470719383</v>
      </c>
      <c r="E319" s="73">
        <v>9197848542</v>
      </c>
      <c r="F319" s="39" t="s">
        <v>256</v>
      </c>
      <c r="G319" s="49">
        <v>37010</v>
      </c>
      <c r="H319" s="50" t="str">
        <f t="shared" si="8"/>
        <v>Apr</v>
      </c>
      <c r="I319" s="51">
        <f t="shared" ca="1" si="9"/>
        <v>15</v>
      </c>
      <c r="J319" s="52" t="s">
        <v>257</v>
      </c>
      <c r="K319" s="53">
        <v>90140</v>
      </c>
      <c r="L319" s="54">
        <v>5</v>
      </c>
      <c r="M319" s="55"/>
    </row>
    <row r="320" spans="1:13">
      <c r="A320" s="39" t="s">
        <v>602</v>
      </c>
      <c r="B320" s="46" t="s">
        <v>271</v>
      </c>
      <c r="C320" s="39" t="s">
        <v>465</v>
      </c>
      <c r="D320" s="72">
        <v>213584397</v>
      </c>
      <c r="E320" s="73">
        <v>2524138160</v>
      </c>
      <c r="F320" s="39" t="s">
        <v>256</v>
      </c>
      <c r="G320" s="49">
        <v>38332</v>
      </c>
      <c r="H320" s="50" t="str">
        <f t="shared" si="8"/>
        <v>Dec</v>
      </c>
      <c r="I320" s="51">
        <f t="shared" ca="1" si="9"/>
        <v>11</v>
      </c>
      <c r="J320" s="52" t="s">
        <v>283</v>
      </c>
      <c r="K320" s="53">
        <v>75300</v>
      </c>
      <c r="L320" s="54">
        <v>3</v>
      </c>
      <c r="M320" s="55"/>
    </row>
    <row r="321" spans="1:14">
      <c r="A321" s="39" t="s">
        <v>603</v>
      </c>
      <c r="B321" s="46" t="s">
        <v>285</v>
      </c>
      <c r="C321" s="39" t="s">
        <v>465</v>
      </c>
      <c r="D321" s="72">
        <v>475517002</v>
      </c>
      <c r="E321" s="73">
        <v>2523909820</v>
      </c>
      <c r="F321" s="39" t="s">
        <v>256</v>
      </c>
      <c r="G321" s="49">
        <v>37319</v>
      </c>
      <c r="H321" s="50" t="str">
        <f t="shared" si="8"/>
        <v>Mar</v>
      </c>
      <c r="I321" s="51">
        <f t="shared" ca="1" si="9"/>
        <v>14</v>
      </c>
      <c r="J321" s="52" t="s">
        <v>283</v>
      </c>
      <c r="K321" s="53">
        <v>82500</v>
      </c>
      <c r="L321" s="54">
        <v>1</v>
      </c>
      <c r="M321" s="55"/>
    </row>
    <row r="322" spans="1:14">
      <c r="A322" s="39" t="s">
        <v>604</v>
      </c>
      <c r="B322" s="46" t="s">
        <v>285</v>
      </c>
      <c r="C322" s="39" t="s">
        <v>465</v>
      </c>
      <c r="D322" s="72">
        <v>682500261</v>
      </c>
      <c r="E322" s="73">
        <v>9191163627</v>
      </c>
      <c r="F322" s="39" t="s">
        <v>256</v>
      </c>
      <c r="G322" s="49">
        <v>35882</v>
      </c>
      <c r="H322" s="50" t="str">
        <f t="shared" ref="H322:H385" si="10">CHOOSE(MONTH(G322),"Jan","Feb","Mar","Apr","May","Jun","Jul","Aug","Sep","Oct","Nov","Dec")</f>
        <v>Mar</v>
      </c>
      <c r="I322" s="51">
        <f t="shared" ref="I322:I385" ca="1" si="11">DATEDIF(G322,TODAY(),"Y")</f>
        <v>18</v>
      </c>
      <c r="J322" s="52" t="s">
        <v>262</v>
      </c>
      <c r="K322" s="53">
        <v>75680</v>
      </c>
      <c r="L322" s="54">
        <v>1</v>
      </c>
      <c r="M322" s="55"/>
      <c r="N322" s="63"/>
    </row>
    <row r="323" spans="1:14">
      <c r="A323" s="39" t="s">
        <v>605</v>
      </c>
      <c r="B323" s="46" t="s">
        <v>251</v>
      </c>
      <c r="C323" s="39" t="s">
        <v>465</v>
      </c>
      <c r="D323" s="72">
        <v>338977629</v>
      </c>
      <c r="E323" s="73">
        <v>2524252315</v>
      </c>
      <c r="F323" s="39" t="s">
        <v>256</v>
      </c>
      <c r="G323" s="49">
        <v>36802</v>
      </c>
      <c r="H323" s="50" t="str">
        <f t="shared" si="10"/>
        <v>Oct</v>
      </c>
      <c r="I323" s="51">
        <f t="shared" ca="1" si="11"/>
        <v>16</v>
      </c>
      <c r="J323" s="52" t="s">
        <v>257</v>
      </c>
      <c r="K323" s="53">
        <v>94280</v>
      </c>
      <c r="L323" s="54">
        <v>1</v>
      </c>
      <c r="M323" s="55"/>
    </row>
    <row r="324" spans="1:14">
      <c r="A324" s="39" t="s">
        <v>606</v>
      </c>
      <c r="B324" s="46" t="s">
        <v>285</v>
      </c>
      <c r="C324" s="39" t="s">
        <v>465</v>
      </c>
      <c r="D324" s="72">
        <v>876777922</v>
      </c>
      <c r="E324" s="73">
        <v>2527358099</v>
      </c>
      <c r="F324" s="39" t="s">
        <v>247</v>
      </c>
      <c r="G324" s="49">
        <v>41450</v>
      </c>
      <c r="H324" s="50" t="str">
        <f t="shared" si="10"/>
        <v>Jun</v>
      </c>
      <c r="I324" s="51">
        <f t="shared" ca="1" si="11"/>
        <v>3</v>
      </c>
      <c r="J324" s="52"/>
      <c r="K324" s="53">
        <v>106610</v>
      </c>
      <c r="L324" s="54">
        <v>5</v>
      </c>
      <c r="M324" s="55"/>
    </row>
    <row r="325" spans="1:14">
      <c r="A325" s="39" t="s">
        <v>607</v>
      </c>
      <c r="B325" s="46" t="s">
        <v>245</v>
      </c>
      <c r="C325" s="39" t="s">
        <v>465</v>
      </c>
      <c r="D325" s="72">
        <v>684054281</v>
      </c>
      <c r="E325" s="73">
        <v>2522888726</v>
      </c>
      <c r="F325" s="39" t="s">
        <v>256</v>
      </c>
      <c r="G325" s="49">
        <v>39147</v>
      </c>
      <c r="H325" s="50" t="str">
        <f t="shared" si="10"/>
        <v>Mar</v>
      </c>
      <c r="I325" s="51">
        <f t="shared" ca="1" si="11"/>
        <v>9</v>
      </c>
      <c r="J325" s="52" t="s">
        <v>257</v>
      </c>
      <c r="K325" s="53">
        <v>56810</v>
      </c>
      <c r="L325" s="54">
        <v>2</v>
      </c>
      <c r="M325" s="55"/>
    </row>
    <row r="326" spans="1:14">
      <c r="A326" s="39" t="s">
        <v>608</v>
      </c>
      <c r="B326" s="46" t="s">
        <v>285</v>
      </c>
      <c r="C326" s="39" t="s">
        <v>465</v>
      </c>
      <c r="D326" s="72">
        <v>564908088</v>
      </c>
      <c r="E326" s="73">
        <v>9193386758</v>
      </c>
      <c r="F326" s="39" t="s">
        <v>256</v>
      </c>
      <c r="G326" s="49">
        <v>39378</v>
      </c>
      <c r="H326" s="50" t="str">
        <f t="shared" si="10"/>
        <v>Oct</v>
      </c>
      <c r="I326" s="51">
        <f t="shared" ca="1" si="11"/>
        <v>9</v>
      </c>
      <c r="J326" s="52" t="s">
        <v>257</v>
      </c>
      <c r="K326" s="53">
        <v>105310</v>
      </c>
      <c r="L326" s="54">
        <v>1</v>
      </c>
      <c r="M326" s="55"/>
    </row>
    <row r="327" spans="1:14">
      <c r="A327" s="39" t="s">
        <v>609</v>
      </c>
      <c r="B327" s="46" t="s">
        <v>266</v>
      </c>
      <c r="C327" s="39" t="s">
        <v>465</v>
      </c>
      <c r="D327" s="72">
        <v>881975933</v>
      </c>
      <c r="E327" s="73">
        <v>9192354572</v>
      </c>
      <c r="F327" s="39" t="s">
        <v>256</v>
      </c>
      <c r="G327" s="49">
        <v>36831</v>
      </c>
      <c r="H327" s="50" t="str">
        <f t="shared" si="10"/>
        <v>Nov</v>
      </c>
      <c r="I327" s="51">
        <f t="shared" ca="1" si="11"/>
        <v>16</v>
      </c>
      <c r="J327" s="52" t="s">
        <v>267</v>
      </c>
      <c r="K327" s="53">
        <v>42550</v>
      </c>
      <c r="L327" s="54">
        <v>5</v>
      </c>
      <c r="M327" s="55"/>
    </row>
    <row r="328" spans="1:14">
      <c r="A328" s="39" t="s">
        <v>610</v>
      </c>
      <c r="B328" s="46" t="s">
        <v>285</v>
      </c>
      <c r="C328" s="39" t="s">
        <v>465</v>
      </c>
      <c r="D328" s="72">
        <v>597131266</v>
      </c>
      <c r="E328" s="73">
        <v>9195043141</v>
      </c>
      <c r="F328" s="39" t="s">
        <v>256</v>
      </c>
      <c r="G328" s="49">
        <v>36704</v>
      </c>
      <c r="H328" s="50" t="str">
        <f t="shared" si="10"/>
        <v>Jun</v>
      </c>
      <c r="I328" s="51">
        <f t="shared" ca="1" si="11"/>
        <v>16</v>
      </c>
      <c r="J328" s="52" t="s">
        <v>262</v>
      </c>
      <c r="K328" s="53">
        <v>79720</v>
      </c>
      <c r="L328" s="54">
        <v>2</v>
      </c>
      <c r="M328" s="55"/>
    </row>
    <row r="329" spans="1:14">
      <c r="A329" s="39" t="s">
        <v>611</v>
      </c>
      <c r="B329" s="46" t="s">
        <v>245</v>
      </c>
      <c r="C329" s="39" t="s">
        <v>465</v>
      </c>
      <c r="D329" s="72">
        <v>566726453</v>
      </c>
      <c r="E329" s="73">
        <v>9192168237</v>
      </c>
      <c r="F329" s="39" t="s">
        <v>256</v>
      </c>
      <c r="G329" s="49">
        <v>36021</v>
      </c>
      <c r="H329" s="50" t="str">
        <f t="shared" si="10"/>
        <v>Aug</v>
      </c>
      <c r="I329" s="51">
        <f t="shared" ca="1" si="11"/>
        <v>18</v>
      </c>
      <c r="J329" s="52" t="s">
        <v>262</v>
      </c>
      <c r="K329" s="53">
        <v>46730</v>
      </c>
      <c r="L329" s="54">
        <v>2</v>
      </c>
      <c r="M329" s="55"/>
    </row>
    <row r="330" spans="1:14">
      <c r="A330" s="39" t="s">
        <v>612</v>
      </c>
      <c r="B330" s="46" t="s">
        <v>285</v>
      </c>
      <c r="C330" s="39" t="s">
        <v>465</v>
      </c>
      <c r="D330" s="72">
        <v>903618594</v>
      </c>
      <c r="E330" s="73">
        <v>9194733288</v>
      </c>
      <c r="F330" s="39" t="s">
        <v>256</v>
      </c>
      <c r="G330" s="49">
        <v>38867</v>
      </c>
      <c r="H330" s="50" t="str">
        <f t="shared" si="10"/>
        <v>May</v>
      </c>
      <c r="I330" s="51">
        <f t="shared" ca="1" si="11"/>
        <v>10</v>
      </c>
      <c r="J330" s="52" t="s">
        <v>262</v>
      </c>
      <c r="K330" s="53">
        <v>65080</v>
      </c>
      <c r="L330" s="54">
        <v>5</v>
      </c>
      <c r="M330" s="55"/>
    </row>
    <row r="331" spans="1:14">
      <c r="A331" s="39" t="s">
        <v>613</v>
      </c>
      <c r="B331" s="46" t="s">
        <v>285</v>
      </c>
      <c r="C331" s="39" t="s">
        <v>465</v>
      </c>
      <c r="D331" s="72">
        <v>589649495</v>
      </c>
      <c r="E331" s="73">
        <v>2524248455</v>
      </c>
      <c r="F331" s="39" t="s">
        <v>256</v>
      </c>
      <c r="G331" s="49">
        <v>37708</v>
      </c>
      <c r="H331" s="50" t="str">
        <f t="shared" si="10"/>
        <v>Mar</v>
      </c>
      <c r="I331" s="51">
        <f t="shared" ca="1" si="11"/>
        <v>13</v>
      </c>
      <c r="J331" s="52" t="s">
        <v>276</v>
      </c>
      <c r="K331" s="53">
        <v>46640</v>
      </c>
      <c r="L331" s="54">
        <v>2</v>
      </c>
      <c r="M331" s="55"/>
    </row>
    <row r="332" spans="1:14">
      <c r="A332" s="39" t="s">
        <v>614</v>
      </c>
      <c r="B332" s="46" t="s">
        <v>285</v>
      </c>
      <c r="C332" s="39" t="s">
        <v>465</v>
      </c>
      <c r="D332" s="72">
        <v>542653222</v>
      </c>
      <c r="E332" s="73">
        <v>9193708610</v>
      </c>
      <c r="F332" s="39" t="s">
        <v>247</v>
      </c>
      <c r="G332" s="49">
        <v>36998</v>
      </c>
      <c r="H332" s="50" t="str">
        <f t="shared" si="10"/>
        <v>Apr</v>
      </c>
      <c r="I332" s="51">
        <f t="shared" ca="1" si="11"/>
        <v>15</v>
      </c>
      <c r="J332" s="52"/>
      <c r="K332" s="53">
        <v>87020</v>
      </c>
      <c r="L332" s="54">
        <v>3</v>
      </c>
      <c r="M332" s="55"/>
    </row>
    <row r="333" spans="1:14">
      <c r="A333" s="39" t="s">
        <v>615</v>
      </c>
      <c r="B333" s="46" t="s">
        <v>271</v>
      </c>
      <c r="C333" s="39" t="s">
        <v>465</v>
      </c>
      <c r="D333" s="72">
        <v>843064707</v>
      </c>
      <c r="E333" s="73">
        <v>9192687844</v>
      </c>
      <c r="F333" s="39" t="s">
        <v>247</v>
      </c>
      <c r="G333" s="49">
        <v>41681</v>
      </c>
      <c r="H333" s="50" t="str">
        <f t="shared" si="10"/>
        <v>Feb</v>
      </c>
      <c r="I333" s="51">
        <f t="shared" ca="1" si="11"/>
        <v>2</v>
      </c>
      <c r="J333" s="52"/>
      <c r="K333" s="53">
        <v>68530</v>
      </c>
      <c r="L333" s="54">
        <v>3</v>
      </c>
      <c r="M333" s="55"/>
    </row>
    <row r="334" spans="1:14">
      <c r="A334" s="39" t="s">
        <v>616</v>
      </c>
      <c r="B334" s="46" t="s">
        <v>271</v>
      </c>
      <c r="C334" s="39" t="s">
        <v>465</v>
      </c>
      <c r="D334" s="72">
        <v>931105030</v>
      </c>
      <c r="E334" s="73">
        <v>9191397811</v>
      </c>
      <c r="F334" s="39" t="s">
        <v>256</v>
      </c>
      <c r="G334" s="49">
        <v>37274</v>
      </c>
      <c r="H334" s="50" t="str">
        <f t="shared" si="10"/>
        <v>Jan</v>
      </c>
      <c r="I334" s="51">
        <f t="shared" ca="1" si="11"/>
        <v>14</v>
      </c>
      <c r="J334" s="52" t="s">
        <v>283</v>
      </c>
      <c r="K334" s="53">
        <v>73600</v>
      </c>
      <c r="L334" s="54">
        <v>4</v>
      </c>
      <c r="M334" s="55"/>
    </row>
    <row r="335" spans="1:14">
      <c r="A335" s="39" t="s">
        <v>617</v>
      </c>
      <c r="B335" s="46" t="s">
        <v>245</v>
      </c>
      <c r="C335" s="39" t="s">
        <v>618</v>
      </c>
      <c r="D335" s="72">
        <v>292006053</v>
      </c>
      <c r="E335" s="73">
        <v>9197045091</v>
      </c>
      <c r="F335" s="39" t="s">
        <v>247</v>
      </c>
      <c r="G335" s="49">
        <v>37766</v>
      </c>
      <c r="H335" s="50" t="str">
        <f t="shared" si="10"/>
        <v>May</v>
      </c>
      <c r="I335" s="51">
        <f t="shared" ca="1" si="11"/>
        <v>13</v>
      </c>
      <c r="J335" s="52"/>
      <c r="K335" s="53">
        <v>89400</v>
      </c>
      <c r="L335" s="54">
        <v>4</v>
      </c>
      <c r="M335" s="55"/>
    </row>
    <row r="336" spans="1:14">
      <c r="A336" s="39" t="s">
        <v>619</v>
      </c>
      <c r="B336" s="46" t="s">
        <v>280</v>
      </c>
      <c r="C336" s="39" t="s">
        <v>618</v>
      </c>
      <c r="D336" s="72">
        <v>742946482</v>
      </c>
      <c r="E336" s="73">
        <v>9197077326</v>
      </c>
      <c r="F336" s="39" t="s">
        <v>256</v>
      </c>
      <c r="G336" s="49">
        <v>34833</v>
      </c>
      <c r="H336" s="50" t="str">
        <f t="shared" si="10"/>
        <v>May</v>
      </c>
      <c r="I336" s="51">
        <f t="shared" ca="1" si="11"/>
        <v>21</v>
      </c>
      <c r="J336" s="52" t="s">
        <v>257</v>
      </c>
      <c r="K336" s="53">
        <v>46990</v>
      </c>
      <c r="L336" s="54">
        <v>3</v>
      </c>
      <c r="M336" s="55"/>
    </row>
    <row r="337" spans="1:13">
      <c r="A337" s="39" t="s">
        <v>620</v>
      </c>
      <c r="B337" s="46" t="s">
        <v>266</v>
      </c>
      <c r="C337" s="39" t="s">
        <v>618</v>
      </c>
      <c r="D337" s="72">
        <v>380343690</v>
      </c>
      <c r="E337" s="73">
        <v>2523906310</v>
      </c>
      <c r="F337" s="39" t="s">
        <v>247</v>
      </c>
      <c r="G337" s="49">
        <v>41293</v>
      </c>
      <c r="H337" s="50" t="str">
        <f t="shared" si="10"/>
        <v>Jan</v>
      </c>
      <c r="I337" s="51">
        <f t="shared" ca="1" si="11"/>
        <v>3</v>
      </c>
      <c r="J337" s="52"/>
      <c r="K337" s="53">
        <v>74270</v>
      </c>
      <c r="L337" s="54">
        <v>2</v>
      </c>
      <c r="M337" s="55"/>
    </row>
    <row r="338" spans="1:13">
      <c r="A338" s="39" t="s">
        <v>621</v>
      </c>
      <c r="B338" s="46" t="s">
        <v>285</v>
      </c>
      <c r="C338" s="39" t="s">
        <v>618</v>
      </c>
      <c r="D338" s="72">
        <v>214234804</v>
      </c>
      <c r="E338" s="73">
        <v>2528908079</v>
      </c>
      <c r="F338" s="39" t="s">
        <v>256</v>
      </c>
      <c r="G338" s="49">
        <v>38937</v>
      </c>
      <c r="H338" s="50" t="str">
        <f t="shared" si="10"/>
        <v>Aug</v>
      </c>
      <c r="I338" s="51">
        <f t="shared" ca="1" si="11"/>
        <v>10</v>
      </c>
      <c r="J338" s="52" t="s">
        <v>283</v>
      </c>
      <c r="K338" s="53">
        <v>64640</v>
      </c>
      <c r="L338" s="54">
        <v>2</v>
      </c>
      <c r="M338" s="55"/>
    </row>
    <row r="339" spans="1:13">
      <c r="A339" s="39" t="s">
        <v>622</v>
      </c>
      <c r="B339" s="46" t="s">
        <v>245</v>
      </c>
      <c r="C339" s="39" t="s">
        <v>618</v>
      </c>
      <c r="D339" s="72">
        <v>620072502</v>
      </c>
      <c r="E339" s="73">
        <v>9191264013</v>
      </c>
      <c r="F339" s="39" t="s">
        <v>256</v>
      </c>
      <c r="G339" s="49">
        <v>40039</v>
      </c>
      <c r="H339" s="50" t="str">
        <f t="shared" si="10"/>
        <v>Aug</v>
      </c>
      <c r="I339" s="51">
        <f t="shared" ca="1" si="11"/>
        <v>7</v>
      </c>
      <c r="J339" s="52" t="s">
        <v>276</v>
      </c>
      <c r="K339" s="53">
        <v>85680</v>
      </c>
      <c r="L339" s="54">
        <v>4</v>
      </c>
      <c r="M339" s="55"/>
    </row>
    <row r="340" spans="1:13">
      <c r="A340" s="39" t="s">
        <v>623</v>
      </c>
      <c r="B340" s="46" t="s">
        <v>266</v>
      </c>
      <c r="C340" s="39" t="s">
        <v>618</v>
      </c>
      <c r="D340" s="72">
        <v>723930767</v>
      </c>
      <c r="E340" s="73">
        <v>9191375297</v>
      </c>
      <c r="F340" s="39" t="s">
        <v>256</v>
      </c>
      <c r="G340" s="49">
        <v>41314</v>
      </c>
      <c r="H340" s="50" t="str">
        <f t="shared" si="10"/>
        <v>Feb</v>
      </c>
      <c r="I340" s="51">
        <f t="shared" ca="1" si="11"/>
        <v>3</v>
      </c>
      <c r="J340" s="52" t="s">
        <v>283</v>
      </c>
      <c r="K340" s="53">
        <v>32700</v>
      </c>
      <c r="L340" s="54">
        <v>5</v>
      </c>
      <c r="M340" s="55"/>
    </row>
    <row r="341" spans="1:13">
      <c r="A341" s="39" t="s">
        <v>624</v>
      </c>
      <c r="B341" s="46" t="s">
        <v>251</v>
      </c>
      <c r="C341" s="39" t="s">
        <v>618</v>
      </c>
      <c r="D341" s="72">
        <v>370608224</v>
      </c>
      <c r="E341" s="73">
        <v>2521535362</v>
      </c>
      <c r="F341" s="39" t="s">
        <v>256</v>
      </c>
      <c r="G341" s="49">
        <v>38408</v>
      </c>
      <c r="H341" s="50" t="str">
        <f t="shared" si="10"/>
        <v>Feb</v>
      </c>
      <c r="I341" s="51">
        <f t="shared" ca="1" si="11"/>
        <v>11</v>
      </c>
      <c r="J341" s="52" t="s">
        <v>257</v>
      </c>
      <c r="K341" s="53">
        <v>70970</v>
      </c>
      <c r="L341" s="54">
        <v>5</v>
      </c>
      <c r="M341" s="55"/>
    </row>
    <row r="342" spans="1:13">
      <c r="A342" s="39" t="s">
        <v>625</v>
      </c>
      <c r="B342" s="46" t="s">
        <v>285</v>
      </c>
      <c r="C342" s="39" t="s">
        <v>626</v>
      </c>
      <c r="D342" s="72">
        <v>567266382</v>
      </c>
      <c r="E342" s="73">
        <v>2521683770</v>
      </c>
      <c r="F342" s="39" t="s">
        <v>256</v>
      </c>
      <c r="G342" s="49">
        <v>37117</v>
      </c>
      <c r="H342" s="50" t="str">
        <f t="shared" si="10"/>
        <v>Aug</v>
      </c>
      <c r="I342" s="51">
        <f t="shared" ca="1" si="11"/>
        <v>15</v>
      </c>
      <c r="J342" s="52" t="s">
        <v>276</v>
      </c>
      <c r="K342" s="53">
        <v>59720</v>
      </c>
      <c r="L342" s="54">
        <v>1</v>
      </c>
      <c r="M342" s="55"/>
    </row>
    <row r="343" spans="1:13">
      <c r="A343" s="39" t="s">
        <v>627</v>
      </c>
      <c r="B343" s="46" t="s">
        <v>285</v>
      </c>
      <c r="C343" s="39" t="s">
        <v>626</v>
      </c>
      <c r="D343" s="72">
        <v>364404060</v>
      </c>
      <c r="E343" s="73">
        <v>2527722509</v>
      </c>
      <c r="F343" s="39" t="s">
        <v>261</v>
      </c>
      <c r="G343" s="49">
        <v>39363</v>
      </c>
      <c r="H343" s="50" t="str">
        <f t="shared" si="10"/>
        <v>Oct</v>
      </c>
      <c r="I343" s="51">
        <f t="shared" ca="1" si="11"/>
        <v>9</v>
      </c>
      <c r="J343" s="52" t="s">
        <v>257</v>
      </c>
      <c r="K343" s="53">
        <v>37510</v>
      </c>
      <c r="L343" s="54">
        <v>5</v>
      </c>
      <c r="M343" s="55"/>
    </row>
    <row r="344" spans="1:13">
      <c r="A344" s="39" t="s">
        <v>628</v>
      </c>
      <c r="B344" s="46" t="s">
        <v>251</v>
      </c>
      <c r="C344" s="39" t="s">
        <v>626</v>
      </c>
      <c r="D344" s="72">
        <v>634954970</v>
      </c>
      <c r="E344" s="73">
        <v>9194900864</v>
      </c>
      <c r="F344" s="39" t="s">
        <v>256</v>
      </c>
      <c r="G344" s="49">
        <v>36283</v>
      </c>
      <c r="H344" s="50" t="str">
        <f t="shared" si="10"/>
        <v>May</v>
      </c>
      <c r="I344" s="51">
        <f t="shared" ca="1" si="11"/>
        <v>17</v>
      </c>
      <c r="J344" s="52" t="s">
        <v>257</v>
      </c>
      <c r="K344" s="53">
        <v>69070</v>
      </c>
      <c r="L344" s="54">
        <v>4</v>
      </c>
      <c r="M344" s="55"/>
    </row>
    <row r="345" spans="1:13">
      <c r="A345" s="39" t="s">
        <v>629</v>
      </c>
      <c r="B345" s="46" t="s">
        <v>245</v>
      </c>
      <c r="C345" s="39" t="s">
        <v>626</v>
      </c>
      <c r="D345" s="72">
        <v>980960186</v>
      </c>
      <c r="E345" s="73">
        <v>9191517218</v>
      </c>
      <c r="F345" s="39" t="s">
        <v>261</v>
      </c>
      <c r="G345" s="49">
        <v>40099</v>
      </c>
      <c r="H345" s="50" t="str">
        <f t="shared" si="10"/>
        <v>Oct</v>
      </c>
      <c r="I345" s="51">
        <f t="shared" ca="1" si="11"/>
        <v>7</v>
      </c>
      <c r="J345" s="52" t="s">
        <v>283</v>
      </c>
      <c r="K345" s="53">
        <v>57250</v>
      </c>
      <c r="L345" s="54">
        <v>5</v>
      </c>
      <c r="M345" s="55"/>
    </row>
    <row r="346" spans="1:13">
      <c r="A346" s="39" t="s">
        <v>630</v>
      </c>
      <c r="B346" s="46" t="s">
        <v>285</v>
      </c>
      <c r="C346" s="39" t="s">
        <v>626</v>
      </c>
      <c r="D346" s="72">
        <v>424800509</v>
      </c>
      <c r="E346" s="73">
        <v>2523986051</v>
      </c>
      <c r="F346" s="39" t="s">
        <v>256</v>
      </c>
      <c r="G346" s="49">
        <v>37464</v>
      </c>
      <c r="H346" s="50" t="str">
        <f t="shared" si="10"/>
        <v>Jul</v>
      </c>
      <c r="I346" s="51">
        <f t="shared" ca="1" si="11"/>
        <v>14</v>
      </c>
      <c r="J346" s="52" t="s">
        <v>257</v>
      </c>
      <c r="K346" s="53">
        <v>53060</v>
      </c>
      <c r="L346" s="54">
        <v>3</v>
      </c>
      <c r="M346" s="55"/>
    </row>
    <row r="347" spans="1:13">
      <c r="A347" s="39" t="s">
        <v>631</v>
      </c>
      <c r="B347" s="46" t="s">
        <v>251</v>
      </c>
      <c r="C347" s="39" t="s">
        <v>626</v>
      </c>
      <c r="D347" s="72">
        <v>159415552</v>
      </c>
      <c r="E347" s="73">
        <v>9194221208</v>
      </c>
      <c r="F347" s="39" t="s">
        <v>256</v>
      </c>
      <c r="G347" s="49">
        <v>34766</v>
      </c>
      <c r="H347" s="50" t="str">
        <f t="shared" si="10"/>
        <v>Mar</v>
      </c>
      <c r="I347" s="51">
        <f t="shared" ca="1" si="11"/>
        <v>21</v>
      </c>
      <c r="J347" s="52" t="s">
        <v>262</v>
      </c>
      <c r="K347" s="53">
        <v>88720</v>
      </c>
      <c r="L347" s="54">
        <v>1</v>
      </c>
      <c r="M347" s="55"/>
    </row>
    <row r="348" spans="1:13">
      <c r="A348" s="39" t="s">
        <v>632</v>
      </c>
      <c r="B348" s="46" t="s">
        <v>280</v>
      </c>
      <c r="C348" s="39" t="s">
        <v>626</v>
      </c>
      <c r="D348" s="72">
        <v>991764142</v>
      </c>
      <c r="E348" s="73">
        <v>9192490678</v>
      </c>
      <c r="F348" s="39" t="s">
        <v>247</v>
      </c>
      <c r="G348" s="49">
        <v>35948</v>
      </c>
      <c r="H348" s="50" t="str">
        <f t="shared" si="10"/>
        <v>Jun</v>
      </c>
      <c r="I348" s="51">
        <f t="shared" ca="1" si="11"/>
        <v>18</v>
      </c>
      <c r="J348" s="52"/>
      <c r="K348" s="53">
        <v>98320</v>
      </c>
      <c r="L348" s="54">
        <v>5</v>
      </c>
      <c r="M348" s="55"/>
    </row>
    <row r="349" spans="1:13">
      <c r="A349" s="39" t="s">
        <v>633</v>
      </c>
      <c r="B349" s="46" t="s">
        <v>271</v>
      </c>
      <c r="C349" s="39" t="s">
        <v>626</v>
      </c>
      <c r="D349" s="72">
        <v>796685092</v>
      </c>
      <c r="E349" s="73">
        <v>2527469217</v>
      </c>
      <c r="F349" s="39" t="s">
        <v>256</v>
      </c>
      <c r="G349" s="49">
        <v>37457</v>
      </c>
      <c r="H349" s="50" t="str">
        <f t="shared" si="10"/>
        <v>Jul</v>
      </c>
      <c r="I349" s="51">
        <f t="shared" ca="1" si="11"/>
        <v>14</v>
      </c>
      <c r="J349" s="52" t="s">
        <v>283</v>
      </c>
      <c r="K349" s="53">
        <v>52150</v>
      </c>
      <c r="L349" s="54">
        <v>5</v>
      </c>
      <c r="M349" s="55"/>
    </row>
    <row r="350" spans="1:13">
      <c r="A350" s="39" t="s">
        <v>634</v>
      </c>
      <c r="B350" s="46" t="s">
        <v>245</v>
      </c>
      <c r="C350" s="39" t="s">
        <v>626</v>
      </c>
      <c r="D350" s="72">
        <v>422929693</v>
      </c>
      <c r="E350" s="73">
        <v>9191487375</v>
      </c>
      <c r="F350" s="39" t="s">
        <v>256</v>
      </c>
      <c r="G350" s="49">
        <v>37663</v>
      </c>
      <c r="H350" s="50" t="str">
        <f t="shared" si="10"/>
        <v>Feb</v>
      </c>
      <c r="I350" s="51">
        <f t="shared" ca="1" si="11"/>
        <v>13</v>
      </c>
      <c r="J350" s="52" t="s">
        <v>283</v>
      </c>
      <c r="K350" s="53">
        <v>62990</v>
      </c>
      <c r="L350" s="54">
        <v>4</v>
      </c>
      <c r="M350" s="55"/>
    </row>
    <row r="351" spans="1:13">
      <c r="A351" s="39" t="s">
        <v>635</v>
      </c>
      <c r="B351" s="46" t="s">
        <v>271</v>
      </c>
      <c r="C351" s="39" t="s">
        <v>626</v>
      </c>
      <c r="D351" s="72">
        <v>597641409</v>
      </c>
      <c r="E351" s="73">
        <v>9196201509</v>
      </c>
      <c r="F351" s="39" t="s">
        <v>256</v>
      </c>
      <c r="G351" s="49">
        <v>36858</v>
      </c>
      <c r="H351" s="50" t="str">
        <f t="shared" si="10"/>
        <v>Nov</v>
      </c>
      <c r="I351" s="51">
        <f t="shared" ca="1" si="11"/>
        <v>15</v>
      </c>
      <c r="J351" s="52" t="s">
        <v>283</v>
      </c>
      <c r="K351" s="53">
        <v>98530</v>
      </c>
      <c r="L351" s="54">
        <v>3</v>
      </c>
      <c r="M351" s="55"/>
    </row>
    <row r="352" spans="1:13">
      <c r="A352" s="39" t="s">
        <v>636</v>
      </c>
      <c r="B352" s="46" t="s">
        <v>271</v>
      </c>
      <c r="C352" s="39" t="s">
        <v>626</v>
      </c>
      <c r="D352" s="72">
        <v>247406371</v>
      </c>
      <c r="E352" s="73">
        <v>9195299873</v>
      </c>
      <c r="F352" s="39" t="s">
        <v>261</v>
      </c>
      <c r="G352" s="49">
        <v>41352</v>
      </c>
      <c r="H352" s="50" t="str">
        <f t="shared" si="10"/>
        <v>Mar</v>
      </c>
      <c r="I352" s="51">
        <f t="shared" ca="1" si="11"/>
        <v>3</v>
      </c>
      <c r="J352" s="52" t="s">
        <v>283</v>
      </c>
      <c r="K352" s="53">
        <v>24050</v>
      </c>
      <c r="L352" s="54">
        <v>3</v>
      </c>
      <c r="M352" s="55"/>
    </row>
    <row r="353" spans="1:13">
      <c r="A353" s="39" t="s">
        <v>637</v>
      </c>
      <c r="B353" s="46" t="s">
        <v>285</v>
      </c>
      <c r="C353" s="39" t="s">
        <v>626</v>
      </c>
      <c r="D353" s="72">
        <v>385074661</v>
      </c>
      <c r="E353" s="73">
        <v>2527451745</v>
      </c>
      <c r="F353" s="39" t="s">
        <v>256</v>
      </c>
      <c r="G353" s="49">
        <v>35876</v>
      </c>
      <c r="H353" s="50" t="str">
        <f t="shared" si="10"/>
        <v>Mar</v>
      </c>
      <c r="I353" s="51">
        <f t="shared" ca="1" si="11"/>
        <v>18</v>
      </c>
      <c r="J353" s="52" t="s">
        <v>276</v>
      </c>
      <c r="K353" s="53">
        <v>80300</v>
      </c>
      <c r="L353" s="54">
        <v>2</v>
      </c>
      <c r="M353" s="55"/>
    </row>
    <row r="354" spans="1:13">
      <c r="A354" s="39" t="s">
        <v>638</v>
      </c>
      <c r="B354" s="46" t="s">
        <v>285</v>
      </c>
      <c r="C354" s="39" t="s">
        <v>626</v>
      </c>
      <c r="D354" s="72">
        <v>254201611</v>
      </c>
      <c r="E354" s="73">
        <v>9197803578</v>
      </c>
      <c r="F354" s="39" t="s">
        <v>256</v>
      </c>
      <c r="G354" s="49">
        <v>35035</v>
      </c>
      <c r="H354" s="50" t="str">
        <f t="shared" si="10"/>
        <v>Dec</v>
      </c>
      <c r="I354" s="51">
        <f t="shared" ca="1" si="11"/>
        <v>20</v>
      </c>
      <c r="J354" s="52" t="s">
        <v>267</v>
      </c>
      <c r="K354" s="53">
        <v>54220</v>
      </c>
      <c r="L354" s="54">
        <v>5</v>
      </c>
      <c r="M354" s="55"/>
    </row>
    <row r="355" spans="1:13">
      <c r="A355" s="39" t="s">
        <v>639</v>
      </c>
      <c r="B355" s="46" t="s">
        <v>271</v>
      </c>
      <c r="C355" s="39" t="s">
        <v>626</v>
      </c>
      <c r="D355" s="72">
        <v>168791562</v>
      </c>
      <c r="E355" s="73">
        <v>9194161772</v>
      </c>
      <c r="F355" s="39" t="s">
        <v>256</v>
      </c>
      <c r="G355" s="49">
        <v>41362</v>
      </c>
      <c r="H355" s="50" t="str">
        <f t="shared" si="10"/>
        <v>Mar</v>
      </c>
      <c r="I355" s="51">
        <f t="shared" ca="1" si="11"/>
        <v>3</v>
      </c>
      <c r="J355" s="52" t="s">
        <v>267</v>
      </c>
      <c r="K355" s="53">
        <v>90940</v>
      </c>
      <c r="L355" s="54">
        <v>2</v>
      </c>
      <c r="M355" s="55"/>
    </row>
    <row r="356" spans="1:13">
      <c r="A356" s="39" t="s">
        <v>640</v>
      </c>
      <c r="B356" s="46" t="s">
        <v>271</v>
      </c>
      <c r="C356" s="39" t="s">
        <v>626</v>
      </c>
      <c r="D356" s="72">
        <v>999156829</v>
      </c>
      <c r="E356" s="73">
        <v>2521401774</v>
      </c>
      <c r="F356" s="39" t="s">
        <v>256</v>
      </c>
      <c r="G356" s="49">
        <v>41448</v>
      </c>
      <c r="H356" s="50" t="str">
        <f t="shared" si="10"/>
        <v>Jun</v>
      </c>
      <c r="I356" s="51">
        <f t="shared" ca="1" si="11"/>
        <v>3</v>
      </c>
      <c r="J356" s="52" t="s">
        <v>257</v>
      </c>
      <c r="K356" s="53">
        <v>40760</v>
      </c>
      <c r="L356" s="54">
        <v>4</v>
      </c>
      <c r="M356" s="55"/>
    </row>
    <row r="357" spans="1:13">
      <c r="A357" s="39" t="s">
        <v>641</v>
      </c>
      <c r="B357" s="46" t="s">
        <v>251</v>
      </c>
      <c r="C357" s="39" t="s">
        <v>626</v>
      </c>
      <c r="D357" s="72">
        <v>154984918</v>
      </c>
      <c r="E357" s="73">
        <v>2521575684</v>
      </c>
      <c r="F357" s="39" t="s">
        <v>256</v>
      </c>
      <c r="G357" s="49">
        <v>34408</v>
      </c>
      <c r="H357" s="50" t="str">
        <f t="shared" si="10"/>
        <v>Mar</v>
      </c>
      <c r="I357" s="51">
        <f t="shared" ca="1" si="11"/>
        <v>22</v>
      </c>
      <c r="J357" s="52" t="s">
        <v>257</v>
      </c>
      <c r="K357" s="53">
        <v>27480</v>
      </c>
      <c r="L357" s="54">
        <v>1</v>
      </c>
      <c r="M357" s="55"/>
    </row>
    <row r="358" spans="1:13">
      <c r="A358" s="39" t="s">
        <v>642</v>
      </c>
      <c r="B358" s="46" t="s">
        <v>285</v>
      </c>
      <c r="C358" s="39" t="s">
        <v>626</v>
      </c>
      <c r="D358" s="72">
        <v>275102740</v>
      </c>
      <c r="E358" s="73">
        <v>2521620909</v>
      </c>
      <c r="F358" s="39" t="s">
        <v>256</v>
      </c>
      <c r="G358" s="49">
        <v>34696</v>
      </c>
      <c r="H358" s="50" t="str">
        <f t="shared" si="10"/>
        <v>Dec</v>
      </c>
      <c r="I358" s="51">
        <f t="shared" ca="1" si="11"/>
        <v>21</v>
      </c>
      <c r="J358" s="52" t="s">
        <v>262</v>
      </c>
      <c r="K358" s="53">
        <v>72670</v>
      </c>
      <c r="L358" s="54">
        <v>4</v>
      </c>
      <c r="M358" s="55"/>
    </row>
    <row r="359" spans="1:13">
      <c r="A359" s="39" t="s">
        <v>643</v>
      </c>
      <c r="B359" s="46" t="s">
        <v>271</v>
      </c>
      <c r="C359" s="39" t="s">
        <v>626</v>
      </c>
      <c r="D359" s="72">
        <v>555025137</v>
      </c>
      <c r="E359" s="73">
        <v>2526565171</v>
      </c>
      <c r="F359" s="39" t="s">
        <v>261</v>
      </c>
      <c r="G359" s="49">
        <v>34320</v>
      </c>
      <c r="H359" s="50" t="str">
        <f t="shared" si="10"/>
        <v>Dec</v>
      </c>
      <c r="I359" s="51">
        <f t="shared" ca="1" si="11"/>
        <v>22</v>
      </c>
      <c r="J359" s="52" t="s">
        <v>267</v>
      </c>
      <c r="K359" s="53">
        <v>15710</v>
      </c>
      <c r="L359" s="54">
        <v>4</v>
      </c>
      <c r="M359" s="55"/>
    </row>
    <row r="360" spans="1:13">
      <c r="A360" s="39" t="s">
        <v>644</v>
      </c>
      <c r="B360" s="46" t="s">
        <v>271</v>
      </c>
      <c r="C360" s="39" t="s">
        <v>626</v>
      </c>
      <c r="D360" s="72">
        <v>649234799</v>
      </c>
      <c r="E360" s="73">
        <v>2521588597</v>
      </c>
      <c r="F360" s="39" t="s">
        <v>256</v>
      </c>
      <c r="G360" s="49">
        <v>41210</v>
      </c>
      <c r="H360" s="50" t="str">
        <f t="shared" si="10"/>
        <v>Oct</v>
      </c>
      <c r="I360" s="51">
        <f t="shared" ca="1" si="11"/>
        <v>4</v>
      </c>
      <c r="J360" s="52" t="s">
        <v>283</v>
      </c>
      <c r="K360" s="53">
        <v>54310</v>
      </c>
      <c r="L360" s="54">
        <v>4</v>
      </c>
      <c r="M360" s="55"/>
    </row>
    <row r="361" spans="1:13">
      <c r="A361" s="39" t="s">
        <v>645</v>
      </c>
      <c r="B361" s="46" t="s">
        <v>245</v>
      </c>
      <c r="C361" s="39" t="s">
        <v>626</v>
      </c>
      <c r="D361" s="72">
        <v>895408697</v>
      </c>
      <c r="E361" s="73">
        <v>2523383207</v>
      </c>
      <c r="F361" s="39" t="s">
        <v>256</v>
      </c>
      <c r="G361" s="49">
        <v>40158</v>
      </c>
      <c r="H361" s="50" t="str">
        <f t="shared" si="10"/>
        <v>Dec</v>
      </c>
      <c r="I361" s="51">
        <f t="shared" ca="1" si="11"/>
        <v>6</v>
      </c>
      <c r="J361" s="52" t="s">
        <v>283</v>
      </c>
      <c r="K361" s="53">
        <v>57130</v>
      </c>
      <c r="L361" s="54">
        <v>4</v>
      </c>
      <c r="M361" s="55"/>
    </row>
    <row r="362" spans="1:13">
      <c r="A362" s="39" t="s">
        <v>646</v>
      </c>
      <c r="B362" s="46" t="s">
        <v>245</v>
      </c>
      <c r="C362" s="39" t="s">
        <v>626</v>
      </c>
      <c r="D362" s="72">
        <v>343897392</v>
      </c>
      <c r="E362" s="73">
        <v>2526674988</v>
      </c>
      <c r="F362" s="39" t="s">
        <v>256</v>
      </c>
      <c r="G362" s="49">
        <v>36255</v>
      </c>
      <c r="H362" s="50" t="str">
        <f t="shared" si="10"/>
        <v>Apr</v>
      </c>
      <c r="I362" s="51">
        <f t="shared" ca="1" si="11"/>
        <v>17</v>
      </c>
      <c r="J362" s="52" t="s">
        <v>257</v>
      </c>
      <c r="K362" s="53">
        <v>58560</v>
      </c>
      <c r="L362" s="54">
        <v>4</v>
      </c>
      <c r="M362" s="55"/>
    </row>
    <row r="363" spans="1:13">
      <c r="A363" s="39" t="s">
        <v>647</v>
      </c>
      <c r="B363" s="46" t="s">
        <v>245</v>
      </c>
      <c r="C363" s="39" t="s">
        <v>626</v>
      </c>
      <c r="D363" s="72">
        <v>499124019</v>
      </c>
      <c r="E363" s="73">
        <v>9195978858</v>
      </c>
      <c r="F363" s="39" t="s">
        <v>261</v>
      </c>
      <c r="G363" s="49">
        <v>37122</v>
      </c>
      <c r="H363" s="50" t="str">
        <f t="shared" si="10"/>
        <v>Aug</v>
      </c>
      <c r="I363" s="51">
        <f t="shared" ca="1" si="11"/>
        <v>15</v>
      </c>
      <c r="J363" s="52" t="s">
        <v>283</v>
      </c>
      <c r="K363" s="53">
        <v>34660</v>
      </c>
      <c r="L363" s="54">
        <v>3</v>
      </c>
      <c r="M363" s="55"/>
    </row>
    <row r="364" spans="1:13">
      <c r="A364" s="39" t="s">
        <v>648</v>
      </c>
      <c r="B364" s="46" t="s">
        <v>266</v>
      </c>
      <c r="C364" s="39" t="s">
        <v>626</v>
      </c>
      <c r="D364" s="72">
        <v>506165137</v>
      </c>
      <c r="E364" s="73">
        <v>9193613417</v>
      </c>
      <c r="F364" s="39" t="s">
        <v>256</v>
      </c>
      <c r="G364" s="49">
        <v>41084</v>
      </c>
      <c r="H364" s="50" t="str">
        <f t="shared" si="10"/>
        <v>Jun</v>
      </c>
      <c r="I364" s="51">
        <f t="shared" ca="1" si="11"/>
        <v>4</v>
      </c>
      <c r="J364" s="52" t="s">
        <v>283</v>
      </c>
      <c r="K364" s="53">
        <v>52980</v>
      </c>
      <c r="L364" s="54">
        <v>4</v>
      </c>
      <c r="M364" s="55"/>
    </row>
    <row r="365" spans="1:13">
      <c r="A365" s="39" t="s">
        <v>649</v>
      </c>
      <c r="B365" s="46" t="s">
        <v>245</v>
      </c>
      <c r="C365" s="39" t="s">
        <v>626</v>
      </c>
      <c r="D365" s="72">
        <v>372693786</v>
      </c>
      <c r="E365" s="73">
        <v>9198211050</v>
      </c>
      <c r="F365" s="39" t="s">
        <v>261</v>
      </c>
      <c r="G365" s="49">
        <v>38139</v>
      </c>
      <c r="H365" s="50" t="str">
        <f t="shared" si="10"/>
        <v>Jun</v>
      </c>
      <c r="I365" s="51">
        <f t="shared" ca="1" si="11"/>
        <v>12</v>
      </c>
      <c r="J365" s="52" t="s">
        <v>262</v>
      </c>
      <c r="K365" s="53">
        <v>37330</v>
      </c>
      <c r="L365" s="54">
        <v>1</v>
      </c>
      <c r="M365" s="55"/>
    </row>
    <row r="366" spans="1:13">
      <c r="A366" s="39" t="s">
        <v>650</v>
      </c>
      <c r="B366" s="46" t="s">
        <v>251</v>
      </c>
      <c r="C366" s="39" t="s">
        <v>626</v>
      </c>
      <c r="D366" s="72">
        <v>662974752</v>
      </c>
      <c r="E366" s="73">
        <v>2526040465</v>
      </c>
      <c r="F366" s="39" t="s">
        <v>256</v>
      </c>
      <c r="G366" s="49">
        <v>37393</v>
      </c>
      <c r="H366" s="50" t="str">
        <f t="shared" si="10"/>
        <v>May</v>
      </c>
      <c r="I366" s="51">
        <f t="shared" ca="1" si="11"/>
        <v>14</v>
      </c>
      <c r="J366" s="52" t="s">
        <v>283</v>
      </c>
      <c r="K366" s="53">
        <v>61690</v>
      </c>
      <c r="L366" s="54">
        <v>4</v>
      </c>
      <c r="M366" s="55"/>
    </row>
    <row r="367" spans="1:13">
      <c r="A367" s="39" t="s">
        <v>651</v>
      </c>
      <c r="B367" s="46" t="s">
        <v>285</v>
      </c>
      <c r="C367" s="39" t="s">
        <v>626</v>
      </c>
      <c r="D367" s="72">
        <v>751878224</v>
      </c>
      <c r="E367" s="73">
        <v>9194713628</v>
      </c>
      <c r="F367" s="39" t="s">
        <v>256</v>
      </c>
      <c r="G367" s="49">
        <v>34607</v>
      </c>
      <c r="H367" s="50" t="str">
        <f t="shared" si="10"/>
        <v>Sep</v>
      </c>
      <c r="I367" s="51">
        <f t="shared" ca="1" si="11"/>
        <v>22</v>
      </c>
      <c r="J367" s="52" t="s">
        <v>262</v>
      </c>
      <c r="K367" s="53">
        <v>104540</v>
      </c>
      <c r="L367" s="54">
        <v>3</v>
      </c>
      <c r="M367" s="55"/>
    </row>
    <row r="368" spans="1:13">
      <c r="A368" s="39" t="s">
        <v>652</v>
      </c>
      <c r="B368" s="46" t="s">
        <v>266</v>
      </c>
      <c r="C368" s="39" t="s">
        <v>626</v>
      </c>
      <c r="D368" s="72">
        <v>466400098</v>
      </c>
      <c r="E368" s="73">
        <v>2524652136</v>
      </c>
      <c r="F368" s="39" t="s">
        <v>247</v>
      </c>
      <c r="G368" s="49">
        <v>35055</v>
      </c>
      <c r="H368" s="50" t="str">
        <f t="shared" si="10"/>
        <v>Dec</v>
      </c>
      <c r="I368" s="51">
        <f t="shared" ca="1" si="11"/>
        <v>20</v>
      </c>
      <c r="J368" s="52"/>
      <c r="K368" s="53">
        <v>34800</v>
      </c>
      <c r="L368" s="54">
        <v>5</v>
      </c>
      <c r="M368" s="55"/>
    </row>
    <row r="369" spans="1:13">
      <c r="A369" s="39" t="s">
        <v>653</v>
      </c>
      <c r="B369" s="46" t="s">
        <v>245</v>
      </c>
      <c r="C369" s="39" t="s">
        <v>626</v>
      </c>
      <c r="D369" s="72">
        <v>132016163</v>
      </c>
      <c r="E369" s="73">
        <v>2527726916</v>
      </c>
      <c r="F369" s="39" t="s">
        <v>261</v>
      </c>
      <c r="G369" s="49">
        <v>40872</v>
      </c>
      <c r="H369" s="50" t="str">
        <f t="shared" si="10"/>
        <v>Nov</v>
      </c>
      <c r="I369" s="51">
        <f t="shared" ca="1" si="11"/>
        <v>4</v>
      </c>
      <c r="J369" s="52" t="s">
        <v>267</v>
      </c>
      <c r="K369" s="53">
        <v>46290</v>
      </c>
      <c r="L369" s="54">
        <v>2</v>
      </c>
      <c r="M369" s="55"/>
    </row>
    <row r="370" spans="1:13">
      <c r="A370" s="39" t="s">
        <v>654</v>
      </c>
      <c r="B370" s="46" t="s">
        <v>285</v>
      </c>
      <c r="C370" s="39" t="s">
        <v>626</v>
      </c>
      <c r="D370" s="72">
        <v>643272576</v>
      </c>
      <c r="E370" s="73">
        <v>2522256131</v>
      </c>
      <c r="F370" s="39" t="s">
        <v>252</v>
      </c>
      <c r="G370" s="49">
        <v>34306</v>
      </c>
      <c r="H370" s="50" t="str">
        <f t="shared" si="10"/>
        <v>Dec</v>
      </c>
      <c r="I370" s="51">
        <f t="shared" ca="1" si="11"/>
        <v>22</v>
      </c>
      <c r="J370" s="52"/>
      <c r="K370" s="53">
        <v>44210</v>
      </c>
      <c r="L370" s="54">
        <v>4</v>
      </c>
      <c r="M370" s="55"/>
    </row>
    <row r="371" spans="1:13">
      <c r="A371" s="39" t="s">
        <v>655</v>
      </c>
      <c r="B371" s="46" t="s">
        <v>266</v>
      </c>
      <c r="C371" s="39" t="s">
        <v>626</v>
      </c>
      <c r="D371" s="72">
        <v>355985853</v>
      </c>
      <c r="E371" s="73">
        <v>2525478716</v>
      </c>
      <c r="F371" s="39" t="s">
        <v>256</v>
      </c>
      <c r="G371" s="49">
        <v>37298</v>
      </c>
      <c r="H371" s="50" t="str">
        <f t="shared" si="10"/>
        <v>Feb</v>
      </c>
      <c r="I371" s="51">
        <f t="shared" ca="1" si="11"/>
        <v>14</v>
      </c>
      <c r="J371" s="52" t="s">
        <v>257</v>
      </c>
      <c r="K371" s="53">
        <v>55240</v>
      </c>
      <c r="L371" s="54">
        <v>2</v>
      </c>
      <c r="M371" s="55"/>
    </row>
    <row r="372" spans="1:13">
      <c r="A372" s="39" t="s">
        <v>656</v>
      </c>
      <c r="B372" s="46" t="s">
        <v>271</v>
      </c>
      <c r="C372" s="39" t="s">
        <v>626</v>
      </c>
      <c r="D372" s="72">
        <v>400260342</v>
      </c>
      <c r="E372" s="73">
        <v>9196798743</v>
      </c>
      <c r="F372" s="39" t="s">
        <v>247</v>
      </c>
      <c r="G372" s="49">
        <v>40284</v>
      </c>
      <c r="H372" s="50" t="str">
        <f t="shared" si="10"/>
        <v>Apr</v>
      </c>
      <c r="I372" s="51">
        <f t="shared" ca="1" si="11"/>
        <v>6</v>
      </c>
      <c r="J372" s="52"/>
      <c r="K372" s="53">
        <v>89360</v>
      </c>
      <c r="L372" s="54">
        <v>3</v>
      </c>
      <c r="M372" s="55"/>
    </row>
    <row r="373" spans="1:13">
      <c r="A373" s="39" t="s">
        <v>657</v>
      </c>
      <c r="B373" s="46" t="s">
        <v>245</v>
      </c>
      <c r="C373" s="39" t="s">
        <v>626</v>
      </c>
      <c r="D373" s="72">
        <v>259330447</v>
      </c>
      <c r="E373" s="73">
        <v>9195252544</v>
      </c>
      <c r="F373" s="39" t="s">
        <v>247</v>
      </c>
      <c r="G373" s="49">
        <v>37193</v>
      </c>
      <c r="H373" s="50" t="str">
        <f t="shared" si="10"/>
        <v>Oct</v>
      </c>
      <c r="I373" s="51">
        <f t="shared" ca="1" si="11"/>
        <v>15</v>
      </c>
      <c r="J373" s="52"/>
      <c r="K373" s="53">
        <v>57140</v>
      </c>
      <c r="L373" s="54">
        <v>5</v>
      </c>
      <c r="M373" s="55"/>
    </row>
    <row r="374" spans="1:13">
      <c r="A374" s="39" t="s">
        <v>658</v>
      </c>
      <c r="B374" s="46" t="s">
        <v>285</v>
      </c>
      <c r="C374" s="39" t="s">
        <v>626</v>
      </c>
      <c r="D374" s="72">
        <v>157257652</v>
      </c>
      <c r="E374" s="73">
        <v>9193262077</v>
      </c>
      <c r="F374" s="39" t="s">
        <v>247</v>
      </c>
      <c r="G374" s="49">
        <v>37704</v>
      </c>
      <c r="H374" s="50" t="str">
        <f t="shared" si="10"/>
        <v>Mar</v>
      </c>
      <c r="I374" s="51">
        <f t="shared" ca="1" si="11"/>
        <v>13</v>
      </c>
      <c r="J374" s="52"/>
      <c r="K374" s="53">
        <v>60240</v>
      </c>
      <c r="L374" s="54">
        <v>4</v>
      </c>
      <c r="M374" s="55"/>
    </row>
    <row r="375" spans="1:13">
      <c r="A375" s="39" t="s">
        <v>659</v>
      </c>
      <c r="B375" s="46" t="s">
        <v>245</v>
      </c>
      <c r="C375" s="39" t="s">
        <v>626</v>
      </c>
      <c r="D375" s="72">
        <v>738946277</v>
      </c>
      <c r="E375" s="73">
        <v>9194331646</v>
      </c>
      <c r="F375" s="39" t="s">
        <v>256</v>
      </c>
      <c r="G375" s="49">
        <v>34224</v>
      </c>
      <c r="H375" s="50" t="str">
        <f t="shared" si="10"/>
        <v>Sep</v>
      </c>
      <c r="I375" s="51">
        <f t="shared" ca="1" si="11"/>
        <v>23</v>
      </c>
      <c r="J375" s="52" t="s">
        <v>262</v>
      </c>
      <c r="K375" s="53">
        <v>37510</v>
      </c>
      <c r="L375" s="54">
        <v>5</v>
      </c>
      <c r="M375" s="55"/>
    </row>
    <row r="376" spans="1:13">
      <c r="A376" s="39" t="s">
        <v>660</v>
      </c>
      <c r="B376" s="46" t="s">
        <v>245</v>
      </c>
      <c r="C376" s="39" t="s">
        <v>626</v>
      </c>
      <c r="D376" s="72">
        <v>261920277</v>
      </c>
      <c r="E376" s="73">
        <v>2524272773</v>
      </c>
      <c r="F376" s="39" t="s">
        <v>256</v>
      </c>
      <c r="G376" s="49">
        <v>36857</v>
      </c>
      <c r="H376" s="50" t="str">
        <f t="shared" si="10"/>
        <v>Nov</v>
      </c>
      <c r="I376" s="51">
        <f t="shared" ca="1" si="11"/>
        <v>15</v>
      </c>
      <c r="J376" s="52" t="s">
        <v>276</v>
      </c>
      <c r="K376" s="53">
        <v>104200</v>
      </c>
      <c r="L376" s="54">
        <v>3</v>
      </c>
      <c r="M376" s="55"/>
    </row>
    <row r="377" spans="1:13">
      <c r="A377" s="39" t="s">
        <v>661</v>
      </c>
      <c r="B377" s="46" t="s">
        <v>245</v>
      </c>
      <c r="C377" s="39" t="s">
        <v>626</v>
      </c>
      <c r="D377" s="72">
        <v>948189231</v>
      </c>
      <c r="E377" s="73">
        <v>2527687161</v>
      </c>
      <c r="F377" s="39" t="s">
        <v>256</v>
      </c>
      <c r="G377" s="49">
        <v>34703</v>
      </c>
      <c r="H377" s="50" t="str">
        <f t="shared" si="10"/>
        <v>Jan</v>
      </c>
      <c r="I377" s="51">
        <f t="shared" ca="1" si="11"/>
        <v>21</v>
      </c>
      <c r="J377" s="52" t="s">
        <v>257</v>
      </c>
      <c r="K377" s="53">
        <v>44420</v>
      </c>
      <c r="L377" s="54">
        <v>2</v>
      </c>
      <c r="M377" s="55"/>
    </row>
    <row r="378" spans="1:13">
      <c r="A378" s="39" t="s">
        <v>662</v>
      </c>
      <c r="B378" s="46" t="s">
        <v>285</v>
      </c>
      <c r="C378" s="39" t="s">
        <v>626</v>
      </c>
      <c r="D378" s="72">
        <v>443476169</v>
      </c>
      <c r="E378" s="73">
        <v>9195085809</v>
      </c>
      <c r="F378" s="39" t="s">
        <v>256</v>
      </c>
      <c r="G378" s="49">
        <v>35068</v>
      </c>
      <c r="H378" s="50" t="str">
        <f t="shared" si="10"/>
        <v>Jan</v>
      </c>
      <c r="I378" s="51">
        <f t="shared" ca="1" si="11"/>
        <v>20</v>
      </c>
      <c r="J378" s="52" t="s">
        <v>267</v>
      </c>
      <c r="K378" s="53">
        <v>103850</v>
      </c>
      <c r="L378" s="54">
        <v>4</v>
      </c>
      <c r="M378" s="55"/>
    </row>
    <row r="379" spans="1:13">
      <c r="A379" s="39" t="s">
        <v>663</v>
      </c>
      <c r="B379" s="46" t="s">
        <v>285</v>
      </c>
      <c r="C379" s="39" t="s">
        <v>626</v>
      </c>
      <c r="D379" s="72">
        <v>983891302</v>
      </c>
      <c r="E379" s="73">
        <v>9191462245</v>
      </c>
      <c r="F379" s="39" t="s">
        <v>256</v>
      </c>
      <c r="G379" s="49">
        <v>36548</v>
      </c>
      <c r="H379" s="50" t="str">
        <f t="shared" si="10"/>
        <v>Jan</v>
      </c>
      <c r="I379" s="51">
        <f t="shared" ca="1" si="11"/>
        <v>16</v>
      </c>
      <c r="J379" s="52" t="s">
        <v>257</v>
      </c>
      <c r="K379" s="53">
        <v>97970</v>
      </c>
      <c r="L379" s="54">
        <v>4</v>
      </c>
      <c r="M379" s="55"/>
    </row>
    <row r="380" spans="1:13">
      <c r="A380" s="39" t="s">
        <v>664</v>
      </c>
      <c r="B380" s="46" t="s">
        <v>251</v>
      </c>
      <c r="C380" s="39" t="s">
        <v>626</v>
      </c>
      <c r="D380" s="72">
        <v>345817459</v>
      </c>
      <c r="E380" s="73">
        <v>9195594427</v>
      </c>
      <c r="F380" s="39" t="s">
        <v>247</v>
      </c>
      <c r="G380" s="49">
        <v>37200</v>
      </c>
      <c r="H380" s="50" t="str">
        <f t="shared" si="10"/>
        <v>Nov</v>
      </c>
      <c r="I380" s="51">
        <f t="shared" ca="1" si="11"/>
        <v>15</v>
      </c>
      <c r="J380" s="52"/>
      <c r="K380" s="53">
        <v>37520</v>
      </c>
      <c r="L380" s="54">
        <v>5</v>
      </c>
      <c r="M380" s="55"/>
    </row>
    <row r="381" spans="1:13">
      <c r="A381" s="39" t="s">
        <v>665</v>
      </c>
      <c r="B381" s="46" t="s">
        <v>245</v>
      </c>
      <c r="C381" s="39" t="s">
        <v>626</v>
      </c>
      <c r="D381" s="72">
        <v>662247915</v>
      </c>
      <c r="E381" s="73">
        <v>9194378387</v>
      </c>
      <c r="F381" s="39" t="s">
        <v>256</v>
      </c>
      <c r="G381" s="49">
        <v>37941</v>
      </c>
      <c r="H381" s="50" t="str">
        <f t="shared" si="10"/>
        <v>Nov</v>
      </c>
      <c r="I381" s="51">
        <f t="shared" ca="1" si="11"/>
        <v>12</v>
      </c>
      <c r="J381" s="52" t="s">
        <v>257</v>
      </c>
      <c r="K381" s="53">
        <v>58790</v>
      </c>
      <c r="L381" s="54">
        <v>5</v>
      </c>
      <c r="M381" s="55"/>
    </row>
    <row r="382" spans="1:13">
      <c r="A382" s="39" t="s">
        <v>666</v>
      </c>
      <c r="B382" s="46" t="s">
        <v>285</v>
      </c>
      <c r="C382" s="39" t="s">
        <v>626</v>
      </c>
      <c r="D382" s="72">
        <v>422957475</v>
      </c>
      <c r="E382" s="73">
        <v>2524273090</v>
      </c>
      <c r="F382" s="39" t="s">
        <v>256</v>
      </c>
      <c r="G382" s="49">
        <v>35178</v>
      </c>
      <c r="H382" s="50" t="str">
        <f t="shared" si="10"/>
        <v>Apr</v>
      </c>
      <c r="I382" s="51">
        <f t="shared" ca="1" si="11"/>
        <v>20</v>
      </c>
      <c r="J382" s="52" t="s">
        <v>283</v>
      </c>
      <c r="K382" s="53">
        <v>78300</v>
      </c>
      <c r="L382" s="54">
        <v>2</v>
      </c>
      <c r="M382" s="55"/>
    </row>
    <row r="383" spans="1:13">
      <c r="A383" s="39" t="s">
        <v>667</v>
      </c>
      <c r="B383" s="46" t="s">
        <v>280</v>
      </c>
      <c r="C383" s="39" t="s">
        <v>626</v>
      </c>
      <c r="D383" s="72">
        <v>357081517</v>
      </c>
      <c r="E383" s="73">
        <v>2527660273</v>
      </c>
      <c r="F383" s="39" t="s">
        <v>261</v>
      </c>
      <c r="G383" s="49">
        <v>37372</v>
      </c>
      <c r="H383" s="50" t="str">
        <f t="shared" si="10"/>
        <v>Apr</v>
      </c>
      <c r="I383" s="51">
        <f t="shared" ca="1" si="11"/>
        <v>14</v>
      </c>
      <c r="J383" s="52" t="s">
        <v>283</v>
      </c>
      <c r="K383" s="53">
        <v>32150</v>
      </c>
      <c r="L383" s="54">
        <v>2</v>
      </c>
      <c r="M383" s="55"/>
    </row>
    <row r="384" spans="1:13">
      <c r="A384" s="39" t="s">
        <v>668</v>
      </c>
      <c r="B384" s="46" t="s">
        <v>271</v>
      </c>
      <c r="C384" s="39" t="s">
        <v>626</v>
      </c>
      <c r="D384" s="72">
        <v>626767704</v>
      </c>
      <c r="E384" s="73">
        <v>2526971022</v>
      </c>
      <c r="F384" s="39" t="s">
        <v>247</v>
      </c>
      <c r="G384" s="49">
        <v>36777</v>
      </c>
      <c r="H384" s="50" t="str">
        <f t="shared" si="10"/>
        <v>Sep</v>
      </c>
      <c r="I384" s="51">
        <f t="shared" ca="1" si="11"/>
        <v>16</v>
      </c>
      <c r="J384" s="52"/>
      <c r="K384" s="53">
        <v>93520</v>
      </c>
      <c r="L384" s="54">
        <v>5</v>
      </c>
      <c r="M384" s="55"/>
    </row>
    <row r="385" spans="1:17">
      <c r="A385" s="39" t="s">
        <v>669</v>
      </c>
      <c r="B385" s="46" t="s">
        <v>285</v>
      </c>
      <c r="C385" s="39" t="s">
        <v>626</v>
      </c>
      <c r="D385" s="72">
        <v>479081328</v>
      </c>
      <c r="E385" s="73">
        <v>2525368383</v>
      </c>
      <c r="F385" s="39" t="s">
        <v>247</v>
      </c>
      <c r="G385" s="49">
        <v>36683</v>
      </c>
      <c r="H385" s="50" t="str">
        <f t="shared" si="10"/>
        <v>Jun</v>
      </c>
      <c r="I385" s="51">
        <f t="shared" ca="1" si="11"/>
        <v>16</v>
      </c>
      <c r="J385" s="52"/>
      <c r="K385" s="53">
        <v>76620</v>
      </c>
      <c r="L385" s="54">
        <v>2</v>
      </c>
      <c r="M385" s="55"/>
    </row>
    <row r="386" spans="1:17">
      <c r="A386" s="39" t="s">
        <v>670</v>
      </c>
      <c r="B386" s="46" t="s">
        <v>245</v>
      </c>
      <c r="C386" s="39" t="s">
        <v>626</v>
      </c>
      <c r="D386" s="72">
        <v>917714039</v>
      </c>
      <c r="E386" s="73">
        <v>9194402150</v>
      </c>
      <c r="F386" s="39" t="s">
        <v>256</v>
      </c>
      <c r="G386" s="49">
        <v>36221</v>
      </c>
      <c r="H386" s="50" t="str">
        <f t="shared" ref="H386:H449" si="12">CHOOSE(MONTH(G386),"Jan","Feb","Mar","Apr","May","Jun","Jul","Aug","Sep","Oct","Nov","Dec")</f>
        <v>Mar</v>
      </c>
      <c r="I386" s="51">
        <f t="shared" ref="I386:I449" ca="1" si="13">DATEDIF(G386,TODAY(),"Y")</f>
        <v>17</v>
      </c>
      <c r="J386" s="52" t="s">
        <v>267</v>
      </c>
      <c r="K386" s="53">
        <v>84580</v>
      </c>
      <c r="L386" s="54">
        <v>4</v>
      </c>
      <c r="M386" s="55"/>
    </row>
    <row r="387" spans="1:17">
      <c r="A387" s="39" t="s">
        <v>671</v>
      </c>
      <c r="B387" s="46" t="s">
        <v>266</v>
      </c>
      <c r="C387" s="39" t="s">
        <v>626</v>
      </c>
      <c r="D387" s="72">
        <v>650784238</v>
      </c>
      <c r="E387" s="73">
        <v>9194679864</v>
      </c>
      <c r="F387" s="39" t="s">
        <v>247</v>
      </c>
      <c r="G387" s="49">
        <v>36519</v>
      </c>
      <c r="H387" s="50" t="str">
        <f t="shared" si="12"/>
        <v>Dec</v>
      </c>
      <c r="I387" s="51">
        <f t="shared" ca="1" si="13"/>
        <v>16</v>
      </c>
      <c r="J387" s="52"/>
      <c r="K387" s="53">
        <v>64640</v>
      </c>
      <c r="L387" s="54">
        <v>2</v>
      </c>
      <c r="M387" s="55"/>
    </row>
    <row r="388" spans="1:17">
      <c r="A388" s="39" t="s">
        <v>672</v>
      </c>
      <c r="B388" s="46" t="s">
        <v>280</v>
      </c>
      <c r="C388" s="39" t="s">
        <v>626</v>
      </c>
      <c r="D388" s="72">
        <v>279097202</v>
      </c>
      <c r="E388" s="78">
        <v>9196844371</v>
      </c>
      <c r="F388" s="39" t="s">
        <v>256</v>
      </c>
      <c r="G388" s="49">
        <v>34248</v>
      </c>
      <c r="H388" s="50" t="str">
        <f t="shared" si="12"/>
        <v>Oct</v>
      </c>
      <c r="I388" s="51">
        <f t="shared" ca="1" si="13"/>
        <v>23</v>
      </c>
      <c r="J388" s="52" t="s">
        <v>257</v>
      </c>
      <c r="K388" s="53">
        <v>75290</v>
      </c>
      <c r="L388" s="54">
        <v>4</v>
      </c>
      <c r="M388" s="55"/>
    </row>
    <row r="389" spans="1:17">
      <c r="A389" s="39" t="s">
        <v>673</v>
      </c>
      <c r="B389" s="46" t="s">
        <v>280</v>
      </c>
      <c r="C389" s="39" t="s">
        <v>626</v>
      </c>
      <c r="D389" s="72">
        <v>168147877</v>
      </c>
      <c r="E389" s="73">
        <v>9196530760</v>
      </c>
      <c r="F389" s="39" t="s">
        <v>261</v>
      </c>
      <c r="G389" s="49">
        <v>38142</v>
      </c>
      <c r="H389" s="50" t="str">
        <f t="shared" si="12"/>
        <v>Jun</v>
      </c>
      <c r="I389" s="51">
        <f t="shared" ca="1" si="13"/>
        <v>12</v>
      </c>
      <c r="J389" s="52" t="s">
        <v>276</v>
      </c>
      <c r="K389" s="53">
        <v>19090</v>
      </c>
      <c r="L389" s="54">
        <v>3</v>
      </c>
      <c r="M389" s="55"/>
    </row>
    <row r="390" spans="1:17">
      <c r="A390" s="39" t="s">
        <v>674</v>
      </c>
      <c r="B390" s="46" t="s">
        <v>251</v>
      </c>
      <c r="C390" s="39" t="s">
        <v>626</v>
      </c>
      <c r="D390" s="72">
        <v>788451186</v>
      </c>
      <c r="E390" s="73">
        <v>9191682521</v>
      </c>
      <c r="F390" s="39" t="s">
        <v>247</v>
      </c>
      <c r="G390" s="49">
        <v>39497</v>
      </c>
      <c r="H390" s="50" t="str">
        <f t="shared" si="12"/>
        <v>Feb</v>
      </c>
      <c r="I390" s="51">
        <f t="shared" ca="1" si="13"/>
        <v>8</v>
      </c>
      <c r="J390" s="52"/>
      <c r="K390" s="53">
        <v>69020</v>
      </c>
      <c r="L390" s="54">
        <v>3</v>
      </c>
      <c r="M390" s="55"/>
    </row>
    <row r="391" spans="1:17">
      <c r="A391" s="39" t="s">
        <v>675</v>
      </c>
      <c r="B391" s="46" t="s">
        <v>285</v>
      </c>
      <c r="C391" s="39" t="s">
        <v>626</v>
      </c>
      <c r="D391" s="72">
        <v>294161481</v>
      </c>
      <c r="E391" s="73">
        <v>2521201242</v>
      </c>
      <c r="F391" s="39" t="s">
        <v>261</v>
      </c>
      <c r="G391" s="49">
        <v>37095</v>
      </c>
      <c r="H391" s="50" t="str">
        <f t="shared" si="12"/>
        <v>Jul</v>
      </c>
      <c r="I391" s="51">
        <f t="shared" ca="1" si="13"/>
        <v>15</v>
      </c>
      <c r="J391" s="52" t="s">
        <v>257</v>
      </c>
      <c r="K391" s="53">
        <v>57460</v>
      </c>
      <c r="L391" s="54">
        <v>1</v>
      </c>
      <c r="M391" s="55"/>
    </row>
    <row r="392" spans="1:17">
      <c r="A392" s="39" t="s">
        <v>676</v>
      </c>
      <c r="B392" s="46" t="s">
        <v>271</v>
      </c>
      <c r="C392" s="39" t="s">
        <v>626</v>
      </c>
      <c r="D392" s="72">
        <v>393290045</v>
      </c>
      <c r="E392" s="73">
        <v>2525268508</v>
      </c>
      <c r="F392" s="39" t="s">
        <v>261</v>
      </c>
      <c r="G392" s="49">
        <v>38167</v>
      </c>
      <c r="H392" s="50" t="str">
        <f t="shared" si="12"/>
        <v>Jun</v>
      </c>
      <c r="I392" s="51">
        <f t="shared" ca="1" si="13"/>
        <v>12</v>
      </c>
      <c r="J392" s="52" t="s">
        <v>262</v>
      </c>
      <c r="K392" s="53">
        <v>56750</v>
      </c>
      <c r="L392" s="54">
        <v>4</v>
      </c>
      <c r="M392" s="55"/>
    </row>
    <row r="393" spans="1:17">
      <c r="A393" s="39" t="s">
        <v>677</v>
      </c>
      <c r="B393" s="46" t="s">
        <v>285</v>
      </c>
      <c r="C393" s="39" t="s">
        <v>678</v>
      </c>
      <c r="D393" s="72">
        <v>414905182</v>
      </c>
      <c r="E393" s="73">
        <v>9193820411</v>
      </c>
      <c r="F393" s="39" t="s">
        <v>256</v>
      </c>
      <c r="G393" s="49">
        <v>36122</v>
      </c>
      <c r="H393" s="50" t="str">
        <f t="shared" si="12"/>
        <v>Nov</v>
      </c>
      <c r="I393" s="51">
        <f t="shared" ca="1" si="13"/>
        <v>17</v>
      </c>
      <c r="J393" s="52" t="s">
        <v>283</v>
      </c>
      <c r="K393" s="53">
        <v>27430</v>
      </c>
      <c r="L393" s="54">
        <v>5</v>
      </c>
      <c r="M393" s="55"/>
      <c r="P393" s="75"/>
      <c r="Q393" s="75"/>
    </row>
    <row r="394" spans="1:17">
      <c r="A394" s="39" t="s">
        <v>679</v>
      </c>
      <c r="B394" s="46" t="s">
        <v>285</v>
      </c>
      <c r="C394" s="39" t="s">
        <v>678</v>
      </c>
      <c r="D394" s="72">
        <v>802700229</v>
      </c>
      <c r="E394" s="73">
        <v>2524264889</v>
      </c>
      <c r="F394" s="39" t="s">
        <v>256</v>
      </c>
      <c r="G394" s="49">
        <v>34905</v>
      </c>
      <c r="H394" s="50" t="str">
        <f t="shared" si="12"/>
        <v>Jul</v>
      </c>
      <c r="I394" s="51">
        <f t="shared" ca="1" si="13"/>
        <v>21</v>
      </c>
      <c r="J394" s="52" t="s">
        <v>262</v>
      </c>
      <c r="K394" s="53">
        <v>105580</v>
      </c>
      <c r="L394" s="54">
        <v>1</v>
      </c>
      <c r="M394" s="55"/>
    </row>
    <row r="395" spans="1:17">
      <c r="A395" s="39" t="s">
        <v>680</v>
      </c>
      <c r="B395" s="46" t="s">
        <v>280</v>
      </c>
      <c r="C395" s="39" t="s">
        <v>678</v>
      </c>
      <c r="D395" s="72">
        <v>303641529</v>
      </c>
      <c r="E395" s="73">
        <v>9196753698</v>
      </c>
      <c r="F395" s="39" t="s">
        <v>261</v>
      </c>
      <c r="G395" s="49">
        <v>36151</v>
      </c>
      <c r="H395" s="50" t="str">
        <f t="shared" si="12"/>
        <v>Dec</v>
      </c>
      <c r="I395" s="51">
        <f t="shared" ca="1" si="13"/>
        <v>17</v>
      </c>
      <c r="J395" s="52" t="s">
        <v>257</v>
      </c>
      <c r="K395" s="53">
        <v>59290</v>
      </c>
      <c r="L395" s="54">
        <v>4</v>
      </c>
      <c r="M395" s="55"/>
    </row>
    <row r="396" spans="1:17">
      <c r="A396" s="39" t="s">
        <v>681</v>
      </c>
      <c r="B396" s="46" t="s">
        <v>280</v>
      </c>
      <c r="C396" s="39" t="s">
        <v>678</v>
      </c>
      <c r="D396" s="72">
        <v>478004556</v>
      </c>
      <c r="E396" s="73">
        <v>9193891189</v>
      </c>
      <c r="F396" s="39" t="s">
        <v>256</v>
      </c>
      <c r="G396" s="49">
        <v>41534</v>
      </c>
      <c r="H396" s="50" t="str">
        <f t="shared" si="12"/>
        <v>Sep</v>
      </c>
      <c r="I396" s="51">
        <f t="shared" ca="1" si="13"/>
        <v>3</v>
      </c>
      <c r="J396" s="52" t="s">
        <v>276</v>
      </c>
      <c r="K396" s="53">
        <v>74620</v>
      </c>
      <c r="L396" s="54">
        <v>2</v>
      </c>
      <c r="M396" s="55"/>
    </row>
    <row r="397" spans="1:17">
      <c r="A397" s="39" t="s">
        <v>682</v>
      </c>
      <c r="B397" s="46" t="s">
        <v>251</v>
      </c>
      <c r="C397" s="39" t="s">
        <v>678</v>
      </c>
      <c r="D397" s="72">
        <v>859204644</v>
      </c>
      <c r="E397" s="73">
        <v>9191617913</v>
      </c>
      <c r="F397" s="39" t="s">
        <v>247</v>
      </c>
      <c r="G397" s="49">
        <v>36725</v>
      </c>
      <c r="H397" s="50" t="str">
        <f t="shared" si="12"/>
        <v>Jul</v>
      </c>
      <c r="I397" s="51">
        <f t="shared" ca="1" si="13"/>
        <v>16</v>
      </c>
      <c r="J397" s="52"/>
      <c r="K397" s="53">
        <v>103760</v>
      </c>
      <c r="L397" s="54">
        <v>4</v>
      </c>
      <c r="M397" s="55"/>
    </row>
    <row r="398" spans="1:17">
      <c r="A398" s="39" t="s">
        <v>683</v>
      </c>
      <c r="B398" s="46" t="s">
        <v>266</v>
      </c>
      <c r="C398" s="39" t="s">
        <v>678</v>
      </c>
      <c r="D398" s="72">
        <v>917195248</v>
      </c>
      <c r="E398" s="73">
        <v>9194605984</v>
      </c>
      <c r="F398" s="39" t="s">
        <v>252</v>
      </c>
      <c r="G398" s="49">
        <v>38828</v>
      </c>
      <c r="H398" s="50" t="str">
        <f t="shared" si="12"/>
        <v>Apr</v>
      </c>
      <c r="I398" s="51">
        <f t="shared" ca="1" si="13"/>
        <v>10</v>
      </c>
      <c r="J398" s="52"/>
      <c r="K398" s="53">
        <v>13250</v>
      </c>
      <c r="L398" s="54">
        <v>2</v>
      </c>
      <c r="M398" s="55"/>
    </row>
    <row r="399" spans="1:17">
      <c r="A399" s="39" t="s">
        <v>684</v>
      </c>
      <c r="B399" s="46" t="s">
        <v>271</v>
      </c>
      <c r="C399" s="39" t="s">
        <v>678</v>
      </c>
      <c r="D399" s="72">
        <v>788832967</v>
      </c>
      <c r="E399" s="73">
        <v>2521919147</v>
      </c>
      <c r="F399" s="39" t="s">
        <v>252</v>
      </c>
      <c r="G399" s="49">
        <v>36382</v>
      </c>
      <c r="H399" s="50" t="str">
        <f t="shared" si="12"/>
        <v>Aug</v>
      </c>
      <c r="I399" s="51">
        <f t="shared" ca="1" si="13"/>
        <v>17</v>
      </c>
      <c r="J399" s="52"/>
      <c r="K399" s="53">
        <v>42370</v>
      </c>
      <c r="L399" s="54">
        <v>3</v>
      </c>
      <c r="M399" s="55"/>
      <c r="P399" s="75"/>
      <c r="Q399" s="75"/>
    </row>
    <row r="400" spans="1:17">
      <c r="A400" s="39" t="s">
        <v>685</v>
      </c>
      <c r="B400" s="46" t="s">
        <v>266</v>
      </c>
      <c r="C400" s="39" t="s">
        <v>678</v>
      </c>
      <c r="D400" s="72">
        <v>113377726</v>
      </c>
      <c r="E400" s="73">
        <v>9197494648</v>
      </c>
      <c r="F400" s="39" t="s">
        <v>256</v>
      </c>
      <c r="G400" s="49">
        <v>37467</v>
      </c>
      <c r="H400" s="50" t="str">
        <f t="shared" si="12"/>
        <v>Jul</v>
      </c>
      <c r="I400" s="51">
        <f t="shared" ca="1" si="13"/>
        <v>14</v>
      </c>
      <c r="J400" s="52" t="s">
        <v>283</v>
      </c>
      <c r="K400" s="53">
        <v>82090</v>
      </c>
      <c r="L400" s="54">
        <v>5</v>
      </c>
      <c r="M400" s="55"/>
    </row>
    <row r="401" spans="1:13">
      <c r="A401" s="39" t="s">
        <v>686</v>
      </c>
      <c r="B401" s="46" t="s">
        <v>280</v>
      </c>
      <c r="C401" s="39" t="s">
        <v>678</v>
      </c>
      <c r="D401" s="72">
        <v>665006199</v>
      </c>
      <c r="E401" s="73">
        <v>2525555817</v>
      </c>
      <c r="F401" s="39" t="s">
        <v>256</v>
      </c>
      <c r="G401" s="49">
        <v>37568</v>
      </c>
      <c r="H401" s="50" t="str">
        <f t="shared" si="12"/>
        <v>Nov</v>
      </c>
      <c r="I401" s="51">
        <f t="shared" ca="1" si="13"/>
        <v>14</v>
      </c>
      <c r="J401" s="52" t="s">
        <v>276</v>
      </c>
      <c r="K401" s="53">
        <v>54540</v>
      </c>
      <c r="L401" s="54">
        <v>5</v>
      </c>
      <c r="M401" s="55"/>
    </row>
    <row r="402" spans="1:13">
      <c r="A402" s="39" t="s">
        <v>687</v>
      </c>
      <c r="B402" s="46" t="s">
        <v>271</v>
      </c>
      <c r="C402" s="39" t="s">
        <v>678</v>
      </c>
      <c r="D402" s="72">
        <v>332302868</v>
      </c>
      <c r="E402" s="73">
        <v>9196109756</v>
      </c>
      <c r="F402" s="39" t="s">
        <v>256</v>
      </c>
      <c r="G402" s="49">
        <v>37176</v>
      </c>
      <c r="H402" s="50" t="str">
        <f t="shared" si="12"/>
        <v>Oct</v>
      </c>
      <c r="I402" s="51">
        <f t="shared" ca="1" si="13"/>
        <v>15</v>
      </c>
      <c r="J402" s="52" t="s">
        <v>283</v>
      </c>
      <c r="K402" s="53">
        <v>28220</v>
      </c>
      <c r="L402" s="54">
        <v>2</v>
      </c>
      <c r="M402" s="55"/>
    </row>
    <row r="403" spans="1:13">
      <c r="A403" s="39" t="s">
        <v>688</v>
      </c>
      <c r="B403" s="46" t="s">
        <v>251</v>
      </c>
      <c r="C403" s="39" t="s">
        <v>678</v>
      </c>
      <c r="D403" s="72">
        <v>755945415</v>
      </c>
      <c r="E403" s="73">
        <v>2524373324</v>
      </c>
      <c r="F403" s="39" t="s">
        <v>247</v>
      </c>
      <c r="G403" s="49">
        <v>41334</v>
      </c>
      <c r="H403" s="50" t="str">
        <f t="shared" si="12"/>
        <v>Mar</v>
      </c>
      <c r="I403" s="51">
        <f t="shared" ca="1" si="13"/>
        <v>3</v>
      </c>
      <c r="J403" s="52"/>
      <c r="K403" s="53">
        <v>88820</v>
      </c>
      <c r="L403" s="54">
        <v>2</v>
      </c>
      <c r="M403" s="55"/>
    </row>
    <row r="404" spans="1:13">
      <c r="A404" s="39" t="s">
        <v>689</v>
      </c>
      <c r="B404" s="46" t="s">
        <v>285</v>
      </c>
      <c r="C404" s="39" t="s">
        <v>678</v>
      </c>
      <c r="D404" s="72">
        <v>167646549</v>
      </c>
      <c r="E404" s="73">
        <v>9197187041</v>
      </c>
      <c r="F404" s="39" t="s">
        <v>247</v>
      </c>
      <c r="G404" s="49">
        <v>38804</v>
      </c>
      <c r="H404" s="50" t="str">
        <f t="shared" si="12"/>
        <v>Mar</v>
      </c>
      <c r="I404" s="51">
        <f t="shared" ca="1" si="13"/>
        <v>10</v>
      </c>
      <c r="J404" s="52"/>
      <c r="K404" s="53">
        <v>93720</v>
      </c>
      <c r="L404" s="54">
        <v>3</v>
      </c>
      <c r="M404" s="55"/>
    </row>
    <row r="405" spans="1:13">
      <c r="A405" s="39" t="s">
        <v>690</v>
      </c>
      <c r="B405" s="46" t="s">
        <v>280</v>
      </c>
      <c r="C405" s="39" t="s">
        <v>678</v>
      </c>
      <c r="D405" s="72">
        <v>247555666</v>
      </c>
      <c r="E405" s="73">
        <v>2528183445</v>
      </c>
      <c r="F405" s="39" t="s">
        <v>256</v>
      </c>
      <c r="G405" s="49">
        <v>34618</v>
      </c>
      <c r="H405" s="50" t="str">
        <f t="shared" si="12"/>
        <v>Oct</v>
      </c>
      <c r="I405" s="51">
        <f t="shared" ca="1" si="13"/>
        <v>22</v>
      </c>
      <c r="J405" s="52" t="s">
        <v>257</v>
      </c>
      <c r="K405" s="53">
        <v>46930</v>
      </c>
      <c r="L405" s="54">
        <v>5</v>
      </c>
      <c r="M405" s="55"/>
    </row>
    <row r="406" spans="1:13">
      <c r="A406" s="39" t="s">
        <v>691</v>
      </c>
      <c r="B406" s="46" t="s">
        <v>245</v>
      </c>
      <c r="C406" s="39" t="s">
        <v>678</v>
      </c>
      <c r="D406" s="72">
        <v>550291321</v>
      </c>
      <c r="E406" s="73">
        <v>9192529195</v>
      </c>
      <c r="F406" s="39" t="s">
        <v>247</v>
      </c>
      <c r="G406" s="49">
        <v>37048</v>
      </c>
      <c r="H406" s="50" t="str">
        <f t="shared" si="12"/>
        <v>Jun</v>
      </c>
      <c r="I406" s="51">
        <f t="shared" ca="1" si="13"/>
        <v>15</v>
      </c>
      <c r="J406" s="52"/>
      <c r="K406" s="53">
        <v>86980</v>
      </c>
      <c r="L406" s="54">
        <v>2</v>
      </c>
      <c r="M406" s="55"/>
    </row>
    <row r="407" spans="1:13">
      <c r="A407" s="39" t="s">
        <v>692</v>
      </c>
      <c r="B407" s="46" t="s">
        <v>285</v>
      </c>
      <c r="C407" s="39" t="s">
        <v>678</v>
      </c>
      <c r="D407" s="72">
        <v>468953266</v>
      </c>
      <c r="E407" s="73">
        <v>9192126707</v>
      </c>
      <c r="F407" s="39" t="s">
        <v>256</v>
      </c>
      <c r="G407" s="49">
        <v>34742</v>
      </c>
      <c r="H407" s="50" t="str">
        <f t="shared" si="12"/>
        <v>Feb</v>
      </c>
      <c r="I407" s="51">
        <f t="shared" ca="1" si="13"/>
        <v>21</v>
      </c>
      <c r="J407" s="52" t="s">
        <v>257</v>
      </c>
      <c r="K407" s="53">
        <v>58260</v>
      </c>
      <c r="L407" s="54">
        <v>5</v>
      </c>
      <c r="M407" s="55"/>
    </row>
    <row r="408" spans="1:13">
      <c r="A408" s="39" t="s">
        <v>693</v>
      </c>
      <c r="B408" s="46" t="s">
        <v>245</v>
      </c>
      <c r="C408" s="39" t="s">
        <v>678</v>
      </c>
      <c r="D408" s="72">
        <v>261486180</v>
      </c>
      <c r="E408" s="73">
        <v>2522523567</v>
      </c>
      <c r="F408" s="39" t="s">
        <v>247</v>
      </c>
      <c r="G408" s="49">
        <v>38237</v>
      </c>
      <c r="H408" s="50" t="str">
        <f t="shared" si="12"/>
        <v>Sep</v>
      </c>
      <c r="I408" s="51">
        <f t="shared" ca="1" si="13"/>
        <v>12</v>
      </c>
      <c r="J408" s="52"/>
      <c r="K408" s="53">
        <v>35450</v>
      </c>
      <c r="L408" s="54">
        <v>3</v>
      </c>
      <c r="M408" s="55"/>
    </row>
    <row r="409" spans="1:13">
      <c r="A409" s="39" t="s">
        <v>694</v>
      </c>
      <c r="B409" s="46" t="s">
        <v>285</v>
      </c>
      <c r="C409" s="39" t="s">
        <v>678</v>
      </c>
      <c r="D409" s="72">
        <v>557568959</v>
      </c>
      <c r="E409" s="73">
        <v>9192783818</v>
      </c>
      <c r="F409" s="39" t="s">
        <v>247</v>
      </c>
      <c r="G409" s="49">
        <v>36448</v>
      </c>
      <c r="H409" s="50" t="str">
        <f t="shared" si="12"/>
        <v>Oct</v>
      </c>
      <c r="I409" s="51">
        <f t="shared" ca="1" si="13"/>
        <v>17</v>
      </c>
      <c r="J409" s="52"/>
      <c r="K409" s="53">
        <v>65030</v>
      </c>
      <c r="L409" s="54">
        <v>4</v>
      </c>
      <c r="M409" s="55"/>
    </row>
    <row r="410" spans="1:13">
      <c r="A410" s="39" t="s">
        <v>695</v>
      </c>
      <c r="B410" s="46" t="s">
        <v>271</v>
      </c>
      <c r="C410" s="39" t="s">
        <v>678</v>
      </c>
      <c r="D410" s="72">
        <v>122440839</v>
      </c>
      <c r="E410" s="73">
        <v>2526525807</v>
      </c>
      <c r="F410" s="39" t="s">
        <v>261</v>
      </c>
      <c r="G410" s="49">
        <v>36962</v>
      </c>
      <c r="H410" s="50" t="str">
        <f t="shared" si="12"/>
        <v>Mar</v>
      </c>
      <c r="I410" s="51">
        <f t="shared" ca="1" si="13"/>
        <v>15</v>
      </c>
      <c r="J410" s="52" t="s">
        <v>257</v>
      </c>
      <c r="K410" s="53">
        <v>24600</v>
      </c>
      <c r="L410" s="54">
        <v>3</v>
      </c>
      <c r="M410" s="55"/>
    </row>
    <row r="411" spans="1:13">
      <c r="A411" s="39" t="s">
        <v>696</v>
      </c>
      <c r="B411" s="46" t="s">
        <v>271</v>
      </c>
      <c r="C411" s="39" t="s">
        <v>678</v>
      </c>
      <c r="D411" s="72">
        <v>797431044</v>
      </c>
      <c r="E411" s="73">
        <v>2523820613</v>
      </c>
      <c r="F411" s="39" t="s">
        <v>252</v>
      </c>
      <c r="G411" s="49">
        <v>37085</v>
      </c>
      <c r="H411" s="50" t="str">
        <f t="shared" si="12"/>
        <v>Jul</v>
      </c>
      <c r="I411" s="51">
        <f t="shared" ca="1" si="13"/>
        <v>15</v>
      </c>
      <c r="J411" s="52"/>
      <c r="K411" s="53">
        <v>26000</v>
      </c>
      <c r="L411" s="54">
        <v>4</v>
      </c>
      <c r="M411" s="55"/>
    </row>
    <row r="412" spans="1:13">
      <c r="A412" s="39" t="s">
        <v>697</v>
      </c>
      <c r="B412" s="46" t="s">
        <v>271</v>
      </c>
      <c r="C412" s="39" t="s">
        <v>678</v>
      </c>
      <c r="D412" s="72">
        <v>397835298</v>
      </c>
      <c r="E412" s="73">
        <v>9196795200</v>
      </c>
      <c r="F412" s="39" t="s">
        <v>247</v>
      </c>
      <c r="G412" s="49">
        <v>41373</v>
      </c>
      <c r="H412" s="50" t="str">
        <f t="shared" si="12"/>
        <v>Apr</v>
      </c>
      <c r="I412" s="51">
        <f t="shared" ca="1" si="13"/>
        <v>3</v>
      </c>
      <c r="J412" s="52"/>
      <c r="K412" s="53">
        <v>90120</v>
      </c>
      <c r="L412" s="54">
        <v>4</v>
      </c>
      <c r="M412" s="55"/>
    </row>
    <row r="413" spans="1:13">
      <c r="A413" s="39" t="s">
        <v>698</v>
      </c>
      <c r="B413" s="46" t="s">
        <v>271</v>
      </c>
      <c r="C413" s="39" t="s">
        <v>678</v>
      </c>
      <c r="D413" s="72">
        <v>221364716</v>
      </c>
      <c r="E413" s="73">
        <v>2521389906</v>
      </c>
      <c r="F413" s="39" t="s">
        <v>256</v>
      </c>
      <c r="G413" s="49">
        <v>37899</v>
      </c>
      <c r="H413" s="50" t="str">
        <f t="shared" si="12"/>
        <v>Oct</v>
      </c>
      <c r="I413" s="51">
        <f t="shared" ca="1" si="13"/>
        <v>13</v>
      </c>
      <c r="J413" s="52" t="s">
        <v>257</v>
      </c>
      <c r="K413" s="53">
        <v>86180</v>
      </c>
      <c r="L413" s="54">
        <v>2</v>
      </c>
      <c r="M413" s="55"/>
    </row>
    <row r="414" spans="1:13">
      <c r="A414" s="39" t="s">
        <v>699</v>
      </c>
      <c r="B414" s="46" t="s">
        <v>245</v>
      </c>
      <c r="C414" s="39" t="s">
        <v>700</v>
      </c>
      <c r="D414" s="72">
        <v>252582122</v>
      </c>
      <c r="E414" s="73">
        <v>9197764351</v>
      </c>
      <c r="F414" s="39" t="s">
        <v>247</v>
      </c>
      <c r="G414" s="49">
        <v>36452</v>
      </c>
      <c r="H414" s="50" t="str">
        <f t="shared" si="12"/>
        <v>Oct</v>
      </c>
      <c r="I414" s="51">
        <f t="shared" ca="1" si="13"/>
        <v>17</v>
      </c>
      <c r="J414" s="52"/>
      <c r="K414" s="53">
        <v>30140</v>
      </c>
      <c r="L414" s="54">
        <v>2</v>
      </c>
      <c r="M414" s="55"/>
    </row>
    <row r="415" spans="1:13">
      <c r="A415" s="39" t="s">
        <v>701</v>
      </c>
      <c r="B415" s="46" t="s">
        <v>285</v>
      </c>
      <c r="C415" s="39" t="s">
        <v>700</v>
      </c>
      <c r="D415" s="72">
        <v>974912089</v>
      </c>
      <c r="E415" s="73">
        <v>9192601200</v>
      </c>
      <c r="F415" s="39" t="s">
        <v>256</v>
      </c>
      <c r="G415" s="49">
        <v>35815</v>
      </c>
      <c r="H415" s="50" t="str">
        <f t="shared" si="12"/>
        <v>Jan</v>
      </c>
      <c r="I415" s="51">
        <f t="shared" ca="1" si="13"/>
        <v>18</v>
      </c>
      <c r="J415" s="52" t="s">
        <v>257</v>
      </c>
      <c r="K415" s="53">
        <v>75830</v>
      </c>
      <c r="L415" s="54">
        <v>1</v>
      </c>
      <c r="M415" s="55"/>
    </row>
    <row r="416" spans="1:13">
      <c r="A416" s="39" t="s">
        <v>702</v>
      </c>
      <c r="B416" s="46" t="s">
        <v>245</v>
      </c>
      <c r="C416" s="39" t="s">
        <v>700</v>
      </c>
      <c r="D416" s="72">
        <v>425943144</v>
      </c>
      <c r="E416" s="73">
        <v>2522911046</v>
      </c>
      <c r="F416" s="39" t="s">
        <v>247</v>
      </c>
      <c r="G416" s="49">
        <v>35409</v>
      </c>
      <c r="H416" s="50" t="str">
        <f t="shared" si="12"/>
        <v>Dec</v>
      </c>
      <c r="I416" s="51">
        <f t="shared" ca="1" si="13"/>
        <v>19</v>
      </c>
      <c r="J416" s="52"/>
      <c r="K416" s="53">
        <v>86040</v>
      </c>
      <c r="L416" s="54">
        <v>2</v>
      </c>
      <c r="M416" s="55"/>
    </row>
    <row r="417" spans="1:13">
      <c r="A417" s="39" t="s">
        <v>703</v>
      </c>
      <c r="B417" s="46" t="s">
        <v>271</v>
      </c>
      <c r="C417" s="39" t="s">
        <v>700</v>
      </c>
      <c r="D417" s="72">
        <v>121688720</v>
      </c>
      <c r="E417" s="73">
        <v>9194794769</v>
      </c>
      <c r="F417" s="39" t="s">
        <v>247</v>
      </c>
      <c r="G417" s="49">
        <v>36568</v>
      </c>
      <c r="H417" s="50" t="str">
        <f t="shared" si="12"/>
        <v>Feb</v>
      </c>
      <c r="I417" s="51">
        <f t="shared" ca="1" si="13"/>
        <v>16</v>
      </c>
      <c r="J417" s="52"/>
      <c r="K417" s="53">
        <v>53780</v>
      </c>
      <c r="L417" s="54">
        <v>4</v>
      </c>
      <c r="M417" s="55"/>
    </row>
    <row r="418" spans="1:13">
      <c r="A418" s="39" t="s">
        <v>704</v>
      </c>
      <c r="B418" s="46" t="s">
        <v>271</v>
      </c>
      <c r="C418" s="39" t="s">
        <v>705</v>
      </c>
      <c r="D418" s="72">
        <v>290385638</v>
      </c>
      <c r="E418" s="73">
        <v>9194518022</v>
      </c>
      <c r="F418" s="39" t="s">
        <v>261</v>
      </c>
      <c r="G418" s="49">
        <v>34503</v>
      </c>
      <c r="H418" s="50" t="str">
        <f t="shared" si="12"/>
        <v>Jun</v>
      </c>
      <c r="I418" s="51">
        <f t="shared" ca="1" si="13"/>
        <v>22</v>
      </c>
      <c r="J418" s="52" t="s">
        <v>262</v>
      </c>
      <c r="K418" s="53">
        <v>42050</v>
      </c>
      <c r="L418" s="54">
        <v>4</v>
      </c>
      <c r="M418" s="55"/>
    </row>
    <row r="419" spans="1:13">
      <c r="A419" s="39" t="s">
        <v>706</v>
      </c>
      <c r="B419" s="46" t="s">
        <v>266</v>
      </c>
      <c r="C419" s="39" t="s">
        <v>705</v>
      </c>
      <c r="D419" s="72">
        <v>851400058</v>
      </c>
      <c r="E419" s="73">
        <v>9196012031</v>
      </c>
      <c r="F419" s="39" t="s">
        <v>261</v>
      </c>
      <c r="G419" s="49">
        <v>41394</v>
      </c>
      <c r="H419" s="50" t="str">
        <f t="shared" si="12"/>
        <v>Apr</v>
      </c>
      <c r="I419" s="51">
        <f t="shared" ca="1" si="13"/>
        <v>3</v>
      </c>
      <c r="J419" s="52" t="s">
        <v>257</v>
      </c>
      <c r="K419" s="53">
        <v>20310</v>
      </c>
      <c r="L419" s="54">
        <v>1</v>
      </c>
      <c r="M419" s="55"/>
    </row>
    <row r="420" spans="1:13">
      <c r="A420" s="39" t="s">
        <v>707</v>
      </c>
      <c r="B420" s="46" t="s">
        <v>280</v>
      </c>
      <c r="C420" s="39" t="s">
        <v>705</v>
      </c>
      <c r="D420" s="72">
        <v>542214575</v>
      </c>
      <c r="E420" s="73">
        <v>2522172913</v>
      </c>
      <c r="F420" s="39" t="s">
        <v>256</v>
      </c>
      <c r="G420" s="49">
        <v>35703</v>
      </c>
      <c r="H420" s="50" t="str">
        <f t="shared" si="12"/>
        <v>Sep</v>
      </c>
      <c r="I420" s="51">
        <f t="shared" ca="1" si="13"/>
        <v>19</v>
      </c>
      <c r="J420" s="52" t="s">
        <v>257</v>
      </c>
      <c r="K420" s="53">
        <v>104440</v>
      </c>
      <c r="L420" s="54">
        <v>3</v>
      </c>
      <c r="M420" s="55"/>
    </row>
    <row r="421" spans="1:13">
      <c r="A421" s="39" t="s">
        <v>708</v>
      </c>
      <c r="B421" s="46" t="s">
        <v>271</v>
      </c>
      <c r="C421" s="39" t="s">
        <v>705</v>
      </c>
      <c r="D421" s="72">
        <v>272714784</v>
      </c>
      <c r="E421" s="73">
        <v>9191162663</v>
      </c>
      <c r="F421" s="39" t="s">
        <v>252</v>
      </c>
      <c r="G421" s="49">
        <v>38712</v>
      </c>
      <c r="H421" s="50" t="str">
        <f t="shared" si="12"/>
        <v>Dec</v>
      </c>
      <c r="I421" s="51">
        <f t="shared" ca="1" si="13"/>
        <v>10</v>
      </c>
      <c r="J421" s="52"/>
      <c r="K421" s="53">
        <v>25980</v>
      </c>
      <c r="L421" s="54">
        <v>2</v>
      </c>
      <c r="M421" s="55"/>
    </row>
    <row r="422" spans="1:13">
      <c r="A422" s="39" t="s">
        <v>709</v>
      </c>
      <c r="B422" s="46" t="s">
        <v>245</v>
      </c>
      <c r="C422" s="39" t="s">
        <v>705</v>
      </c>
      <c r="D422" s="72">
        <v>972791650</v>
      </c>
      <c r="E422" s="73">
        <v>2525236892</v>
      </c>
      <c r="F422" s="39" t="s">
        <v>261</v>
      </c>
      <c r="G422" s="49">
        <v>38471</v>
      </c>
      <c r="H422" s="50" t="str">
        <f t="shared" si="12"/>
        <v>Apr</v>
      </c>
      <c r="I422" s="51">
        <f t="shared" ca="1" si="13"/>
        <v>11</v>
      </c>
      <c r="J422" s="52" t="s">
        <v>257</v>
      </c>
      <c r="K422" s="53">
        <v>40570</v>
      </c>
      <c r="L422" s="54">
        <v>5</v>
      </c>
      <c r="M422" s="55"/>
    </row>
    <row r="423" spans="1:13">
      <c r="A423" s="39" t="s">
        <v>710</v>
      </c>
      <c r="B423" s="46" t="s">
        <v>251</v>
      </c>
      <c r="C423" s="39" t="s">
        <v>705</v>
      </c>
      <c r="D423" s="72">
        <v>551132018</v>
      </c>
      <c r="E423" s="73">
        <v>2525796953</v>
      </c>
      <c r="F423" s="39" t="s">
        <v>256</v>
      </c>
      <c r="G423" s="49">
        <v>41371</v>
      </c>
      <c r="H423" s="50" t="str">
        <f t="shared" si="12"/>
        <v>Apr</v>
      </c>
      <c r="I423" s="51">
        <f t="shared" ca="1" si="13"/>
        <v>3</v>
      </c>
      <c r="J423" s="52" t="s">
        <v>257</v>
      </c>
      <c r="K423" s="53">
        <v>80210</v>
      </c>
      <c r="L423" s="54">
        <v>4</v>
      </c>
      <c r="M423" s="55"/>
    </row>
    <row r="424" spans="1:13">
      <c r="A424" s="39" t="s">
        <v>711</v>
      </c>
      <c r="B424" s="46" t="s">
        <v>271</v>
      </c>
      <c r="C424" s="39" t="s">
        <v>705</v>
      </c>
      <c r="D424" s="72">
        <v>972086665</v>
      </c>
      <c r="E424" s="73">
        <v>2526007063</v>
      </c>
      <c r="F424" s="39" t="s">
        <v>256</v>
      </c>
      <c r="G424" s="49">
        <v>39228</v>
      </c>
      <c r="H424" s="50" t="str">
        <f t="shared" si="12"/>
        <v>May</v>
      </c>
      <c r="I424" s="51">
        <f t="shared" ca="1" si="13"/>
        <v>9</v>
      </c>
      <c r="J424" s="52" t="s">
        <v>283</v>
      </c>
      <c r="K424" s="53">
        <v>103440</v>
      </c>
      <c r="L424" s="54">
        <v>3</v>
      </c>
      <c r="M424" s="55"/>
    </row>
    <row r="425" spans="1:13">
      <c r="A425" s="39" t="s">
        <v>712</v>
      </c>
      <c r="B425" s="46" t="s">
        <v>271</v>
      </c>
      <c r="C425" s="39" t="s">
        <v>705</v>
      </c>
      <c r="D425" s="72">
        <v>948252103</v>
      </c>
      <c r="E425" s="73">
        <v>9197430732</v>
      </c>
      <c r="F425" s="39" t="s">
        <v>252</v>
      </c>
      <c r="G425" s="49">
        <v>37330</v>
      </c>
      <c r="H425" s="50" t="str">
        <f t="shared" si="12"/>
        <v>Mar</v>
      </c>
      <c r="I425" s="51">
        <f t="shared" ca="1" si="13"/>
        <v>14</v>
      </c>
      <c r="J425" s="52"/>
      <c r="K425" s="53">
        <v>47720</v>
      </c>
      <c r="L425" s="54">
        <v>1</v>
      </c>
      <c r="M425" s="55"/>
    </row>
    <row r="426" spans="1:13">
      <c r="A426" s="39" t="s">
        <v>713</v>
      </c>
      <c r="B426" s="46" t="s">
        <v>245</v>
      </c>
      <c r="C426" s="39" t="s">
        <v>705</v>
      </c>
      <c r="D426" s="72">
        <v>869524136</v>
      </c>
      <c r="E426" s="73">
        <v>9193640748</v>
      </c>
      <c r="F426" s="39" t="s">
        <v>256</v>
      </c>
      <c r="G426" s="49">
        <v>36340</v>
      </c>
      <c r="H426" s="50" t="str">
        <f t="shared" si="12"/>
        <v>Jun</v>
      </c>
      <c r="I426" s="51">
        <f t="shared" ca="1" si="13"/>
        <v>17</v>
      </c>
      <c r="J426" s="52" t="s">
        <v>283</v>
      </c>
      <c r="K426" s="53">
        <v>52090</v>
      </c>
      <c r="L426" s="54">
        <v>1</v>
      </c>
      <c r="M426" s="55"/>
    </row>
    <row r="427" spans="1:13">
      <c r="A427" s="39" t="s">
        <v>714</v>
      </c>
      <c r="B427" s="46" t="s">
        <v>280</v>
      </c>
      <c r="C427" s="39" t="s">
        <v>705</v>
      </c>
      <c r="D427" s="72">
        <v>213741822</v>
      </c>
      <c r="E427" s="73">
        <v>2521780498</v>
      </c>
      <c r="F427" s="39" t="s">
        <v>247</v>
      </c>
      <c r="G427" s="49">
        <v>36922</v>
      </c>
      <c r="H427" s="50" t="str">
        <f t="shared" si="12"/>
        <v>Jan</v>
      </c>
      <c r="I427" s="51">
        <f t="shared" ca="1" si="13"/>
        <v>15</v>
      </c>
      <c r="J427" s="52"/>
      <c r="K427" s="53">
        <v>76000</v>
      </c>
      <c r="L427" s="54">
        <v>4</v>
      </c>
      <c r="M427" s="55"/>
    </row>
    <row r="428" spans="1:13">
      <c r="A428" s="39" t="s">
        <v>715</v>
      </c>
      <c r="B428" s="46" t="s">
        <v>245</v>
      </c>
      <c r="C428" s="39" t="s">
        <v>705</v>
      </c>
      <c r="D428" s="72">
        <v>724193735</v>
      </c>
      <c r="E428" s="73">
        <v>2528627048</v>
      </c>
      <c r="F428" s="39" t="s">
        <v>256</v>
      </c>
      <c r="G428" s="49">
        <v>34621</v>
      </c>
      <c r="H428" s="50" t="str">
        <f t="shared" si="12"/>
        <v>Oct</v>
      </c>
      <c r="I428" s="51">
        <f t="shared" ca="1" si="13"/>
        <v>22</v>
      </c>
      <c r="J428" s="52" t="s">
        <v>283</v>
      </c>
      <c r="K428" s="53">
        <v>51830</v>
      </c>
      <c r="L428" s="54">
        <v>2</v>
      </c>
      <c r="M428" s="55"/>
    </row>
    <row r="429" spans="1:13">
      <c r="A429" s="39" t="s">
        <v>716</v>
      </c>
      <c r="B429" s="46" t="s">
        <v>251</v>
      </c>
      <c r="C429" s="39" t="s">
        <v>705</v>
      </c>
      <c r="D429" s="72">
        <v>761337848</v>
      </c>
      <c r="E429" s="73">
        <v>9193967339</v>
      </c>
      <c r="F429" s="39" t="s">
        <v>247</v>
      </c>
      <c r="G429" s="49">
        <v>35503</v>
      </c>
      <c r="H429" s="50" t="str">
        <f t="shared" si="12"/>
        <v>Mar</v>
      </c>
      <c r="I429" s="51">
        <f t="shared" ca="1" si="13"/>
        <v>19</v>
      </c>
      <c r="J429" s="52"/>
      <c r="K429" s="53">
        <v>80050</v>
      </c>
      <c r="L429" s="54">
        <v>2</v>
      </c>
      <c r="M429" s="55"/>
    </row>
    <row r="430" spans="1:13">
      <c r="A430" s="39" t="s">
        <v>717</v>
      </c>
      <c r="B430" s="46" t="s">
        <v>285</v>
      </c>
      <c r="C430" s="39" t="s">
        <v>705</v>
      </c>
      <c r="D430" s="72">
        <v>365499498</v>
      </c>
      <c r="E430" s="73">
        <v>2523575849</v>
      </c>
      <c r="F430" s="39" t="s">
        <v>256</v>
      </c>
      <c r="G430" s="49">
        <v>39808</v>
      </c>
      <c r="H430" s="50" t="str">
        <f t="shared" si="12"/>
        <v>Dec</v>
      </c>
      <c r="I430" s="51">
        <f t="shared" ca="1" si="13"/>
        <v>7</v>
      </c>
      <c r="J430" s="52" t="s">
        <v>257</v>
      </c>
      <c r="K430" s="53">
        <v>56470</v>
      </c>
      <c r="L430" s="54">
        <v>4</v>
      </c>
      <c r="M430" s="55"/>
    </row>
    <row r="431" spans="1:13">
      <c r="A431" s="39" t="s">
        <v>718</v>
      </c>
      <c r="B431" s="46" t="s">
        <v>285</v>
      </c>
      <c r="C431" s="39" t="s">
        <v>705</v>
      </c>
      <c r="D431" s="72">
        <v>248820119</v>
      </c>
      <c r="E431" s="73">
        <v>2521711684</v>
      </c>
      <c r="F431" s="39" t="s">
        <v>256</v>
      </c>
      <c r="G431" s="49">
        <v>36904</v>
      </c>
      <c r="H431" s="50" t="str">
        <f t="shared" si="12"/>
        <v>Jan</v>
      </c>
      <c r="I431" s="51">
        <f t="shared" ca="1" si="13"/>
        <v>15</v>
      </c>
      <c r="J431" s="52" t="s">
        <v>257</v>
      </c>
      <c r="K431" s="53">
        <v>82220</v>
      </c>
      <c r="L431" s="54">
        <v>5</v>
      </c>
      <c r="M431" s="55"/>
    </row>
    <row r="432" spans="1:13">
      <c r="A432" s="39" t="s">
        <v>719</v>
      </c>
      <c r="B432" s="46" t="s">
        <v>251</v>
      </c>
      <c r="C432" s="39" t="s">
        <v>705</v>
      </c>
      <c r="D432" s="72">
        <v>711445298</v>
      </c>
      <c r="E432" s="73">
        <v>2528359862</v>
      </c>
      <c r="F432" s="39" t="s">
        <v>247</v>
      </c>
      <c r="G432" s="49">
        <v>41621</v>
      </c>
      <c r="H432" s="50" t="str">
        <f t="shared" si="12"/>
        <v>Dec</v>
      </c>
      <c r="I432" s="51">
        <f t="shared" ca="1" si="13"/>
        <v>2</v>
      </c>
      <c r="J432" s="52"/>
      <c r="K432" s="53">
        <v>101160</v>
      </c>
      <c r="L432" s="54">
        <v>1</v>
      </c>
      <c r="M432" s="55"/>
    </row>
    <row r="433" spans="1:13">
      <c r="A433" s="39" t="s">
        <v>720</v>
      </c>
      <c r="B433" s="46" t="s">
        <v>280</v>
      </c>
      <c r="C433" s="39" t="s">
        <v>705</v>
      </c>
      <c r="D433" s="72">
        <v>291803431</v>
      </c>
      <c r="E433" s="73">
        <v>2525866679</v>
      </c>
      <c r="F433" s="39" t="s">
        <v>247</v>
      </c>
      <c r="G433" s="49">
        <v>40784</v>
      </c>
      <c r="H433" s="50" t="str">
        <f t="shared" si="12"/>
        <v>Aug</v>
      </c>
      <c r="I433" s="51">
        <f t="shared" ca="1" si="13"/>
        <v>5</v>
      </c>
      <c r="J433" s="52"/>
      <c r="K433" s="53">
        <v>64800</v>
      </c>
      <c r="L433" s="54">
        <v>3</v>
      </c>
      <c r="M433" s="55"/>
    </row>
    <row r="434" spans="1:13">
      <c r="A434" s="39" t="s">
        <v>721</v>
      </c>
      <c r="B434" s="46" t="s">
        <v>251</v>
      </c>
      <c r="C434" s="39" t="s">
        <v>705</v>
      </c>
      <c r="D434" s="72">
        <v>120479503</v>
      </c>
      <c r="E434" s="73">
        <v>9196069116</v>
      </c>
      <c r="F434" s="39" t="s">
        <v>261</v>
      </c>
      <c r="G434" s="49">
        <v>40300</v>
      </c>
      <c r="H434" s="50" t="str">
        <f t="shared" si="12"/>
        <v>May</v>
      </c>
      <c r="I434" s="51">
        <f t="shared" ca="1" si="13"/>
        <v>6</v>
      </c>
      <c r="J434" s="52" t="s">
        <v>276</v>
      </c>
      <c r="K434" s="53">
        <v>57310</v>
      </c>
      <c r="L434" s="54">
        <v>3</v>
      </c>
      <c r="M434" s="55"/>
    </row>
    <row r="435" spans="1:13">
      <c r="A435" s="39" t="s">
        <v>722</v>
      </c>
      <c r="B435" s="46" t="s">
        <v>285</v>
      </c>
      <c r="C435" s="39" t="s">
        <v>705</v>
      </c>
      <c r="D435" s="72">
        <v>555718765</v>
      </c>
      <c r="E435" s="73">
        <v>2524618773</v>
      </c>
      <c r="F435" s="39" t="s">
        <v>256</v>
      </c>
      <c r="G435" s="49">
        <v>35738</v>
      </c>
      <c r="H435" s="50" t="str">
        <f t="shared" si="12"/>
        <v>Nov</v>
      </c>
      <c r="I435" s="51">
        <f t="shared" ca="1" si="13"/>
        <v>19</v>
      </c>
      <c r="J435" s="52" t="s">
        <v>257</v>
      </c>
      <c r="K435" s="53">
        <v>106620</v>
      </c>
      <c r="L435" s="54">
        <v>3</v>
      </c>
      <c r="M435" s="55"/>
    </row>
    <row r="436" spans="1:13">
      <c r="A436" s="39" t="s">
        <v>723</v>
      </c>
      <c r="B436" s="46" t="s">
        <v>285</v>
      </c>
      <c r="C436" s="39" t="s">
        <v>705</v>
      </c>
      <c r="D436" s="72">
        <v>619465100</v>
      </c>
      <c r="E436" s="73">
        <v>9194629606</v>
      </c>
      <c r="F436" s="39" t="s">
        <v>256</v>
      </c>
      <c r="G436" s="49">
        <v>39917</v>
      </c>
      <c r="H436" s="50" t="str">
        <f t="shared" si="12"/>
        <v>Apr</v>
      </c>
      <c r="I436" s="51">
        <f t="shared" ca="1" si="13"/>
        <v>7</v>
      </c>
      <c r="J436" s="52" t="s">
        <v>262</v>
      </c>
      <c r="K436" s="53">
        <v>33070</v>
      </c>
      <c r="L436" s="54">
        <v>2</v>
      </c>
      <c r="M436" s="55"/>
    </row>
    <row r="437" spans="1:13">
      <c r="A437" s="39" t="s">
        <v>724</v>
      </c>
      <c r="B437" s="46" t="s">
        <v>271</v>
      </c>
      <c r="C437" s="39" t="s">
        <v>705</v>
      </c>
      <c r="D437" s="72">
        <v>816607187</v>
      </c>
      <c r="E437" s="73">
        <v>9195520461</v>
      </c>
      <c r="F437" s="39" t="s">
        <v>252</v>
      </c>
      <c r="G437" s="49">
        <v>41453</v>
      </c>
      <c r="H437" s="50" t="str">
        <f t="shared" si="12"/>
        <v>Jun</v>
      </c>
      <c r="I437" s="51">
        <f t="shared" ca="1" si="13"/>
        <v>3</v>
      </c>
      <c r="J437" s="52"/>
      <c r="K437" s="53">
        <v>11020</v>
      </c>
      <c r="L437" s="54">
        <v>3</v>
      </c>
      <c r="M437" s="55"/>
    </row>
    <row r="438" spans="1:13">
      <c r="A438" s="39" t="s">
        <v>725</v>
      </c>
      <c r="B438" s="46" t="s">
        <v>285</v>
      </c>
      <c r="C438" s="39" t="s">
        <v>705</v>
      </c>
      <c r="D438" s="72">
        <v>959568761</v>
      </c>
      <c r="E438" s="73">
        <v>9194744493</v>
      </c>
      <c r="F438" s="39" t="s">
        <v>256</v>
      </c>
      <c r="G438" s="49">
        <v>34458</v>
      </c>
      <c r="H438" s="50" t="str">
        <f t="shared" si="12"/>
        <v>May</v>
      </c>
      <c r="I438" s="51">
        <f t="shared" ca="1" si="13"/>
        <v>22</v>
      </c>
      <c r="J438" s="52" t="s">
        <v>267</v>
      </c>
      <c r="K438" s="53">
        <v>73760</v>
      </c>
      <c r="L438" s="54">
        <v>5</v>
      </c>
      <c r="M438" s="55"/>
    </row>
    <row r="439" spans="1:13">
      <c r="A439" s="39" t="s">
        <v>726</v>
      </c>
      <c r="B439" s="46" t="s">
        <v>285</v>
      </c>
      <c r="C439" s="39" t="s">
        <v>705</v>
      </c>
      <c r="D439" s="72">
        <v>145240921</v>
      </c>
      <c r="E439" s="73">
        <v>2525227751</v>
      </c>
      <c r="F439" s="39" t="s">
        <v>256</v>
      </c>
      <c r="G439" s="49">
        <v>40405</v>
      </c>
      <c r="H439" s="50" t="str">
        <f t="shared" si="12"/>
        <v>Aug</v>
      </c>
      <c r="I439" s="51">
        <f t="shared" ca="1" si="13"/>
        <v>6</v>
      </c>
      <c r="J439" s="52" t="s">
        <v>267</v>
      </c>
      <c r="K439" s="53">
        <v>61190</v>
      </c>
      <c r="L439" s="54">
        <v>4</v>
      </c>
      <c r="M439" s="55"/>
    </row>
    <row r="440" spans="1:13">
      <c r="A440" s="39" t="s">
        <v>727</v>
      </c>
      <c r="B440" s="46" t="s">
        <v>271</v>
      </c>
      <c r="C440" s="39" t="s">
        <v>705</v>
      </c>
      <c r="D440" s="72">
        <v>803776506</v>
      </c>
      <c r="E440" s="73">
        <v>2526920236</v>
      </c>
      <c r="F440" s="39" t="s">
        <v>256</v>
      </c>
      <c r="G440" s="49">
        <v>36413</v>
      </c>
      <c r="H440" s="50" t="str">
        <f t="shared" si="12"/>
        <v>Sep</v>
      </c>
      <c r="I440" s="51">
        <f t="shared" ca="1" si="13"/>
        <v>17</v>
      </c>
      <c r="J440" s="52" t="s">
        <v>262</v>
      </c>
      <c r="K440" s="53">
        <v>93540</v>
      </c>
      <c r="L440" s="54">
        <v>4</v>
      </c>
      <c r="M440" s="55"/>
    </row>
    <row r="441" spans="1:13">
      <c r="A441" s="39" t="s">
        <v>728</v>
      </c>
      <c r="B441" s="46" t="s">
        <v>266</v>
      </c>
      <c r="C441" s="39" t="s">
        <v>705</v>
      </c>
      <c r="D441" s="72">
        <v>297806507</v>
      </c>
      <c r="E441" s="73">
        <v>9197312659</v>
      </c>
      <c r="F441" s="39" t="s">
        <v>256</v>
      </c>
      <c r="G441" s="49">
        <v>35741</v>
      </c>
      <c r="H441" s="50" t="str">
        <f t="shared" si="12"/>
        <v>Nov</v>
      </c>
      <c r="I441" s="51">
        <f t="shared" ca="1" si="13"/>
        <v>19</v>
      </c>
      <c r="J441" s="52" t="s">
        <v>267</v>
      </c>
      <c r="K441" s="53">
        <v>93410</v>
      </c>
      <c r="L441" s="54">
        <v>2</v>
      </c>
      <c r="M441" s="55"/>
    </row>
    <row r="442" spans="1:13">
      <c r="A442" s="39" t="s">
        <v>729</v>
      </c>
      <c r="B442" s="46" t="s">
        <v>245</v>
      </c>
      <c r="C442" s="39" t="s">
        <v>705</v>
      </c>
      <c r="D442" s="72">
        <v>847051774</v>
      </c>
      <c r="E442" s="73">
        <v>2522881600</v>
      </c>
      <c r="F442" s="39" t="s">
        <v>256</v>
      </c>
      <c r="G442" s="49">
        <v>40658</v>
      </c>
      <c r="H442" s="50" t="str">
        <f t="shared" si="12"/>
        <v>Apr</v>
      </c>
      <c r="I442" s="51">
        <f t="shared" ca="1" si="13"/>
        <v>5</v>
      </c>
      <c r="J442" s="52" t="s">
        <v>276</v>
      </c>
      <c r="K442" s="53">
        <v>97060</v>
      </c>
      <c r="L442" s="54">
        <v>1</v>
      </c>
      <c r="M442" s="55"/>
    </row>
    <row r="443" spans="1:13">
      <c r="A443" s="39" t="s">
        <v>730</v>
      </c>
      <c r="B443" s="46" t="s">
        <v>271</v>
      </c>
      <c r="C443" s="39" t="s">
        <v>705</v>
      </c>
      <c r="D443" s="72">
        <v>931977751</v>
      </c>
      <c r="E443" s="73">
        <v>9194471952</v>
      </c>
      <c r="F443" s="39" t="s">
        <v>256</v>
      </c>
      <c r="G443" s="49">
        <v>35902</v>
      </c>
      <c r="H443" s="50" t="str">
        <f t="shared" si="12"/>
        <v>Apr</v>
      </c>
      <c r="I443" s="51">
        <f t="shared" ca="1" si="13"/>
        <v>18</v>
      </c>
      <c r="J443" s="52" t="s">
        <v>257</v>
      </c>
      <c r="K443" s="53">
        <v>31000</v>
      </c>
      <c r="L443" s="54">
        <v>5</v>
      </c>
      <c r="M443" s="55"/>
    </row>
    <row r="444" spans="1:13">
      <c r="A444" s="39" t="s">
        <v>731</v>
      </c>
      <c r="B444" s="46" t="s">
        <v>285</v>
      </c>
      <c r="C444" s="39" t="s">
        <v>705</v>
      </c>
      <c r="D444" s="72">
        <v>489013842</v>
      </c>
      <c r="E444" s="73">
        <v>2521658481</v>
      </c>
      <c r="F444" s="39" t="s">
        <v>261</v>
      </c>
      <c r="G444" s="49">
        <v>37696</v>
      </c>
      <c r="H444" s="50" t="str">
        <f t="shared" si="12"/>
        <v>Mar</v>
      </c>
      <c r="I444" s="51">
        <f t="shared" ca="1" si="13"/>
        <v>13</v>
      </c>
      <c r="J444" s="52" t="s">
        <v>283</v>
      </c>
      <c r="K444" s="53">
        <v>34810</v>
      </c>
      <c r="L444" s="54">
        <v>1</v>
      </c>
      <c r="M444" s="55"/>
    </row>
    <row r="445" spans="1:13">
      <c r="A445" s="39" t="s">
        <v>732</v>
      </c>
      <c r="B445" s="46" t="s">
        <v>266</v>
      </c>
      <c r="C445" s="39" t="s">
        <v>705</v>
      </c>
      <c r="D445" s="72">
        <v>443238477</v>
      </c>
      <c r="E445" s="73">
        <v>9198624601</v>
      </c>
      <c r="F445" s="39" t="s">
        <v>256</v>
      </c>
      <c r="G445" s="49">
        <v>40679</v>
      </c>
      <c r="H445" s="50" t="str">
        <f t="shared" si="12"/>
        <v>May</v>
      </c>
      <c r="I445" s="51">
        <f t="shared" ca="1" si="13"/>
        <v>5</v>
      </c>
      <c r="J445" s="52" t="s">
        <v>283</v>
      </c>
      <c r="K445" s="53">
        <v>96110</v>
      </c>
      <c r="L445" s="54">
        <v>2</v>
      </c>
      <c r="M445" s="55"/>
    </row>
    <row r="446" spans="1:13">
      <c r="A446" s="39" t="s">
        <v>733</v>
      </c>
      <c r="B446" s="46" t="s">
        <v>285</v>
      </c>
      <c r="C446" s="39" t="s">
        <v>705</v>
      </c>
      <c r="D446" s="72">
        <v>868128171</v>
      </c>
      <c r="E446" s="73">
        <v>2525048978</v>
      </c>
      <c r="F446" s="39" t="s">
        <v>256</v>
      </c>
      <c r="G446" s="49">
        <v>34879</v>
      </c>
      <c r="H446" s="50" t="str">
        <f t="shared" si="12"/>
        <v>Jun</v>
      </c>
      <c r="I446" s="51">
        <f t="shared" ca="1" si="13"/>
        <v>21</v>
      </c>
      <c r="J446" s="52" t="s">
        <v>276</v>
      </c>
      <c r="K446" s="53">
        <v>90440</v>
      </c>
      <c r="L446" s="54">
        <v>2</v>
      </c>
      <c r="M446" s="55"/>
    </row>
    <row r="447" spans="1:13">
      <c r="A447" s="39" t="s">
        <v>734</v>
      </c>
      <c r="B447" s="46" t="s">
        <v>251</v>
      </c>
      <c r="C447" s="39" t="s">
        <v>705</v>
      </c>
      <c r="D447" s="72">
        <v>302854692</v>
      </c>
      <c r="E447" s="73">
        <v>2528651774</v>
      </c>
      <c r="F447" s="39" t="s">
        <v>261</v>
      </c>
      <c r="G447" s="49">
        <v>35618</v>
      </c>
      <c r="H447" s="50" t="str">
        <f t="shared" si="12"/>
        <v>Jul</v>
      </c>
      <c r="I447" s="51">
        <f t="shared" ca="1" si="13"/>
        <v>19</v>
      </c>
      <c r="J447" s="52" t="s">
        <v>257</v>
      </c>
      <c r="K447" s="53">
        <v>16120</v>
      </c>
      <c r="L447" s="54">
        <v>1</v>
      </c>
      <c r="M447" s="55"/>
    </row>
    <row r="448" spans="1:13">
      <c r="A448" s="39" t="s">
        <v>735</v>
      </c>
      <c r="B448" s="46" t="s">
        <v>271</v>
      </c>
      <c r="C448" s="39" t="s">
        <v>705</v>
      </c>
      <c r="D448" s="72">
        <v>960967007</v>
      </c>
      <c r="E448" s="73">
        <v>9194694995</v>
      </c>
      <c r="F448" s="39" t="s">
        <v>247</v>
      </c>
      <c r="G448" s="49">
        <v>37624</v>
      </c>
      <c r="H448" s="50" t="str">
        <f t="shared" si="12"/>
        <v>Jan</v>
      </c>
      <c r="I448" s="51">
        <f t="shared" ca="1" si="13"/>
        <v>13</v>
      </c>
      <c r="J448" s="52"/>
      <c r="K448" s="53">
        <v>36360</v>
      </c>
      <c r="L448" s="54">
        <v>1</v>
      </c>
      <c r="M448" s="55"/>
    </row>
    <row r="449" spans="1:13">
      <c r="A449" s="39" t="s">
        <v>736</v>
      </c>
      <c r="B449" s="46" t="s">
        <v>271</v>
      </c>
      <c r="C449" s="39" t="s">
        <v>705</v>
      </c>
      <c r="D449" s="72">
        <v>150132247</v>
      </c>
      <c r="E449" s="73">
        <v>9198561612</v>
      </c>
      <c r="F449" s="39" t="s">
        <v>256</v>
      </c>
      <c r="G449" s="49">
        <v>34882</v>
      </c>
      <c r="H449" s="50" t="str">
        <f t="shared" si="12"/>
        <v>Jul</v>
      </c>
      <c r="I449" s="51">
        <f t="shared" ca="1" si="13"/>
        <v>21</v>
      </c>
      <c r="J449" s="52" t="s">
        <v>276</v>
      </c>
      <c r="K449" s="53">
        <v>56290</v>
      </c>
      <c r="L449" s="54">
        <v>3</v>
      </c>
      <c r="M449" s="55"/>
    </row>
    <row r="450" spans="1:13">
      <c r="A450" s="39" t="s">
        <v>737</v>
      </c>
      <c r="B450" s="46" t="s">
        <v>245</v>
      </c>
      <c r="C450" s="39" t="s">
        <v>705</v>
      </c>
      <c r="D450" s="72">
        <v>294130565</v>
      </c>
      <c r="E450" s="73">
        <v>9193744359</v>
      </c>
      <c r="F450" s="39" t="s">
        <v>256</v>
      </c>
      <c r="G450" s="49">
        <v>34637</v>
      </c>
      <c r="H450" s="50" t="str">
        <f t="shared" ref="H450:H513" si="14">CHOOSE(MONTH(G450),"Jan","Feb","Mar","Apr","May","Jun","Jul","Aug","Sep","Oct","Nov","Dec")</f>
        <v>Oct</v>
      </c>
      <c r="I450" s="51">
        <f t="shared" ref="I450:I513" ca="1" si="15">DATEDIF(G450,TODAY(),"Y")</f>
        <v>22</v>
      </c>
      <c r="J450" s="52" t="s">
        <v>257</v>
      </c>
      <c r="K450" s="53">
        <v>31630</v>
      </c>
      <c r="L450" s="54">
        <v>1</v>
      </c>
      <c r="M450" s="55"/>
    </row>
    <row r="451" spans="1:13">
      <c r="A451" s="39" t="s">
        <v>738</v>
      </c>
      <c r="B451" s="46" t="s">
        <v>285</v>
      </c>
      <c r="C451" s="39" t="s">
        <v>705</v>
      </c>
      <c r="D451" s="72">
        <v>842774592</v>
      </c>
      <c r="E451" s="73">
        <v>2527345539</v>
      </c>
      <c r="F451" s="39" t="s">
        <v>252</v>
      </c>
      <c r="G451" s="49">
        <v>39145</v>
      </c>
      <c r="H451" s="50" t="str">
        <f t="shared" si="14"/>
        <v>Mar</v>
      </c>
      <c r="I451" s="51">
        <f t="shared" ca="1" si="15"/>
        <v>9</v>
      </c>
      <c r="J451" s="52"/>
      <c r="K451" s="53">
        <v>40210</v>
      </c>
      <c r="L451" s="54">
        <v>4</v>
      </c>
      <c r="M451" s="55"/>
    </row>
    <row r="452" spans="1:13">
      <c r="A452" s="39" t="s">
        <v>739</v>
      </c>
      <c r="B452" s="46" t="s">
        <v>271</v>
      </c>
      <c r="C452" s="39" t="s">
        <v>705</v>
      </c>
      <c r="D452" s="72">
        <v>839899522</v>
      </c>
      <c r="E452" s="73">
        <v>9195512521</v>
      </c>
      <c r="F452" s="39" t="s">
        <v>256</v>
      </c>
      <c r="G452" s="49">
        <v>36970</v>
      </c>
      <c r="H452" s="50" t="str">
        <f t="shared" si="14"/>
        <v>Mar</v>
      </c>
      <c r="I452" s="51">
        <f t="shared" ca="1" si="15"/>
        <v>15</v>
      </c>
      <c r="J452" s="52" t="s">
        <v>257</v>
      </c>
      <c r="K452" s="53">
        <v>89440</v>
      </c>
      <c r="L452" s="54">
        <v>5</v>
      </c>
      <c r="M452" s="55"/>
    </row>
    <row r="453" spans="1:13">
      <c r="A453" s="39" t="s">
        <v>740</v>
      </c>
      <c r="B453" s="46" t="s">
        <v>280</v>
      </c>
      <c r="C453" s="39" t="s">
        <v>705</v>
      </c>
      <c r="D453" s="72">
        <v>577239513</v>
      </c>
      <c r="E453" s="73">
        <v>9193199265</v>
      </c>
      <c r="F453" s="39" t="s">
        <v>256</v>
      </c>
      <c r="G453" s="49">
        <v>36134</v>
      </c>
      <c r="H453" s="50" t="str">
        <f t="shared" si="14"/>
        <v>Dec</v>
      </c>
      <c r="I453" s="51">
        <f t="shared" ca="1" si="15"/>
        <v>17</v>
      </c>
      <c r="J453" s="52" t="s">
        <v>283</v>
      </c>
      <c r="K453" s="53">
        <v>75700</v>
      </c>
      <c r="L453" s="54">
        <v>5</v>
      </c>
      <c r="M453" s="55"/>
    </row>
    <row r="454" spans="1:13">
      <c r="A454" s="39" t="s">
        <v>741</v>
      </c>
      <c r="B454" s="46" t="s">
        <v>245</v>
      </c>
      <c r="C454" s="39" t="s">
        <v>705</v>
      </c>
      <c r="D454" s="72">
        <v>623823805</v>
      </c>
      <c r="E454" s="73">
        <v>9192602559</v>
      </c>
      <c r="F454" s="39" t="s">
        <v>252</v>
      </c>
      <c r="G454" s="49">
        <v>41404</v>
      </c>
      <c r="H454" s="50" t="str">
        <f t="shared" si="14"/>
        <v>May</v>
      </c>
      <c r="I454" s="51">
        <f t="shared" ca="1" si="15"/>
        <v>3</v>
      </c>
      <c r="J454" s="52"/>
      <c r="K454" s="53">
        <v>18070</v>
      </c>
      <c r="L454" s="54">
        <v>5</v>
      </c>
      <c r="M454" s="55"/>
    </row>
    <row r="455" spans="1:13">
      <c r="A455" s="39" t="s">
        <v>742</v>
      </c>
      <c r="B455" s="46" t="s">
        <v>271</v>
      </c>
      <c r="C455" s="39" t="s">
        <v>705</v>
      </c>
      <c r="D455" s="72">
        <v>934447306</v>
      </c>
      <c r="E455" s="73">
        <v>2525981242</v>
      </c>
      <c r="F455" s="39" t="s">
        <v>256</v>
      </c>
      <c r="G455" s="49">
        <v>35112</v>
      </c>
      <c r="H455" s="50" t="str">
        <f t="shared" si="14"/>
        <v>Feb</v>
      </c>
      <c r="I455" s="51">
        <f t="shared" ca="1" si="15"/>
        <v>20</v>
      </c>
      <c r="J455" s="52" t="s">
        <v>283</v>
      </c>
      <c r="K455" s="53">
        <v>87640</v>
      </c>
      <c r="L455" s="54">
        <v>5</v>
      </c>
      <c r="M455" s="55"/>
    </row>
    <row r="456" spans="1:13">
      <c r="A456" s="39" t="s">
        <v>743</v>
      </c>
      <c r="B456" s="46" t="s">
        <v>285</v>
      </c>
      <c r="C456" s="39" t="s">
        <v>705</v>
      </c>
      <c r="D456" s="72">
        <v>474117484</v>
      </c>
      <c r="E456" s="73">
        <v>9196132408</v>
      </c>
      <c r="F456" s="39" t="s">
        <v>256</v>
      </c>
      <c r="G456" s="49">
        <v>34643</v>
      </c>
      <c r="H456" s="50" t="str">
        <f t="shared" si="14"/>
        <v>Nov</v>
      </c>
      <c r="I456" s="51">
        <f t="shared" ca="1" si="15"/>
        <v>22</v>
      </c>
      <c r="J456" s="52" t="s">
        <v>257</v>
      </c>
      <c r="K456" s="53">
        <v>95720</v>
      </c>
      <c r="L456" s="54">
        <v>4</v>
      </c>
      <c r="M456" s="55"/>
    </row>
    <row r="457" spans="1:13">
      <c r="A457" s="39" t="s">
        <v>744</v>
      </c>
      <c r="B457" s="46" t="s">
        <v>285</v>
      </c>
      <c r="C457" s="39" t="s">
        <v>705</v>
      </c>
      <c r="D457" s="72">
        <v>881242432</v>
      </c>
      <c r="E457" s="73">
        <v>9193957018</v>
      </c>
      <c r="F457" s="39" t="s">
        <v>256</v>
      </c>
      <c r="G457" s="49">
        <v>34929</v>
      </c>
      <c r="H457" s="50" t="str">
        <f t="shared" si="14"/>
        <v>Aug</v>
      </c>
      <c r="I457" s="51">
        <f t="shared" ca="1" si="15"/>
        <v>21</v>
      </c>
      <c r="J457" s="52" t="s">
        <v>262</v>
      </c>
      <c r="K457" s="53">
        <v>81610</v>
      </c>
      <c r="L457" s="54">
        <v>1</v>
      </c>
      <c r="M457" s="55"/>
    </row>
    <row r="458" spans="1:13">
      <c r="A458" s="39" t="s">
        <v>745</v>
      </c>
      <c r="B458" s="46" t="s">
        <v>251</v>
      </c>
      <c r="C458" s="39" t="s">
        <v>705</v>
      </c>
      <c r="D458" s="72">
        <v>719165738</v>
      </c>
      <c r="E458" s="73">
        <v>9195750692</v>
      </c>
      <c r="F458" s="39" t="s">
        <v>247</v>
      </c>
      <c r="G458" s="49">
        <v>41469</v>
      </c>
      <c r="H458" s="50" t="str">
        <f t="shared" si="14"/>
        <v>Jul</v>
      </c>
      <c r="I458" s="51">
        <f t="shared" ca="1" si="15"/>
        <v>3</v>
      </c>
      <c r="J458" s="52"/>
      <c r="K458" s="53">
        <v>47330</v>
      </c>
      <c r="L458" s="54">
        <v>4</v>
      </c>
      <c r="M458" s="55"/>
    </row>
    <row r="459" spans="1:13">
      <c r="A459" s="39" t="s">
        <v>746</v>
      </c>
      <c r="B459" s="46" t="s">
        <v>285</v>
      </c>
      <c r="C459" s="39" t="s">
        <v>705</v>
      </c>
      <c r="D459" s="72">
        <v>210173249</v>
      </c>
      <c r="E459" s="73">
        <v>2525780571</v>
      </c>
      <c r="F459" s="39" t="s">
        <v>247</v>
      </c>
      <c r="G459" s="49">
        <v>34812</v>
      </c>
      <c r="H459" s="50" t="str">
        <f t="shared" si="14"/>
        <v>Apr</v>
      </c>
      <c r="I459" s="51">
        <f t="shared" ca="1" si="15"/>
        <v>21</v>
      </c>
      <c r="J459" s="52"/>
      <c r="K459" s="53">
        <v>39180</v>
      </c>
      <c r="L459" s="54">
        <v>1</v>
      </c>
      <c r="M459" s="55"/>
    </row>
    <row r="460" spans="1:13">
      <c r="A460" s="39" t="s">
        <v>747</v>
      </c>
      <c r="B460" s="46" t="s">
        <v>271</v>
      </c>
      <c r="C460" s="39" t="s">
        <v>705</v>
      </c>
      <c r="D460" s="72">
        <v>617795992</v>
      </c>
      <c r="E460" s="73">
        <v>2526345909</v>
      </c>
      <c r="F460" s="39" t="s">
        <v>256</v>
      </c>
      <c r="G460" s="49">
        <v>34579</v>
      </c>
      <c r="H460" s="50" t="str">
        <f t="shared" si="14"/>
        <v>Sep</v>
      </c>
      <c r="I460" s="51">
        <f t="shared" ca="1" si="15"/>
        <v>22</v>
      </c>
      <c r="J460" s="52" t="s">
        <v>257</v>
      </c>
      <c r="K460" s="53">
        <v>52300</v>
      </c>
      <c r="L460" s="54">
        <v>5</v>
      </c>
      <c r="M460" s="55"/>
    </row>
    <row r="461" spans="1:13">
      <c r="A461" s="39" t="s">
        <v>748</v>
      </c>
      <c r="B461" s="46" t="s">
        <v>285</v>
      </c>
      <c r="C461" s="39" t="s">
        <v>705</v>
      </c>
      <c r="D461" s="72">
        <v>824046378</v>
      </c>
      <c r="E461" s="73">
        <v>9196335284</v>
      </c>
      <c r="F461" s="39" t="s">
        <v>256</v>
      </c>
      <c r="G461" s="49">
        <v>36380</v>
      </c>
      <c r="H461" s="50" t="str">
        <f t="shared" si="14"/>
        <v>Aug</v>
      </c>
      <c r="I461" s="51">
        <f t="shared" ca="1" si="15"/>
        <v>17</v>
      </c>
      <c r="J461" s="52" t="s">
        <v>276</v>
      </c>
      <c r="K461" s="53">
        <v>80680</v>
      </c>
      <c r="L461" s="54">
        <v>4</v>
      </c>
      <c r="M461" s="55"/>
    </row>
    <row r="462" spans="1:13">
      <c r="A462" s="39" t="s">
        <v>749</v>
      </c>
      <c r="B462" s="46" t="s">
        <v>266</v>
      </c>
      <c r="C462" s="39" t="s">
        <v>750</v>
      </c>
      <c r="D462" s="72">
        <v>834061135</v>
      </c>
      <c r="E462" s="73">
        <v>9198472270</v>
      </c>
      <c r="F462" s="39" t="s">
        <v>256</v>
      </c>
      <c r="G462" s="49">
        <v>34514</v>
      </c>
      <c r="H462" s="50" t="str">
        <f t="shared" si="14"/>
        <v>Jun</v>
      </c>
      <c r="I462" s="51">
        <f t="shared" ca="1" si="15"/>
        <v>22</v>
      </c>
      <c r="J462" s="52" t="s">
        <v>267</v>
      </c>
      <c r="K462" s="53">
        <v>53470</v>
      </c>
      <c r="L462" s="54">
        <v>2</v>
      </c>
      <c r="M462" s="55"/>
    </row>
    <row r="463" spans="1:13">
      <c r="A463" s="39" t="s">
        <v>751</v>
      </c>
      <c r="B463" s="46" t="s">
        <v>285</v>
      </c>
      <c r="C463" s="39" t="s">
        <v>750</v>
      </c>
      <c r="D463" s="72">
        <v>198564686</v>
      </c>
      <c r="E463" s="78">
        <v>2523355100</v>
      </c>
      <c r="F463" s="39" t="s">
        <v>256</v>
      </c>
      <c r="G463" s="49">
        <v>34247</v>
      </c>
      <c r="H463" s="50" t="str">
        <f t="shared" si="14"/>
        <v>Oct</v>
      </c>
      <c r="I463" s="51">
        <f t="shared" ca="1" si="15"/>
        <v>23</v>
      </c>
      <c r="J463" s="52" t="s">
        <v>257</v>
      </c>
      <c r="K463" s="53">
        <v>86080</v>
      </c>
      <c r="L463" s="54">
        <v>1</v>
      </c>
      <c r="M463" s="55"/>
    </row>
    <row r="464" spans="1:13">
      <c r="A464" s="39" t="s">
        <v>752</v>
      </c>
      <c r="B464" s="46" t="s">
        <v>271</v>
      </c>
      <c r="C464" s="39" t="s">
        <v>750</v>
      </c>
      <c r="D464" s="72">
        <v>763518183</v>
      </c>
      <c r="E464" s="73">
        <v>2522581491</v>
      </c>
      <c r="F464" s="39" t="s">
        <v>256</v>
      </c>
      <c r="G464" s="49">
        <v>34441</v>
      </c>
      <c r="H464" s="50" t="str">
        <f t="shared" si="14"/>
        <v>Apr</v>
      </c>
      <c r="I464" s="51">
        <f t="shared" ca="1" si="15"/>
        <v>22</v>
      </c>
      <c r="J464" s="52" t="s">
        <v>257</v>
      </c>
      <c r="K464" s="53">
        <v>83280</v>
      </c>
      <c r="L464" s="54">
        <v>5</v>
      </c>
      <c r="M464" s="55"/>
    </row>
    <row r="465" spans="1:13">
      <c r="A465" s="39" t="s">
        <v>753</v>
      </c>
      <c r="B465" s="46" t="s">
        <v>285</v>
      </c>
      <c r="C465" s="39" t="s">
        <v>750</v>
      </c>
      <c r="D465" s="72">
        <v>285295419</v>
      </c>
      <c r="E465" s="73">
        <v>9197904981</v>
      </c>
      <c r="F465" s="39" t="s">
        <v>252</v>
      </c>
      <c r="G465" s="49">
        <v>34159</v>
      </c>
      <c r="H465" s="50" t="str">
        <f t="shared" si="14"/>
        <v>Jul</v>
      </c>
      <c r="I465" s="51">
        <f t="shared" ca="1" si="15"/>
        <v>23</v>
      </c>
      <c r="J465" s="52"/>
      <c r="K465" s="53">
        <v>39880</v>
      </c>
      <c r="L465" s="54">
        <v>4</v>
      </c>
      <c r="M465" s="55"/>
    </row>
    <row r="466" spans="1:13">
      <c r="A466" s="39" t="s">
        <v>754</v>
      </c>
      <c r="B466" s="46" t="s">
        <v>285</v>
      </c>
      <c r="C466" s="39" t="s">
        <v>750</v>
      </c>
      <c r="D466" s="72">
        <v>852430023</v>
      </c>
      <c r="E466" s="73">
        <v>9195506190</v>
      </c>
      <c r="F466" s="39" t="s">
        <v>261</v>
      </c>
      <c r="G466" s="49">
        <v>34113</v>
      </c>
      <c r="H466" s="50" t="str">
        <f t="shared" si="14"/>
        <v>May</v>
      </c>
      <c r="I466" s="51">
        <f t="shared" ca="1" si="15"/>
        <v>23</v>
      </c>
      <c r="J466" s="52" t="s">
        <v>267</v>
      </c>
      <c r="K466" s="53">
        <v>29780</v>
      </c>
      <c r="L466" s="54">
        <v>1</v>
      </c>
      <c r="M466" s="55"/>
    </row>
    <row r="467" spans="1:13">
      <c r="A467" s="39" t="s">
        <v>755</v>
      </c>
      <c r="B467" s="46" t="s">
        <v>285</v>
      </c>
      <c r="C467" s="39" t="s">
        <v>750</v>
      </c>
      <c r="D467" s="72">
        <v>174483231</v>
      </c>
      <c r="E467" s="73">
        <v>9196733291</v>
      </c>
      <c r="F467" s="39" t="s">
        <v>256</v>
      </c>
      <c r="G467" s="49">
        <v>34187</v>
      </c>
      <c r="H467" s="50" t="str">
        <f t="shared" si="14"/>
        <v>Aug</v>
      </c>
      <c r="I467" s="51">
        <f t="shared" ca="1" si="15"/>
        <v>23</v>
      </c>
      <c r="J467" s="52" t="s">
        <v>257</v>
      </c>
      <c r="K467" s="53">
        <v>49130</v>
      </c>
      <c r="L467" s="54">
        <v>3</v>
      </c>
      <c r="M467" s="55"/>
    </row>
    <row r="468" spans="1:13">
      <c r="A468" s="39" t="s">
        <v>756</v>
      </c>
      <c r="B468" s="46" t="s">
        <v>271</v>
      </c>
      <c r="C468" s="39" t="s">
        <v>750</v>
      </c>
      <c r="D468" s="72">
        <v>444159297</v>
      </c>
      <c r="E468" s="73">
        <v>2522456406</v>
      </c>
      <c r="F468" s="39" t="s">
        <v>256</v>
      </c>
      <c r="G468" s="49">
        <v>34537</v>
      </c>
      <c r="H468" s="50" t="str">
        <f t="shared" si="14"/>
        <v>Jul</v>
      </c>
      <c r="I468" s="51">
        <f t="shared" ca="1" si="15"/>
        <v>22</v>
      </c>
      <c r="J468" s="52" t="s">
        <v>257</v>
      </c>
      <c r="K468" s="53">
        <v>97840</v>
      </c>
      <c r="L468" s="54">
        <v>5</v>
      </c>
      <c r="M468" s="55"/>
    </row>
    <row r="469" spans="1:13">
      <c r="A469" s="39" t="s">
        <v>757</v>
      </c>
      <c r="B469" s="46" t="s">
        <v>285</v>
      </c>
      <c r="C469" s="39" t="s">
        <v>750</v>
      </c>
      <c r="D469" s="72">
        <v>292693795</v>
      </c>
      <c r="E469" s="73">
        <v>9195990139</v>
      </c>
      <c r="F469" s="39" t="s">
        <v>256</v>
      </c>
      <c r="G469" s="49">
        <v>34281</v>
      </c>
      <c r="H469" s="50" t="str">
        <f t="shared" si="14"/>
        <v>Nov</v>
      </c>
      <c r="I469" s="51">
        <f t="shared" ca="1" si="15"/>
        <v>23</v>
      </c>
      <c r="J469" s="52" t="s">
        <v>257</v>
      </c>
      <c r="K469" s="53">
        <v>105540</v>
      </c>
      <c r="L469" s="54">
        <v>4</v>
      </c>
      <c r="M469" s="55"/>
    </row>
    <row r="470" spans="1:13">
      <c r="A470" s="39" t="s">
        <v>758</v>
      </c>
      <c r="B470" s="46" t="s">
        <v>245</v>
      </c>
      <c r="C470" s="39" t="s">
        <v>750</v>
      </c>
      <c r="D470" s="72">
        <v>360904659</v>
      </c>
      <c r="E470" s="73">
        <v>2523766803</v>
      </c>
      <c r="F470" s="39" t="s">
        <v>256</v>
      </c>
      <c r="G470" s="49">
        <v>34589</v>
      </c>
      <c r="H470" s="50" t="str">
        <f t="shared" si="14"/>
        <v>Sep</v>
      </c>
      <c r="I470" s="51">
        <f t="shared" ca="1" si="15"/>
        <v>22</v>
      </c>
      <c r="J470" s="52" t="s">
        <v>283</v>
      </c>
      <c r="K470" s="53">
        <v>53540</v>
      </c>
      <c r="L470" s="54">
        <v>5</v>
      </c>
      <c r="M470" s="55"/>
    </row>
    <row r="471" spans="1:13">
      <c r="A471" s="39" t="s">
        <v>759</v>
      </c>
      <c r="B471" s="46" t="s">
        <v>271</v>
      </c>
      <c r="C471" s="39" t="s">
        <v>750</v>
      </c>
      <c r="D471" s="72">
        <v>967826310</v>
      </c>
      <c r="E471" s="73">
        <v>9196100410</v>
      </c>
      <c r="F471" s="39" t="s">
        <v>256</v>
      </c>
      <c r="G471" s="49">
        <v>34321</v>
      </c>
      <c r="H471" s="50" t="str">
        <f t="shared" si="14"/>
        <v>Dec</v>
      </c>
      <c r="I471" s="51">
        <f t="shared" ca="1" si="15"/>
        <v>22</v>
      </c>
      <c r="J471" s="52" t="s">
        <v>276</v>
      </c>
      <c r="K471" s="53">
        <v>42380</v>
      </c>
      <c r="L471" s="54">
        <v>3</v>
      </c>
      <c r="M471" s="55"/>
    </row>
    <row r="472" spans="1:13">
      <c r="A472" s="39" t="s">
        <v>760</v>
      </c>
      <c r="B472" s="46" t="s">
        <v>266</v>
      </c>
      <c r="C472" s="39" t="s">
        <v>750</v>
      </c>
      <c r="D472" s="72">
        <v>710460589</v>
      </c>
      <c r="E472" s="73">
        <v>2526104400</v>
      </c>
      <c r="F472" s="39" t="s">
        <v>256</v>
      </c>
      <c r="G472" s="49">
        <v>34180</v>
      </c>
      <c r="H472" s="50" t="str">
        <f t="shared" si="14"/>
        <v>Jul</v>
      </c>
      <c r="I472" s="51">
        <f t="shared" ca="1" si="15"/>
        <v>23</v>
      </c>
      <c r="J472" s="52" t="s">
        <v>283</v>
      </c>
      <c r="K472" s="53">
        <v>51730</v>
      </c>
      <c r="L472" s="54">
        <v>2</v>
      </c>
      <c r="M472" s="55"/>
    </row>
    <row r="473" spans="1:13">
      <c r="A473" s="39" t="s">
        <v>761</v>
      </c>
      <c r="B473" s="46" t="s">
        <v>285</v>
      </c>
      <c r="C473" s="39" t="s">
        <v>750</v>
      </c>
      <c r="D473" s="72">
        <v>219740602</v>
      </c>
      <c r="E473" s="73">
        <v>9197429525</v>
      </c>
      <c r="F473" s="39" t="s">
        <v>261</v>
      </c>
      <c r="G473" s="49">
        <v>34350</v>
      </c>
      <c r="H473" s="50" t="str">
        <f t="shared" si="14"/>
        <v>Jan</v>
      </c>
      <c r="I473" s="51">
        <f t="shared" ca="1" si="15"/>
        <v>22</v>
      </c>
      <c r="J473" s="52" t="s">
        <v>276</v>
      </c>
      <c r="K473" s="53">
        <v>19220</v>
      </c>
      <c r="L473" s="54">
        <v>3</v>
      </c>
      <c r="M473" s="55"/>
    </row>
    <row r="474" spans="1:13">
      <c r="A474" s="39" t="s">
        <v>762</v>
      </c>
      <c r="B474" s="46" t="s">
        <v>271</v>
      </c>
      <c r="C474" s="39" t="s">
        <v>750</v>
      </c>
      <c r="D474" s="72">
        <v>134557291</v>
      </c>
      <c r="E474" s="73">
        <v>2525536623</v>
      </c>
      <c r="F474" s="39" t="s">
        <v>256</v>
      </c>
      <c r="G474" s="49">
        <v>34114</v>
      </c>
      <c r="H474" s="50" t="str">
        <f t="shared" si="14"/>
        <v>May</v>
      </c>
      <c r="I474" s="51">
        <f t="shared" ca="1" si="15"/>
        <v>23</v>
      </c>
      <c r="J474" s="52" t="s">
        <v>257</v>
      </c>
      <c r="K474" s="53">
        <v>39120</v>
      </c>
      <c r="L474" s="54">
        <v>5</v>
      </c>
      <c r="M474" s="55"/>
    </row>
    <row r="475" spans="1:13">
      <c r="A475" s="39" t="s">
        <v>763</v>
      </c>
      <c r="B475" s="46" t="s">
        <v>245</v>
      </c>
      <c r="C475" s="39" t="s">
        <v>750</v>
      </c>
      <c r="D475" s="72">
        <v>671360508</v>
      </c>
      <c r="E475" s="73">
        <v>2528385730</v>
      </c>
      <c r="F475" s="39" t="s">
        <v>261</v>
      </c>
      <c r="G475" s="49">
        <v>34161</v>
      </c>
      <c r="H475" s="50" t="str">
        <f t="shared" si="14"/>
        <v>Jul</v>
      </c>
      <c r="I475" s="51">
        <f t="shared" ca="1" si="15"/>
        <v>23</v>
      </c>
      <c r="J475" s="52" t="s">
        <v>262</v>
      </c>
      <c r="K475" s="53">
        <v>47540</v>
      </c>
      <c r="L475" s="54">
        <v>5</v>
      </c>
      <c r="M475" s="55"/>
    </row>
    <row r="476" spans="1:13">
      <c r="A476" s="39" t="s">
        <v>764</v>
      </c>
      <c r="B476" s="46" t="s">
        <v>271</v>
      </c>
      <c r="C476" s="39" t="s">
        <v>750</v>
      </c>
      <c r="D476" s="72">
        <v>904790184</v>
      </c>
      <c r="E476" s="73">
        <v>9191876990</v>
      </c>
      <c r="F476" s="39" t="s">
        <v>256</v>
      </c>
      <c r="G476" s="49">
        <v>34461</v>
      </c>
      <c r="H476" s="50" t="str">
        <f t="shared" si="14"/>
        <v>May</v>
      </c>
      <c r="I476" s="51">
        <f t="shared" ca="1" si="15"/>
        <v>22</v>
      </c>
      <c r="J476" s="52" t="s">
        <v>283</v>
      </c>
      <c r="K476" s="53">
        <v>93260</v>
      </c>
      <c r="L476" s="54">
        <v>3</v>
      </c>
      <c r="M476" s="55"/>
    </row>
    <row r="477" spans="1:13">
      <c r="A477" s="39" t="s">
        <v>765</v>
      </c>
      <c r="B477" s="46" t="s">
        <v>251</v>
      </c>
      <c r="C477" s="39" t="s">
        <v>750</v>
      </c>
      <c r="D477" s="72">
        <v>264960848</v>
      </c>
      <c r="E477" s="73">
        <v>9195012757</v>
      </c>
      <c r="F477" s="39" t="s">
        <v>247</v>
      </c>
      <c r="G477" s="49">
        <v>34287</v>
      </c>
      <c r="H477" s="50" t="str">
        <f t="shared" si="14"/>
        <v>Nov</v>
      </c>
      <c r="I477" s="51">
        <f t="shared" ca="1" si="15"/>
        <v>22</v>
      </c>
      <c r="J477" s="52"/>
      <c r="K477" s="53">
        <v>58880</v>
      </c>
      <c r="L477" s="54">
        <v>3</v>
      </c>
      <c r="M477" s="55"/>
    </row>
    <row r="478" spans="1:13">
      <c r="A478" s="39" t="s">
        <v>766</v>
      </c>
      <c r="B478" s="46" t="s">
        <v>266</v>
      </c>
      <c r="C478" s="39" t="s">
        <v>767</v>
      </c>
      <c r="D478" s="72">
        <v>239847790</v>
      </c>
      <c r="E478" s="73">
        <v>2524045531</v>
      </c>
      <c r="F478" s="39" t="s">
        <v>247</v>
      </c>
      <c r="G478" s="49">
        <v>37376</v>
      </c>
      <c r="H478" s="50" t="str">
        <f t="shared" si="14"/>
        <v>Apr</v>
      </c>
      <c r="I478" s="51">
        <f t="shared" ca="1" si="15"/>
        <v>14</v>
      </c>
      <c r="J478" s="52"/>
      <c r="K478" s="53">
        <v>85560</v>
      </c>
      <c r="L478" s="54">
        <v>5</v>
      </c>
      <c r="M478" s="55"/>
    </row>
    <row r="479" spans="1:13">
      <c r="A479" s="39" t="s">
        <v>768</v>
      </c>
      <c r="B479" s="46" t="s">
        <v>285</v>
      </c>
      <c r="C479" s="39" t="s">
        <v>767</v>
      </c>
      <c r="D479" s="72">
        <v>699386024</v>
      </c>
      <c r="E479" s="73">
        <v>2525842116</v>
      </c>
      <c r="F479" s="39" t="s">
        <v>252</v>
      </c>
      <c r="G479" s="49">
        <v>37029</v>
      </c>
      <c r="H479" s="50" t="str">
        <f t="shared" si="14"/>
        <v>May</v>
      </c>
      <c r="I479" s="51">
        <f t="shared" ca="1" si="15"/>
        <v>15</v>
      </c>
      <c r="J479" s="52"/>
      <c r="K479" s="53">
        <v>20030</v>
      </c>
      <c r="L479" s="54">
        <v>3</v>
      </c>
      <c r="M479" s="55"/>
    </row>
    <row r="480" spans="1:13">
      <c r="A480" s="39" t="s">
        <v>769</v>
      </c>
      <c r="B480" s="46" t="s">
        <v>285</v>
      </c>
      <c r="C480" s="39" t="s">
        <v>767</v>
      </c>
      <c r="D480" s="72">
        <v>449987941</v>
      </c>
      <c r="E480" s="73">
        <v>2528742282</v>
      </c>
      <c r="F480" s="39" t="s">
        <v>256</v>
      </c>
      <c r="G480" s="49">
        <v>41478</v>
      </c>
      <c r="H480" s="50" t="str">
        <f t="shared" si="14"/>
        <v>Jul</v>
      </c>
      <c r="I480" s="51">
        <f t="shared" ca="1" si="15"/>
        <v>3</v>
      </c>
      <c r="J480" s="52" t="s">
        <v>267</v>
      </c>
      <c r="K480" s="53">
        <v>75850</v>
      </c>
      <c r="L480" s="54">
        <v>1</v>
      </c>
      <c r="M480" s="55"/>
    </row>
    <row r="481" spans="1:17">
      <c r="A481" s="39" t="s">
        <v>770</v>
      </c>
      <c r="B481" s="46" t="s">
        <v>285</v>
      </c>
      <c r="C481" s="39" t="s">
        <v>767</v>
      </c>
      <c r="D481" s="72">
        <v>945160038</v>
      </c>
      <c r="E481" s="73">
        <v>2527909707</v>
      </c>
      <c r="F481" s="39" t="s">
        <v>256</v>
      </c>
      <c r="G481" s="49">
        <v>38702</v>
      </c>
      <c r="H481" s="50" t="str">
        <f t="shared" si="14"/>
        <v>Dec</v>
      </c>
      <c r="I481" s="51">
        <f t="shared" ca="1" si="15"/>
        <v>10</v>
      </c>
      <c r="J481" s="52" t="s">
        <v>262</v>
      </c>
      <c r="K481" s="53">
        <v>28270</v>
      </c>
      <c r="L481" s="54">
        <v>3</v>
      </c>
      <c r="M481" s="55"/>
    </row>
    <row r="482" spans="1:17">
      <c r="A482" s="39" t="s">
        <v>771</v>
      </c>
      <c r="B482" s="46" t="s">
        <v>271</v>
      </c>
      <c r="C482" s="39" t="s">
        <v>767</v>
      </c>
      <c r="D482" s="72">
        <v>313358310</v>
      </c>
      <c r="E482" s="73">
        <v>9195442791</v>
      </c>
      <c r="F482" s="39" t="s">
        <v>256</v>
      </c>
      <c r="G482" s="49">
        <v>35223</v>
      </c>
      <c r="H482" s="50" t="str">
        <f t="shared" si="14"/>
        <v>Jun</v>
      </c>
      <c r="I482" s="51">
        <f t="shared" ca="1" si="15"/>
        <v>20</v>
      </c>
      <c r="J482" s="52" t="s">
        <v>257</v>
      </c>
      <c r="K482" s="53">
        <v>75230</v>
      </c>
      <c r="L482" s="54">
        <v>2</v>
      </c>
      <c r="M482" s="55"/>
    </row>
    <row r="483" spans="1:17">
      <c r="A483" s="39" t="s">
        <v>772</v>
      </c>
      <c r="B483" s="46" t="s">
        <v>271</v>
      </c>
      <c r="C483" s="39" t="s">
        <v>767</v>
      </c>
      <c r="D483" s="72">
        <v>558903229</v>
      </c>
      <c r="E483" s="73">
        <v>9195699651</v>
      </c>
      <c r="F483" s="39" t="s">
        <v>256</v>
      </c>
      <c r="G483" s="49">
        <v>35062</v>
      </c>
      <c r="H483" s="50" t="str">
        <f t="shared" si="14"/>
        <v>Dec</v>
      </c>
      <c r="I483" s="51">
        <f t="shared" ca="1" si="15"/>
        <v>20</v>
      </c>
      <c r="J483" s="52" t="s">
        <v>257</v>
      </c>
      <c r="K483" s="53">
        <v>27980</v>
      </c>
      <c r="L483" s="54">
        <v>4</v>
      </c>
      <c r="M483" s="55"/>
    </row>
    <row r="484" spans="1:17">
      <c r="A484" s="39" t="s">
        <v>773</v>
      </c>
      <c r="B484" s="46" t="s">
        <v>245</v>
      </c>
      <c r="C484" s="39" t="s">
        <v>767</v>
      </c>
      <c r="D484" s="72">
        <v>991221095</v>
      </c>
      <c r="E484" s="73">
        <v>9194630903</v>
      </c>
      <c r="F484" s="39" t="s">
        <v>256</v>
      </c>
      <c r="G484" s="49">
        <v>36152</v>
      </c>
      <c r="H484" s="50" t="str">
        <f t="shared" si="14"/>
        <v>Dec</v>
      </c>
      <c r="I484" s="51">
        <f t="shared" ca="1" si="15"/>
        <v>17</v>
      </c>
      <c r="J484" s="52" t="s">
        <v>276</v>
      </c>
      <c r="K484" s="53">
        <v>35710</v>
      </c>
      <c r="L484" s="54">
        <v>2</v>
      </c>
      <c r="M484" s="55"/>
    </row>
    <row r="485" spans="1:17">
      <c r="A485" s="39" t="s">
        <v>774</v>
      </c>
      <c r="B485" s="46" t="s">
        <v>271</v>
      </c>
      <c r="C485" s="39" t="s">
        <v>767</v>
      </c>
      <c r="D485" s="72">
        <v>214291610</v>
      </c>
      <c r="E485" s="73">
        <v>2523858464</v>
      </c>
      <c r="F485" s="39" t="s">
        <v>256</v>
      </c>
      <c r="G485" s="49">
        <v>36220</v>
      </c>
      <c r="H485" s="50" t="str">
        <f t="shared" si="14"/>
        <v>Mar</v>
      </c>
      <c r="I485" s="51">
        <f t="shared" ca="1" si="15"/>
        <v>17</v>
      </c>
      <c r="J485" s="52" t="s">
        <v>257</v>
      </c>
      <c r="K485" s="53">
        <v>56810</v>
      </c>
      <c r="L485" s="54">
        <v>2</v>
      </c>
      <c r="M485" s="55"/>
    </row>
    <row r="486" spans="1:17">
      <c r="A486" s="39" t="s">
        <v>775</v>
      </c>
      <c r="B486" s="46" t="s">
        <v>245</v>
      </c>
      <c r="C486" s="39" t="s">
        <v>767</v>
      </c>
      <c r="D486" s="72">
        <v>525699951</v>
      </c>
      <c r="E486" s="73">
        <v>9198400261</v>
      </c>
      <c r="F486" s="39" t="s">
        <v>252</v>
      </c>
      <c r="G486" s="49">
        <v>36947</v>
      </c>
      <c r="H486" s="50" t="str">
        <f t="shared" si="14"/>
        <v>Feb</v>
      </c>
      <c r="I486" s="51">
        <f t="shared" ca="1" si="15"/>
        <v>15</v>
      </c>
      <c r="J486" s="52"/>
      <c r="K486" s="53">
        <v>17200</v>
      </c>
      <c r="L486" s="54">
        <v>5</v>
      </c>
      <c r="M486" s="55"/>
    </row>
    <row r="487" spans="1:17">
      <c r="A487" s="39" t="s">
        <v>776</v>
      </c>
      <c r="B487" s="46" t="s">
        <v>245</v>
      </c>
      <c r="C487" s="39" t="s">
        <v>767</v>
      </c>
      <c r="D487" s="72">
        <v>106686151</v>
      </c>
      <c r="E487" s="73">
        <v>2521246633</v>
      </c>
      <c r="F487" s="39" t="s">
        <v>247</v>
      </c>
      <c r="G487" s="49">
        <v>37087</v>
      </c>
      <c r="H487" s="50" t="str">
        <f t="shared" si="14"/>
        <v>Jul</v>
      </c>
      <c r="I487" s="51">
        <f t="shared" ca="1" si="15"/>
        <v>15</v>
      </c>
      <c r="J487" s="52"/>
      <c r="K487" s="53">
        <v>57020</v>
      </c>
      <c r="L487" s="54">
        <v>1</v>
      </c>
      <c r="M487" s="55"/>
    </row>
    <row r="488" spans="1:17">
      <c r="A488" s="39" t="s">
        <v>777</v>
      </c>
      <c r="B488" s="46" t="s">
        <v>271</v>
      </c>
      <c r="C488" s="39" t="s">
        <v>767</v>
      </c>
      <c r="D488" s="72">
        <v>728567428</v>
      </c>
      <c r="E488" s="73">
        <v>2521957923</v>
      </c>
      <c r="F488" s="39" t="s">
        <v>256</v>
      </c>
      <c r="G488" s="49">
        <v>41625</v>
      </c>
      <c r="H488" s="50" t="str">
        <f t="shared" si="14"/>
        <v>Dec</v>
      </c>
      <c r="I488" s="51">
        <f t="shared" ca="1" si="15"/>
        <v>2</v>
      </c>
      <c r="J488" s="52" t="s">
        <v>276</v>
      </c>
      <c r="K488" s="53">
        <v>103800</v>
      </c>
      <c r="L488" s="54">
        <v>1</v>
      </c>
      <c r="M488" s="55"/>
    </row>
    <row r="489" spans="1:17">
      <c r="A489" s="39" t="s">
        <v>778</v>
      </c>
      <c r="B489" s="46" t="s">
        <v>271</v>
      </c>
      <c r="C489" s="39" t="s">
        <v>767</v>
      </c>
      <c r="D489" s="72">
        <v>924942231</v>
      </c>
      <c r="E489" s="73">
        <v>9193279828</v>
      </c>
      <c r="F489" s="39" t="s">
        <v>261</v>
      </c>
      <c r="G489" s="49">
        <v>41167</v>
      </c>
      <c r="H489" s="50" t="str">
        <f t="shared" si="14"/>
        <v>Sep</v>
      </c>
      <c r="I489" s="51">
        <f t="shared" ca="1" si="15"/>
        <v>4</v>
      </c>
      <c r="J489" s="52" t="s">
        <v>276</v>
      </c>
      <c r="K489" s="53">
        <v>30290</v>
      </c>
      <c r="L489" s="54">
        <v>5</v>
      </c>
      <c r="M489" s="55"/>
      <c r="P489" s="75"/>
      <c r="Q489" s="75"/>
    </row>
    <row r="490" spans="1:17">
      <c r="A490" s="39" t="s">
        <v>779</v>
      </c>
      <c r="B490" s="46" t="s">
        <v>285</v>
      </c>
      <c r="C490" s="39" t="s">
        <v>767</v>
      </c>
      <c r="D490" s="72">
        <v>967035612</v>
      </c>
      <c r="E490" s="73">
        <v>2528842613</v>
      </c>
      <c r="F490" s="39" t="s">
        <v>256</v>
      </c>
      <c r="G490" s="49">
        <v>35150</v>
      </c>
      <c r="H490" s="50" t="str">
        <f t="shared" si="14"/>
        <v>Mar</v>
      </c>
      <c r="I490" s="51">
        <f t="shared" ca="1" si="15"/>
        <v>20</v>
      </c>
      <c r="J490" s="52" t="s">
        <v>276</v>
      </c>
      <c r="K490" s="53">
        <v>76130</v>
      </c>
      <c r="L490" s="54">
        <v>3</v>
      </c>
      <c r="M490" s="55"/>
    </row>
    <row r="491" spans="1:17">
      <c r="A491" s="39" t="s">
        <v>780</v>
      </c>
      <c r="B491" s="46" t="s">
        <v>285</v>
      </c>
      <c r="C491" s="39" t="s">
        <v>767</v>
      </c>
      <c r="D491" s="72">
        <v>938723321</v>
      </c>
      <c r="E491" s="73">
        <v>9196456972</v>
      </c>
      <c r="F491" s="39" t="s">
        <v>247</v>
      </c>
      <c r="G491" s="49">
        <v>37788</v>
      </c>
      <c r="H491" s="50" t="str">
        <f t="shared" si="14"/>
        <v>Jun</v>
      </c>
      <c r="I491" s="51">
        <f t="shared" ca="1" si="15"/>
        <v>13</v>
      </c>
      <c r="J491" s="52"/>
      <c r="K491" s="53">
        <v>107570</v>
      </c>
      <c r="L491" s="54">
        <v>4</v>
      </c>
      <c r="M491" s="55"/>
    </row>
    <row r="492" spans="1:17">
      <c r="A492" s="39" t="s">
        <v>781</v>
      </c>
      <c r="B492" s="46" t="s">
        <v>245</v>
      </c>
      <c r="C492" s="39" t="s">
        <v>767</v>
      </c>
      <c r="D492" s="72">
        <v>502200672</v>
      </c>
      <c r="E492" s="73">
        <v>2527925201</v>
      </c>
      <c r="F492" s="39" t="s">
        <v>247</v>
      </c>
      <c r="G492" s="49">
        <v>41411</v>
      </c>
      <c r="H492" s="50" t="str">
        <f t="shared" si="14"/>
        <v>May</v>
      </c>
      <c r="I492" s="51">
        <f t="shared" ca="1" si="15"/>
        <v>3</v>
      </c>
      <c r="J492" s="52"/>
      <c r="K492" s="53">
        <v>69220</v>
      </c>
      <c r="L492" s="54">
        <v>4</v>
      </c>
      <c r="M492" s="55"/>
    </row>
    <row r="493" spans="1:17">
      <c r="A493" s="39" t="s">
        <v>782</v>
      </c>
      <c r="B493" s="46" t="s">
        <v>271</v>
      </c>
      <c r="C493" s="39" t="s">
        <v>767</v>
      </c>
      <c r="D493" s="72">
        <v>978154935</v>
      </c>
      <c r="E493" s="73">
        <v>2521384592</v>
      </c>
      <c r="F493" s="39" t="s">
        <v>256</v>
      </c>
      <c r="G493" s="49">
        <v>37196</v>
      </c>
      <c r="H493" s="50" t="str">
        <f t="shared" si="14"/>
        <v>Nov</v>
      </c>
      <c r="I493" s="51">
        <f t="shared" ca="1" si="15"/>
        <v>15</v>
      </c>
      <c r="J493" s="52" t="s">
        <v>267</v>
      </c>
      <c r="K493" s="53">
        <v>55630</v>
      </c>
      <c r="L493" s="54">
        <v>5</v>
      </c>
      <c r="M493" s="55"/>
    </row>
    <row r="494" spans="1:17">
      <c r="A494" s="39" t="s">
        <v>783</v>
      </c>
      <c r="B494" s="46" t="s">
        <v>251</v>
      </c>
      <c r="C494" s="39" t="s">
        <v>767</v>
      </c>
      <c r="D494" s="72">
        <v>698472533</v>
      </c>
      <c r="E494" s="73">
        <v>9192917217</v>
      </c>
      <c r="F494" s="39" t="s">
        <v>247</v>
      </c>
      <c r="G494" s="49">
        <v>36700</v>
      </c>
      <c r="H494" s="50" t="str">
        <f t="shared" si="14"/>
        <v>Jun</v>
      </c>
      <c r="I494" s="51">
        <f t="shared" ca="1" si="15"/>
        <v>16</v>
      </c>
      <c r="J494" s="52"/>
      <c r="K494" s="53">
        <v>43480</v>
      </c>
      <c r="L494" s="54">
        <v>2</v>
      </c>
      <c r="M494" s="55"/>
    </row>
    <row r="495" spans="1:17">
      <c r="A495" s="39" t="s">
        <v>784</v>
      </c>
      <c r="B495" s="46" t="s">
        <v>285</v>
      </c>
      <c r="C495" s="39" t="s">
        <v>767</v>
      </c>
      <c r="D495" s="72">
        <v>349174221</v>
      </c>
      <c r="E495" s="73">
        <v>2521220758</v>
      </c>
      <c r="F495" s="39" t="s">
        <v>261</v>
      </c>
      <c r="G495" s="49">
        <v>37085</v>
      </c>
      <c r="H495" s="50" t="str">
        <f t="shared" si="14"/>
        <v>Jul</v>
      </c>
      <c r="I495" s="51">
        <f t="shared" ca="1" si="15"/>
        <v>15</v>
      </c>
      <c r="J495" s="52" t="s">
        <v>262</v>
      </c>
      <c r="K495" s="53">
        <v>54900</v>
      </c>
      <c r="L495" s="54">
        <v>5</v>
      </c>
      <c r="M495" s="55"/>
    </row>
    <row r="496" spans="1:17">
      <c r="A496" s="39" t="s">
        <v>785</v>
      </c>
      <c r="B496" s="46" t="s">
        <v>245</v>
      </c>
      <c r="C496" s="39" t="s">
        <v>767</v>
      </c>
      <c r="D496" s="72">
        <v>151277827</v>
      </c>
      <c r="E496" s="73">
        <v>9197179128</v>
      </c>
      <c r="F496" s="39" t="s">
        <v>256</v>
      </c>
      <c r="G496" s="49">
        <v>40900</v>
      </c>
      <c r="H496" s="50" t="str">
        <f t="shared" si="14"/>
        <v>Dec</v>
      </c>
      <c r="I496" s="51">
        <f t="shared" ca="1" si="15"/>
        <v>4</v>
      </c>
      <c r="J496" s="52" t="s">
        <v>257</v>
      </c>
      <c r="K496" s="53">
        <v>29750</v>
      </c>
      <c r="L496" s="54">
        <v>3</v>
      </c>
      <c r="M496" s="55"/>
    </row>
    <row r="497" spans="1:17">
      <c r="A497" s="39" t="s">
        <v>786</v>
      </c>
      <c r="B497" s="46" t="s">
        <v>285</v>
      </c>
      <c r="C497" s="39" t="s">
        <v>767</v>
      </c>
      <c r="D497" s="72">
        <v>963000861</v>
      </c>
      <c r="E497" s="73">
        <v>2522792063</v>
      </c>
      <c r="F497" s="39" t="s">
        <v>247</v>
      </c>
      <c r="G497" s="49">
        <v>36147</v>
      </c>
      <c r="H497" s="50" t="str">
        <f t="shared" si="14"/>
        <v>Dec</v>
      </c>
      <c r="I497" s="51">
        <f t="shared" ca="1" si="15"/>
        <v>17</v>
      </c>
      <c r="J497" s="52"/>
      <c r="K497" s="53">
        <v>87830</v>
      </c>
      <c r="L497" s="54">
        <v>1</v>
      </c>
      <c r="M497" s="55"/>
    </row>
    <row r="498" spans="1:17">
      <c r="A498" s="39" t="s">
        <v>787</v>
      </c>
      <c r="B498" s="46" t="s">
        <v>271</v>
      </c>
      <c r="C498" s="39" t="s">
        <v>767</v>
      </c>
      <c r="D498" s="72">
        <v>209846975</v>
      </c>
      <c r="E498" s="73">
        <v>2522639452</v>
      </c>
      <c r="F498" s="39" t="s">
        <v>261</v>
      </c>
      <c r="G498" s="49">
        <v>38250</v>
      </c>
      <c r="H498" s="50" t="str">
        <f t="shared" si="14"/>
        <v>Sep</v>
      </c>
      <c r="I498" s="51">
        <f t="shared" ca="1" si="15"/>
        <v>12</v>
      </c>
      <c r="J498" s="52" t="s">
        <v>276</v>
      </c>
      <c r="K498" s="53">
        <v>15050</v>
      </c>
      <c r="L498" s="54">
        <v>4</v>
      </c>
      <c r="M498" s="55"/>
      <c r="P498" s="75"/>
      <c r="Q498" s="75"/>
    </row>
    <row r="499" spans="1:17">
      <c r="A499" s="39" t="s">
        <v>788</v>
      </c>
      <c r="B499" s="46" t="s">
        <v>285</v>
      </c>
      <c r="C499" s="39" t="s">
        <v>767</v>
      </c>
      <c r="D499" s="72">
        <v>953109212</v>
      </c>
      <c r="E499" s="73">
        <v>9191664940</v>
      </c>
      <c r="F499" s="39" t="s">
        <v>256</v>
      </c>
      <c r="G499" s="49">
        <v>41439</v>
      </c>
      <c r="H499" s="50" t="str">
        <f t="shared" si="14"/>
        <v>Jun</v>
      </c>
      <c r="I499" s="51">
        <f t="shared" ca="1" si="15"/>
        <v>3</v>
      </c>
      <c r="J499" s="52" t="s">
        <v>267</v>
      </c>
      <c r="K499" s="53">
        <v>70980</v>
      </c>
      <c r="L499" s="54">
        <v>4</v>
      </c>
      <c r="M499" s="55"/>
    </row>
    <row r="500" spans="1:17">
      <c r="A500" s="39" t="s">
        <v>789</v>
      </c>
      <c r="B500" s="46" t="s">
        <v>251</v>
      </c>
      <c r="C500" s="39" t="s">
        <v>767</v>
      </c>
      <c r="D500" s="72">
        <v>265323292</v>
      </c>
      <c r="E500" s="73">
        <v>2522939413</v>
      </c>
      <c r="F500" s="39" t="s">
        <v>256</v>
      </c>
      <c r="G500" s="49">
        <v>37137</v>
      </c>
      <c r="H500" s="50" t="str">
        <f t="shared" si="14"/>
        <v>Sep</v>
      </c>
      <c r="I500" s="51">
        <f t="shared" ca="1" si="15"/>
        <v>15</v>
      </c>
      <c r="J500" s="52" t="s">
        <v>283</v>
      </c>
      <c r="K500" s="53">
        <v>54000</v>
      </c>
      <c r="L500" s="54">
        <v>4</v>
      </c>
      <c r="M500" s="55"/>
    </row>
    <row r="501" spans="1:17">
      <c r="A501" s="39" t="s">
        <v>790</v>
      </c>
      <c r="B501" s="46" t="s">
        <v>266</v>
      </c>
      <c r="C501" s="39" t="s">
        <v>767</v>
      </c>
      <c r="D501" s="72">
        <v>868364739</v>
      </c>
      <c r="E501" s="73">
        <v>9195255121</v>
      </c>
      <c r="F501" s="39" t="s">
        <v>261</v>
      </c>
      <c r="G501" s="49">
        <v>41294</v>
      </c>
      <c r="H501" s="50" t="str">
        <f t="shared" si="14"/>
        <v>Jan</v>
      </c>
      <c r="I501" s="51">
        <f t="shared" ca="1" si="15"/>
        <v>3</v>
      </c>
      <c r="J501" s="52" t="s">
        <v>257</v>
      </c>
      <c r="K501" s="53">
        <v>14170</v>
      </c>
      <c r="L501" s="54">
        <v>1</v>
      </c>
      <c r="M501" s="55"/>
    </row>
    <row r="502" spans="1:17">
      <c r="A502" s="39" t="s">
        <v>791</v>
      </c>
      <c r="B502" s="46" t="s">
        <v>285</v>
      </c>
      <c r="C502" s="39" t="s">
        <v>767</v>
      </c>
      <c r="D502" s="72">
        <v>528258211</v>
      </c>
      <c r="E502" s="73">
        <v>9194727385</v>
      </c>
      <c r="F502" s="39" t="s">
        <v>256</v>
      </c>
      <c r="G502" s="49">
        <v>34129</v>
      </c>
      <c r="H502" s="50" t="str">
        <f t="shared" si="14"/>
        <v>Jun</v>
      </c>
      <c r="I502" s="51">
        <f t="shared" ca="1" si="15"/>
        <v>23</v>
      </c>
      <c r="J502" s="52" t="s">
        <v>267</v>
      </c>
      <c r="K502" s="53">
        <v>55330</v>
      </c>
      <c r="L502" s="54">
        <v>4</v>
      </c>
      <c r="M502" s="55"/>
    </row>
    <row r="503" spans="1:17">
      <c r="A503" s="39" t="s">
        <v>792</v>
      </c>
      <c r="B503" s="46" t="s">
        <v>245</v>
      </c>
      <c r="C503" s="39" t="s">
        <v>767</v>
      </c>
      <c r="D503" s="72">
        <v>217968415</v>
      </c>
      <c r="E503" s="73">
        <v>2522814530</v>
      </c>
      <c r="F503" s="39" t="s">
        <v>256</v>
      </c>
      <c r="G503" s="49">
        <v>36822</v>
      </c>
      <c r="H503" s="50" t="str">
        <f t="shared" si="14"/>
        <v>Oct</v>
      </c>
      <c r="I503" s="51">
        <f t="shared" ca="1" si="15"/>
        <v>16</v>
      </c>
      <c r="J503" s="52" t="s">
        <v>267</v>
      </c>
      <c r="K503" s="53">
        <v>27440</v>
      </c>
      <c r="L503" s="54">
        <v>3</v>
      </c>
      <c r="M503" s="55"/>
    </row>
    <row r="504" spans="1:17">
      <c r="A504" s="39" t="s">
        <v>793</v>
      </c>
      <c r="B504" s="46" t="s">
        <v>245</v>
      </c>
      <c r="C504" s="39" t="s">
        <v>767</v>
      </c>
      <c r="D504" s="72">
        <v>808012612</v>
      </c>
      <c r="E504" s="73">
        <v>9193717553</v>
      </c>
      <c r="F504" s="39" t="s">
        <v>247</v>
      </c>
      <c r="G504" s="49">
        <v>34659</v>
      </c>
      <c r="H504" s="50" t="str">
        <f t="shared" si="14"/>
        <v>Nov</v>
      </c>
      <c r="I504" s="51">
        <f t="shared" ca="1" si="15"/>
        <v>21</v>
      </c>
      <c r="J504" s="52"/>
      <c r="K504" s="53">
        <v>72660</v>
      </c>
      <c r="L504" s="54">
        <v>2</v>
      </c>
      <c r="M504" s="55"/>
    </row>
    <row r="505" spans="1:17">
      <c r="A505" s="39" t="s">
        <v>794</v>
      </c>
      <c r="B505" s="46" t="s">
        <v>245</v>
      </c>
      <c r="C505" s="39" t="s">
        <v>767</v>
      </c>
      <c r="D505" s="72">
        <v>452255054</v>
      </c>
      <c r="E505" s="73">
        <v>9196114005</v>
      </c>
      <c r="F505" s="39" t="s">
        <v>247</v>
      </c>
      <c r="G505" s="49">
        <v>34579</v>
      </c>
      <c r="H505" s="50" t="str">
        <f t="shared" si="14"/>
        <v>Sep</v>
      </c>
      <c r="I505" s="51">
        <f t="shared" ca="1" si="15"/>
        <v>22</v>
      </c>
      <c r="J505" s="52"/>
      <c r="K505" s="53">
        <v>61010</v>
      </c>
      <c r="L505" s="54">
        <v>4</v>
      </c>
      <c r="M505" s="55"/>
    </row>
    <row r="506" spans="1:17">
      <c r="A506" s="39" t="s">
        <v>795</v>
      </c>
      <c r="B506" s="46" t="s">
        <v>285</v>
      </c>
      <c r="C506" s="39" t="s">
        <v>767</v>
      </c>
      <c r="D506" s="72">
        <v>965916299</v>
      </c>
      <c r="E506" s="73">
        <v>9193552027</v>
      </c>
      <c r="F506" s="39" t="s">
        <v>256</v>
      </c>
      <c r="G506" s="49">
        <v>36694</v>
      </c>
      <c r="H506" s="50" t="str">
        <f t="shared" si="14"/>
        <v>Jun</v>
      </c>
      <c r="I506" s="51">
        <f t="shared" ca="1" si="15"/>
        <v>16</v>
      </c>
      <c r="J506" s="52" t="s">
        <v>262</v>
      </c>
      <c r="K506" s="53">
        <v>29210</v>
      </c>
      <c r="L506" s="54">
        <v>4</v>
      </c>
      <c r="M506" s="55"/>
    </row>
    <row r="507" spans="1:17">
      <c r="A507" s="39" t="s">
        <v>796</v>
      </c>
      <c r="B507" s="46" t="s">
        <v>271</v>
      </c>
      <c r="C507" s="39" t="s">
        <v>767</v>
      </c>
      <c r="D507" s="72">
        <v>561530671</v>
      </c>
      <c r="E507" s="73">
        <v>9192999652</v>
      </c>
      <c r="F507" s="39" t="s">
        <v>256</v>
      </c>
      <c r="G507" s="49">
        <v>34511</v>
      </c>
      <c r="H507" s="50" t="str">
        <f t="shared" si="14"/>
        <v>Jun</v>
      </c>
      <c r="I507" s="51">
        <f t="shared" ca="1" si="15"/>
        <v>22</v>
      </c>
      <c r="J507" s="52" t="s">
        <v>262</v>
      </c>
      <c r="K507" s="53">
        <v>65400</v>
      </c>
      <c r="L507" s="54">
        <v>5</v>
      </c>
      <c r="M507" s="55"/>
    </row>
    <row r="508" spans="1:17">
      <c r="A508" s="39" t="s">
        <v>797</v>
      </c>
      <c r="B508" s="46" t="s">
        <v>285</v>
      </c>
      <c r="C508" s="39" t="s">
        <v>767</v>
      </c>
      <c r="D508" s="72">
        <v>302170290</v>
      </c>
      <c r="E508" s="73">
        <v>9191971988</v>
      </c>
      <c r="F508" s="39" t="s">
        <v>256</v>
      </c>
      <c r="G508" s="49">
        <v>36529</v>
      </c>
      <c r="H508" s="50" t="str">
        <f t="shared" si="14"/>
        <v>Jan</v>
      </c>
      <c r="I508" s="51">
        <f t="shared" ca="1" si="15"/>
        <v>16</v>
      </c>
      <c r="J508" s="52" t="s">
        <v>257</v>
      </c>
      <c r="K508" s="53">
        <v>75920</v>
      </c>
      <c r="L508" s="54">
        <v>1</v>
      </c>
      <c r="M508" s="55"/>
    </row>
    <row r="509" spans="1:17">
      <c r="A509" s="39" t="s">
        <v>798</v>
      </c>
      <c r="B509" s="46" t="s">
        <v>245</v>
      </c>
      <c r="C509" s="39" t="s">
        <v>767</v>
      </c>
      <c r="D509" s="72">
        <v>643979374</v>
      </c>
      <c r="E509" s="73">
        <v>2521230519</v>
      </c>
      <c r="F509" s="39" t="s">
        <v>247</v>
      </c>
      <c r="G509" s="49">
        <v>36542</v>
      </c>
      <c r="H509" s="50" t="str">
        <f t="shared" si="14"/>
        <v>Jan</v>
      </c>
      <c r="I509" s="51">
        <f t="shared" ca="1" si="15"/>
        <v>16</v>
      </c>
      <c r="J509" s="52"/>
      <c r="K509" s="53">
        <v>59440</v>
      </c>
      <c r="L509" s="54">
        <v>4</v>
      </c>
      <c r="M509" s="55"/>
    </row>
    <row r="510" spans="1:17">
      <c r="A510" s="39" t="s">
        <v>799</v>
      </c>
      <c r="B510" s="46" t="s">
        <v>245</v>
      </c>
      <c r="C510" s="39" t="s">
        <v>767</v>
      </c>
      <c r="D510" s="72">
        <v>433314045</v>
      </c>
      <c r="E510" s="73">
        <v>2522543210</v>
      </c>
      <c r="F510" s="39" t="s">
        <v>247</v>
      </c>
      <c r="G510" s="49">
        <v>34639</v>
      </c>
      <c r="H510" s="50" t="str">
        <f t="shared" si="14"/>
        <v>Nov</v>
      </c>
      <c r="I510" s="51">
        <f t="shared" ca="1" si="15"/>
        <v>22</v>
      </c>
      <c r="J510" s="52"/>
      <c r="K510" s="53">
        <v>57110</v>
      </c>
      <c r="L510" s="54">
        <v>3</v>
      </c>
      <c r="M510" s="55"/>
    </row>
    <row r="511" spans="1:17">
      <c r="A511" s="39" t="s">
        <v>800</v>
      </c>
      <c r="B511" s="46" t="s">
        <v>266</v>
      </c>
      <c r="C511" s="39" t="s">
        <v>767</v>
      </c>
      <c r="D511" s="72">
        <v>920265140</v>
      </c>
      <c r="E511" s="73">
        <v>2524078104</v>
      </c>
      <c r="F511" s="39" t="s">
        <v>256</v>
      </c>
      <c r="G511" s="49">
        <v>39791</v>
      </c>
      <c r="H511" s="50" t="str">
        <f t="shared" si="14"/>
        <v>Dec</v>
      </c>
      <c r="I511" s="51">
        <f t="shared" ca="1" si="15"/>
        <v>7</v>
      </c>
      <c r="J511" s="52" t="s">
        <v>262</v>
      </c>
      <c r="K511" s="53">
        <v>75230</v>
      </c>
      <c r="L511" s="54">
        <v>3</v>
      </c>
      <c r="M511" s="55"/>
    </row>
    <row r="512" spans="1:17">
      <c r="A512" s="39" t="s">
        <v>801</v>
      </c>
      <c r="B512" s="46" t="s">
        <v>271</v>
      </c>
      <c r="C512" s="39" t="s">
        <v>767</v>
      </c>
      <c r="D512" s="72">
        <v>554029540</v>
      </c>
      <c r="E512" s="73">
        <v>2521544288</v>
      </c>
      <c r="F512" s="39" t="s">
        <v>247</v>
      </c>
      <c r="G512" s="49">
        <v>34235</v>
      </c>
      <c r="H512" s="50" t="str">
        <f t="shared" si="14"/>
        <v>Sep</v>
      </c>
      <c r="I512" s="51">
        <f t="shared" ca="1" si="15"/>
        <v>23</v>
      </c>
      <c r="J512" s="52"/>
      <c r="K512" s="53">
        <v>70380</v>
      </c>
      <c r="L512" s="54">
        <v>4</v>
      </c>
      <c r="M512" s="55"/>
    </row>
    <row r="513" spans="1:13">
      <c r="A513" s="39" t="s">
        <v>802</v>
      </c>
      <c r="B513" s="46" t="s">
        <v>280</v>
      </c>
      <c r="C513" s="39" t="s">
        <v>767</v>
      </c>
      <c r="D513" s="72">
        <v>445693854</v>
      </c>
      <c r="E513" s="73">
        <v>9192891217</v>
      </c>
      <c r="F513" s="39" t="s">
        <v>247</v>
      </c>
      <c r="G513" s="49">
        <v>35916</v>
      </c>
      <c r="H513" s="50" t="str">
        <f t="shared" si="14"/>
        <v>May</v>
      </c>
      <c r="I513" s="51">
        <f t="shared" ca="1" si="15"/>
        <v>18</v>
      </c>
      <c r="J513" s="52"/>
      <c r="K513" s="53">
        <v>92240</v>
      </c>
      <c r="L513" s="54">
        <v>5</v>
      </c>
      <c r="M513" s="55"/>
    </row>
    <row r="514" spans="1:13">
      <c r="A514" s="39" t="s">
        <v>803</v>
      </c>
      <c r="B514" s="46" t="s">
        <v>280</v>
      </c>
      <c r="C514" s="39" t="s">
        <v>767</v>
      </c>
      <c r="D514" s="72">
        <v>451159170</v>
      </c>
      <c r="E514" s="73">
        <v>2522604602</v>
      </c>
      <c r="F514" s="39" t="s">
        <v>261</v>
      </c>
      <c r="G514" s="49">
        <v>36827</v>
      </c>
      <c r="H514" s="50" t="str">
        <f t="shared" ref="H514:H577" si="16">CHOOSE(MONTH(G514),"Jan","Feb","Mar","Apr","May","Jun","Jul","Aug","Sep","Oct","Nov","Dec")</f>
        <v>Oct</v>
      </c>
      <c r="I514" s="51">
        <f t="shared" ref="I514:I577" ca="1" si="17">DATEDIF(G514,TODAY(),"Y")</f>
        <v>16</v>
      </c>
      <c r="J514" s="52" t="s">
        <v>257</v>
      </c>
      <c r="K514" s="53">
        <v>37450</v>
      </c>
      <c r="L514" s="54">
        <v>2</v>
      </c>
      <c r="M514" s="55"/>
    </row>
    <row r="515" spans="1:13">
      <c r="A515" s="39" t="s">
        <v>804</v>
      </c>
      <c r="B515" s="46" t="s">
        <v>271</v>
      </c>
      <c r="C515" s="39" t="s">
        <v>767</v>
      </c>
      <c r="D515" s="72">
        <v>494754997</v>
      </c>
      <c r="E515" s="73">
        <v>9195617115</v>
      </c>
      <c r="F515" s="39" t="s">
        <v>247</v>
      </c>
      <c r="G515" s="49">
        <v>35727</v>
      </c>
      <c r="H515" s="50" t="str">
        <f t="shared" si="16"/>
        <v>Oct</v>
      </c>
      <c r="I515" s="51">
        <f t="shared" ca="1" si="17"/>
        <v>19</v>
      </c>
      <c r="J515" s="52"/>
      <c r="K515" s="53">
        <v>39740</v>
      </c>
      <c r="L515" s="54">
        <v>2</v>
      </c>
      <c r="M515" s="55"/>
    </row>
    <row r="516" spans="1:13">
      <c r="A516" s="39" t="s">
        <v>805</v>
      </c>
      <c r="B516" s="46" t="s">
        <v>285</v>
      </c>
      <c r="C516" s="39" t="s">
        <v>767</v>
      </c>
      <c r="D516" s="72">
        <v>394876677</v>
      </c>
      <c r="E516" s="73">
        <v>2522551469</v>
      </c>
      <c r="F516" s="39" t="s">
        <v>256</v>
      </c>
      <c r="G516" s="49">
        <v>36617</v>
      </c>
      <c r="H516" s="50" t="str">
        <f t="shared" si="16"/>
        <v>Apr</v>
      </c>
      <c r="I516" s="51">
        <f t="shared" ca="1" si="17"/>
        <v>16</v>
      </c>
      <c r="J516" s="52" t="s">
        <v>283</v>
      </c>
      <c r="K516" s="53">
        <v>40870</v>
      </c>
      <c r="L516" s="54">
        <v>2</v>
      </c>
      <c r="M516" s="55"/>
    </row>
    <row r="517" spans="1:13">
      <c r="A517" s="39" t="s">
        <v>806</v>
      </c>
      <c r="B517" s="46" t="s">
        <v>271</v>
      </c>
      <c r="C517" s="39" t="s">
        <v>767</v>
      </c>
      <c r="D517" s="72">
        <v>113252240</v>
      </c>
      <c r="E517" s="73">
        <v>2526712695</v>
      </c>
      <c r="F517" s="39" t="s">
        <v>256</v>
      </c>
      <c r="G517" s="49">
        <v>37537</v>
      </c>
      <c r="H517" s="50" t="str">
        <f t="shared" si="16"/>
        <v>Oct</v>
      </c>
      <c r="I517" s="51">
        <f t="shared" ca="1" si="17"/>
        <v>14</v>
      </c>
      <c r="J517" s="52" t="s">
        <v>257</v>
      </c>
      <c r="K517" s="53">
        <v>74880</v>
      </c>
      <c r="L517" s="54">
        <v>4</v>
      </c>
      <c r="M517" s="55"/>
    </row>
    <row r="518" spans="1:13">
      <c r="A518" s="39" t="s">
        <v>807</v>
      </c>
      <c r="B518" s="46" t="s">
        <v>285</v>
      </c>
      <c r="C518" s="39" t="s">
        <v>767</v>
      </c>
      <c r="D518" s="72">
        <v>765512793</v>
      </c>
      <c r="E518" s="73">
        <v>9197686976</v>
      </c>
      <c r="F518" s="39" t="s">
        <v>256</v>
      </c>
      <c r="G518" s="49">
        <v>40865</v>
      </c>
      <c r="H518" s="50" t="str">
        <f t="shared" si="16"/>
        <v>Nov</v>
      </c>
      <c r="I518" s="51">
        <f t="shared" ca="1" si="17"/>
        <v>4</v>
      </c>
      <c r="J518" s="52" t="s">
        <v>257</v>
      </c>
      <c r="K518" s="53">
        <v>77180</v>
      </c>
      <c r="L518" s="54">
        <v>5</v>
      </c>
      <c r="M518" s="55"/>
    </row>
    <row r="519" spans="1:13">
      <c r="A519" s="39" t="s">
        <v>808</v>
      </c>
      <c r="B519" s="46" t="s">
        <v>271</v>
      </c>
      <c r="C519" s="39" t="s">
        <v>767</v>
      </c>
      <c r="D519" s="72">
        <v>880747384</v>
      </c>
      <c r="E519" s="73">
        <v>9195220001</v>
      </c>
      <c r="F519" s="39" t="s">
        <v>256</v>
      </c>
      <c r="G519" s="49">
        <v>34527</v>
      </c>
      <c r="H519" s="50" t="str">
        <f t="shared" si="16"/>
        <v>Jul</v>
      </c>
      <c r="I519" s="51">
        <f t="shared" ca="1" si="17"/>
        <v>22</v>
      </c>
      <c r="J519" s="52" t="s">
        <v>267</v>
      </c>
      <c r="K519" s="53">
        <v>95280</v>
      </c>
      <c r="L519" s="54">
        <v>4</v>
      </c>
      <c r="M519" s="55"/>
    </row>
    <row r="520" spans="1:13">
      <c r="A520" s="39" t="s">
        <v>809</v>
      </c>
      <c r="B520" s="46" t="s">
        <v>245</v>
      </c>
      <c r="C520" s="39" t="s">
        <v>767</v>
      </c>
      <c r="D520" s="72">
        <v>378882665</v>
      </c>
      <c r="E520" s="73">
        <v>2526079829</v>
      </c>
      <c r="F520" s="39" t="s">
        <v>261</v>
      </c>
      <c r="G520" s="49">
        <v>34672</v>
      </c>
      <c r="H520" s="50" t="str">
        <f t="shared" si="16"/>
        <v>Dec</v>
      </c>
      <c r="I520" s="51">
        <f t="shared" ca="1" si="17"/>
        <v>21</v>
      </c>
      <c r="J520" s="52" t="s">
        <v>257</v>
      </c>
      <c r="K520" s="53">
        <v>55660</v>
      </c>
      <c r="L520" s="54">
        <v>3</v>
      </c>
      <c r="M520" s="55"/>
    </row>
    <row r="521" spans="1:13">
      <c r="A521" s="39" t="s">
        <v>810</v>
      </c>
      <c r="B521" s="46" t="s">
        <v>285</v>
      </c>
      <c r="C521" s="39" t="s">
        <v>767</v>
      </c>
      <c r="D521" s="72">
        <v>933883118</v>
      </c>
      <c r="E521" s="73">
        <v>2523294956</v>
      </c>
      <c r="F521" s="39" t="s">
        <v>247</v>
      </c>
      <c r="G521" s="49">
        <v>35659</v>
      </c>
      <c r="H521" s="50" t="str">
        <f t="shared" si="16"/>
        <v>Aug</v>
      </c>
      <c r="I521" s="51">
        <f t="shared" ca="1" si="17"/>
        <v>19</v>
      </c>
      <c r="J521" s="52"/>
      <c r="K521" s="53">
        <v>103180</v>
      </c>
      <c r="L521" s="54">
        <v>2</v>
      </c>
      <c r="M521" s="55"/>
    </row>
    <row r="522" spans="1:13">
      <c r="A522" s="39" t="s">
        <v>811</v>
      </c>
      <c r="B522" s="46" t="s">
        <v>266</v>
      </c>
      <c r="C522" s="39" t="s">
        <v>767</v>
      </c>
      <c r="D522" s="72">
        <v>437460422</v>
      </c>
      <c r="E522" s="73">
        <v>2528439277</v>
      </c>
      <c r="F522" s="39" t="s">
        <v>261</v>
      </c>
      <c r="G522" s="49">
        <v>39724</v>
      </c>
      <c r="H522" s="50" t="str">
        <f t="shared" si="16"/>
        <v>Oct</v>
      </c>
      <c r="I522" s="51">
        <f t="shared" ca="1" si="17"/>
        <v>8</v>
      </c>
      <c r="J522" s="52" t="s">
        <v>283</v>
      </c>
      <c r="K522" s="53">
        <v>12760</v>
      </c>
      <c r="L522" s="54">
        <v>3</v>
      </c>
      <c r="M522" s="55"/>
    </row>
    <row r="523" spans="1:13">
      <c r="A523" s="39" t="s">
        <v>812</v>
      </c>
      <c r="B523" s="46" t="s">
        <v>271</v>
      </c>
      <c r="C523" s="39" t="s">
        <v>767</v>
      </c>
      <c r="D523" s="72">
        <v>358017400</v>
      </c>
      <c r="E523" s="73">
        <v>2523265407</v>
      </c>
      <c r="F523" s="39" t="s">
        <v>252</v>
      </c>
      <c r="G523" s="49">
        <v>37381</v>
      </c>
      <c r="H523" s="50" t="str">
        <f t="shared" si="16"/>
        <v>May</v>
      </c>
      <c r="I523" s="51">
        <f t="shared" ca="1" si="17"/>
        <v>14</v>
      </c>
      <c r="J523" s="52"/>
      <c r="K523" s="53">
        <v>43260</v>
      </c>
      <c r="L523" s="54">
        <v>5</v>
      </c>
      <c r="M523" s="55"/>
    </row>
    <row r="524" spans="1:13">
      <c r="A524" s="39" t="s">
        <v>813</v>
      </c>
      <c r="B524" s="46" t="s">
        <v>245</v>
      </c>
      <c r="C524" s="39" t="s">
        <v>767</v>
      </c>
      <c r="D524" s="72">
        <v>476243591</v>
      </c>
      <c r="E524" s="73">
        <v>9197188067</v>
      </c>
      <c r="F524" s="39" t="s">
        <v>256</v>
      </c>
      <c r="G524" s="49">
        <v>35990</v>
      </c>
      <c r="H524" s="50" t="str">
        <f t="shared" si="16"/>
        <v>Jul</v>
      </c>
      <c r="I524" s="51">
        <f t="shared" ca="1" si="17"/>
        <v>18</v>
      </c>
      <c r="J524" s="52" t="s">
        <v>257</v>
      </c>
      <c r="K524" s="53">
        <v>60680</v>
      </c>
      <c r="L524" s="54">
        <v>4</v>
      </c>
      <c r="M524" s="55"/>
    </row>
    <row r="525" spans="1:13">
      <c r="A525" s="39" t="s">
        <v>814</v>
      </c>
      <c r="B525" s="46" t="s">
        <v>285</v>
      </c>
      <c r="C525" s="39" t="s">
        <v>767</v>
      </c>
      <c r="D525" s="72">
        <v>475671127</v>
      </c>
      <c r="E525" s="73">
        <v>9196650531</v>
      </c>
      <c r="F525" s="39" t="s">
        <v>256</v>
      </c>
      <c r="G525" s="49">
        <v>36959</v>
      </c>
      <c r="H525" s="50" t="str">
        <f t="shared" si="16"/>
        <v>Mar</v>
      </c>
      <c r="I525" s="51">
        <f t="shared" ca="1" si="17"/>
        <v>15</v>
      </c>
      <c r="J525" s="52" t="s">
        <v>283</v>
      </c>
      <c r="K525" s="53">
        <v>73700</v>
      </c>
      <c r="L525" s="54">
        <v>4</v>
      </c>
      <c r="M525" s="55"/>
    </row>
    <row r="526" spans="1:13">
      <c r="A526" s="39" t="s">
        <v>815</v>
      </c>
      <c r="B526" s="46" t="s">
        <v>251</v>
      </c>
      <c r="C526" s="39" t="s">
        <v>767</v>
      </c>
      <c r="D526" s="72">
        <v>343185481</v>
      </c>
      <c r="E526" s="73">
        <v>9196446519</v>
      </c>
      <c r="F526" s="39" t="s">
        <v>256</v>
      </c>
      <c r="G526" s="49">
        <v>36919</v>
      </c>
      <c r="H526" s="50" t="str">
        <f t="shared" si="16"/>
        <v>Jan</v>
      </c>
      <c r="I526" s="51">
        <f t="shared" ca="1" si="17"/>
        <v>15</v>
      </c>
      <c r="J526" s="52" t="s">
        <v>262</v>
      </c>
      <c r="K526" s="53">
        <v>88490</v>
      </c>
      <c r="L526" s="54">
        <v>4</v>
      </c>
      <c r="M526" s="55"/>
    </row>
    <row r="527" spans="1:13">
      <c r="A527" s="39" t="s">
        <v>816</v>
      </c>
      <c r="B527" s="46" t="s">
        <v>271</v>
      </c>
      <c r="C527" s="39" t="s">
        <v>767</v>
      </c>
      <c r="D527" s="72">
        <v>959750235</v>
      </c>
      <c r="E527" s="73">
        <v>2528488350</v>
      </c>
      <c r="F527" s="39" t="s">
        <v>256</v>
      </c>
      <c r="G527" s="49">
        <v>41138</v>
      </c>
      <c r="H527" s="50" t="str">
        <f t="shared" si="16"/>
        <v>Aug</v>
      </c>
      <c r="I527" s="51">
        <f t="shared" ca="1" si="17"/>
        <v>4</v>
      </c>
      <c r="J527" s="52" t="s">
        <v>257</v>
      </c>
      <c r="K527" s="53">
        <v>65030</v>
      </c>
      <c r="L527" s="54">
        <v>4</v>
      </c>
      <c r="M527" s="55"/>
    </row>
    <row r="528" spans="1:13">
      <c r="A528" s="39" t="s">
        <v>817</v>
      </c>
      <c r="B528" s="46" t="s">
        <v>285</v>
      </c>
      <c r="C528" s="39" t="s">
        <v>767</v>
      </c>
      <c r="D528" s="72">
        <v>569882669</v>
      </c>
      <c r="E528" s="73">
        <v>2523122083</v>
      </c>
      <c r="F528" s="39" t="s">
        <v>256</v>
      </c>
      <c r="G528" s="49">
        <v>38569</v>
      </c>
      <c r="H528" s="50" t="str">
        <f t="shared" si="16"/>
        <v>Aug</v>
      </c>
      <c r="I528" s="51">
        <f t="shared" ca="1" si="17"/>
        <v>11</v>
      </c>
      <c r="J528" s="52" t="s">
        <v>262</v>
      </c>
      <c r="K528" s="53">
        <v>54120</v>
      </c>
      <c r="L528" s="54">
        <v>2</v>
      </c>
      <c r="M528" s="55"/>
    </row>
    <row r="529" spans="1:13">
      <c r="A529" s="39" t="s">
        <v>818</v>
      </c>
      <c r="B529" s="46" t="s">
        <v>280</v>
      </c>
      <c r="C529" s="39" t="s">
        <v>767</v>
      </c>
      <c r="D529" s="72">
        <v>369210573</v>
      </c>
      <c r="E529" s="73">
        <v>2526555049</v>
      </c>
      <c r="F529" s="39" t="s">
        <v>261</v>
      </c>
      <c r="G529" s="49">
        <v>37218</v>
      </c>
      <c r="H529" s="50" t="str">
        <f t="shared" si="16"/>
        <v>Nov</v>
      </c>
      <c r="I529" s="51">
        <f t="shared" ca="1" si="17"/>
        <v>14</v>
      </c>
      <c r="J529" s="52" t="s">
        <v>283</v>
      </c>
      <c r="K529" s="53">
        <v>26970</v>
      </c>
      <c r="L529" s="54">
        <v>4</v>
      </c>
      <c r="M529" s="55"/>
    </row>
    <row r="530" spans="1:13">
      <c r="A530" s="39" t="s">
        <v>819</v>
      </c>
      <c r="B530" s="46" t="s">
        <v>271</v>
      </c>
      <c r="C530" s="39" t="s">
        <v>767</v>
      </c>
      <c r="D530" s="72">
        <v>317193890</v>
      </c>
      <c r="E530" s="73">
        <v>9192350434</v>
      </c>
      <c r="F530" s="39" t="s">
        <v>256</v>
      </c>
      <c r="G530" s="49">
        <v>35170</v>
      </c>
      <c r="H530" s="50" t="str">
        <f t="shared" si="16"/>
        <v>Apr</v>
      </c>
      <c r="I530" s="51">
        <f t="shared" ca="1" si="17"/>
        <v>20</v>
      </c>
      <c r="J530" s="52" t="s">
        <v>267</v>
      </c>
      <c r="K530" s="53">
        <v>83300</v>
      </c>
      <c r="L530" s="54">
        <v>2</v>
      </c>
      <c r="M530" s="55"/>
    </row>
    <row r="531" spans="1:13">
      <c r="A531" s="39" t="s">
        <v>820</v>
      </c>
      <c r="B531" s="46" t="s">
        <v>285</v>
      </c>
      <c r="C531" s="39" t="s">
        <v>767</v>
      </c>
      <c r="D531" s="72">
        <v>552528553</v>
      </c>
      <c r="E531" s="73">
        <v>9194310812</v>
      </c>
      <c r="F531" s="39" t="s">
        <v>252</v>
      </c>
      <c r="G531" s="49">
        <v>37341</v>
      </c>
      <c r="H531" s="50" t="str">
        <f t="shared" si="16"/>
        <v>Mar</v>
      </c>
      <c r="I531" s="51">
        <f t="shared" ca="1" si="17"/>
        <v>14</v>
      </c>
      <c r="J531" s="52"/>
      <c r="K531" s="53">
        <v>44420</v>
      </c>
      <c r="L531" s="54">
        <v>4</v>
      </c>
      <c r="M531" s="55"/>
    </row>
    <row r="532" spans="1:13">
      <c r="A532" s="39" t="s">
        <v>821</v>
      </c>
      <c r="B532" s="46" t="s">
        <v>280</v>
      </c>
      <c r="C532" s="39" t="s">
        <v>767</v>
      </c>
      <c r="D532" s="72">
        <v>886332647</v>
      </c>
      <c r="E532" s="73">
        <v>2526698101</v>
      </c>
      <c r="F532" s="39" t="s">
        <v>256</v>
      </c>
      <c r="G532" s="49">
        <v>38849</v>
      </c>
      <c r="H532" s="50" t="str">
        <f t="shared" si="16"/>
        <v>May</v>
      </c>
      <c r="I532" s="51">
        <f t="shared" ca="1" si="17"/>
        <v>10</v>
      </c>
      <c r="J532" s="52" t="s">
        <v>262</v>
      </c>
      <c r="K532" s="53">
        <v>92290</v>
      </c>
      <c r="L532" s="54">
        <v>2</v>
      </c>
      <c r="M532" s="55"/>
    </row>
    <row r="533" spans="1:13">
      <c r="A533" s="39" t="s">
        <v>822</v>
      </c>
      <c r="B533" s="46" t="s">
        <v>271</v>
      </c>
      <c r="C533" s="39" t="s">
        <v>767</v>
      </c>
      <c r="D533" s="72">
        <v>191359642</v>
      </c>
      <c r="E533" s="73">
        <v>2528687353</v>
      </c>
      <c r="F533" s="39" t="s">
        <v>256</v>
      </c>
      <c r="G533" s="49">
        <v>34362</v>
      </c>
      <c r="H533" s="50" t="str">
        <f t="shared" si="16"/>
        <v>Jan</v>
      </c>
      <c r="I533" s="51">
        <f t="shared" ca="1" si="17"/>
        <v>22</v>
      </c>
      <c r="J533" s="52" t="s">
        <v>257</v>
      </c>
      <c r="K533" s="53">
        <v>28910</v>
      </c>
      <c r="L533" s="54">
        <v>4</v>
      </c>
      <c r="M533" s="55"/>
    </row>
    <row r="534" spans="1:13">
      <c r="A534" s="39" t="s">
        <v>823</v>
      </c>
      <c r="B534" s="46" t="s">
        <v>271</v>
      </c>
      <c r="C534" s="39" t="s">
        <v>767</v>
      </c>
      <c r="D534" s="72">
        <v>387131597</v>
      </c>
      <c r="E534" s="73">
        <v>9191963194</v>
      </c>
      <c r="F534" s="39" t="s">
        <v>247</v>
      </c>
      <c r="G534" s="49">
        <v>34516</v>
      </c>
      <c r="H534" s="50" t="str">
        <f t="shared" si="16"/>
        <v>Jul</v>
      </c>
      <c r="I534" s="51">
        <f t="shared" ca="1" si="17"/>
        <v>22</v>
      </c>
      <c r="J534" s="52"/>
      <c r="K534" s="53">
        <v>63300</v>
      </c>
      <c r="L534" s="54">
        <v>1</v>
      </c>
      <c r="M534" s="55"/>
    </row>
    <row r="535" spans="1:13">
      <c r="A535" s="39" t="s">
        <v>824</v>
      </c>
      <c r="B535" s="46" t="s">
        <v>285</v>
      </c>
      <c r="C535" s="39" t="s">
        <v>767</v>
      </c>
      <c r="D535" s="72">
        <v>556327593</v>
      </c>
      <c r="E535" s="73">
        <v>2523324762</v>
      </c>
      <c r="F535" s="39" t="s">
        <v>247</v>
      </c>
      <c r="G535" s="49">
        <v>36302</v>
      </c>
      <c r="H535" s="50" t="str">
        <f t="shared" si="16"/>
        <v>May</v>
      </c>
      <c r="I535" s="51">
        <f t="shared" ca="1" si="17"/>
        <v>17</v>
      </c>
      <c r="J535" s="52"/>
      <c r="K535" s="53">
        <v>72080</v>
      </c>
      <c r="L535" s="54">
        <v>2</v>
      </c>
      <c r="M535" s="55"/>
    </row>
    <row r="536" spans="1:13">
      <c r="A536" s="39" t="s">
        <v>825</v>
      </c>
      <c r="B536" s="46" t="s">
        <v>285</v>
      </c>
      <c r="C536" s="39" t="s">
        <v>767</v>
      </c>
      <c r="D536" s="72">
        <v>160662505</v>
      </c>
      <c r="E536" s="73">
        <v>2526427045</v>
      </c>
      <c r="F536" s="39" t="s">
        <v>247</v>
      </c>
      <c r="G536" s="49">
        <v>38527</v>
      </c>
      <c r="H536" s="50" t="str">
        <f t="shared" si="16"/>
        <v>Jun</v>
      </c>
      <c r="I536" s="51">
        <f t="shared" ca="1" si="17"/>
        <v>11</v>
      </c>
      <c r="J536" s="52"/>
      <c r="K536" s="53">
        <v>73900</v>
      </c>
      <c r="L536" s="54">
        <v>3</v>
      </c>
      <c r="M536" s="55"/>
    </row>
    <row r="537" spans="1:13">
      <c r="A537" s="39" t="s">
        <v>826</v>
      </c>
      <c r="B537" s="46" t="s">
        <v>271</v>
      </c>
      <c r="C537" s="39" t="s">
        <v>767</v>
      </c>
      <c r="D537" s="72">
        <v>330879921</v>
      </c>
      <c r="E537" s="73">
        <v>9195691314</v>
      </c>
      <c r="F537" s="39" t="s">
        <v>256</v>
      </c>
      <c r="G537" s="49">
        <v>37089</v>
      </c>
      <c r="H537" s="50" t="str">
        <f t="shared" si="16"/>
        <v>Jul</v>
      </c>
      <c r="I537" s="51">
        <f t="shared" ca="1" si="17"/>
        <v>15</v>
      </c>
      <c r="J537" s="52" t="s">
        <v>267</v>
      </c>
      <c r="K537" s="53">
        <v>65500</v>
      </c>
      <c r="L537" s="54">
        <v>4</v>
      </c>
      <c r="M537" s="55"/>
    </row>
    <row r="538" spans="1:13">
      <c r="A538" s="39" t="s">
        <v>827</v>
      </c>
      <c r="B538" s="46" t="s">
        <v>285</v>
      </c>
      <c r="C538" s="39" t="s">
        <v>767</v>
      </c>
      <c r="D538" s="72">
        <v>468234190</v>
      </c>
      <c r="E538" s="73">
        <v>2521569304</v>
      </c>
      <c r="F538" s="39" t="s">
        <v>256</v>
      </c>
      <c r="G538" s="49">
        <v>36170</v>
      </c>
      <c r="H538" s="50" t="str">
        <f t="shared" si="16"/>
        <v>Jan</v>
      </c>
      <c r="I538" s="51">
        <f t="shared" ca="1" si="17"/>
        <v>17</v>
      </c>
      <c r="J538" s="52" t="s">
        <v>276</v>
      </c>
      <c r="K538" s="53">
        <v>87170</v>
      </c>
      <c r="L538" s="54">
        <v>3</v>
      </c>
      <c r="M538" s="55"/>
    </row>
    <row r="539" spans="1:13">
      <c r="A539" s="39" t="s">
        <v>828</v>
      </c>
      <c r="B539" s="46" t="s">
        <v>271</v>
      </c>
      <c r="C539" s="39" t="s">
        <v>767</v>
      </c>
      <c r="D539" s="72">
        <v>379340654</v>
      </c>
      <c r="E539" s="73">
        <v>9198642893</v>
      </c>
      <c r="F539" s="39" t="s">
        <v>256</v>
      </c>
      <c r="G539" s="49">
        <v>36991</v>
      </c>
      <c r="H539" s="50" t="str">
        <f t="shared" si="16"/>
        <v>Apr</v>
      </c>
      <c r="I539" s="51">
        <f t="shared" ca="1" si="17"/>
        <v>15</v>
      </c>
      <c r="J539" s="52" t="s">
        <v>276</v>
      </c>
      <c r="K539" s="53">
        <v>44270</v>
      </c>
      <c r="L539" s="54">
        <v>1</v>
      </c>
      <c r="M539" s="55"/>
    </row>
    <row r="540" spans="1:13">
      <c r="A540" s="39" t="s">
        <v>829</v>
      </c>
      <c r="B540" s="46" t="s">
        <v>245</v>
      </c>
      <c r="C540" s="39" t="s">
        <v>767</v>
      </c>
      <c r="D540" s="72">
        <v>174159111</v>
      </c>
      <c r="E540" s="73">
        <v>9191675237</v>
      </c>
      <c r="F540" s="39" t="s">
        <v>256</v>
      </c>
      <c r="G540" s="49">
        <v>36287</v>
      </c>
      <c r="H540" s="50" t="str">
        <f t="shared" si="16"/>
        <v>May</v>
      </c>
      <c r="I540" s="51">
        <f t="shared" ca="1" si="17"/>
        <v>17</v>
      </c>
      <c r="J540" s="52" t="s">
        <v>262</v>
      </c>
      <c r="K540" s="53">
        <v>87240</v>
      </c>
      <c r="L540" s="54">
        <v>5</v>
      </c>
      <c r="M540" s="55"/>
    </row>
    <row r="541" spans="1:13">
      <c r="A541" s="39" t="s">
        <v>830</v>
      </c>
      <c r="B541" s="46" t="s">
        <v>271</v>
      </c>
      <c r="C541" s="39" t="s">
        <v>767</v>
      </c>
      <c r="D541" s="72">
        <v>990843236</v>
      </c>
      <c r="E541" s="73">
        <v>9196245634</v>
      </c>
      <c r="F541" s="39" t="s">
        <v>256</v>
      </c>
      <c r="G541" s="49">
        <v>40048</v>
      </c>
      <c r="H541" s="50" t="str">
        <f t="shared" si="16"/>
        <v>Aug</v>
      </c>
      <c r="I541" s="51">
        <f t="shared" ca="1" si="17"/>
        <v>7</v>
      </c>
      <c r="J541" s="52" t="s">
        <v>283</v>
      </c>
      <c r="K541" s="53">
        <v>79060</v>
      </c>
      <c r="L541" s="54">
        <v>5</v>
      </c>
      <c r="M541" s="55"/>
    </row>
    <row r="542" spans="1:13">
      <c r="A542" s="39" t="s">
        <v>831</v>
      </c>
      <c r="B542" s="46" t="s">
        <v>245</v>
      </c>
      <c r="C542" s="39" t="s">
        <v>767</v>
      </c>
      <c r="D542" s="72">
        <v>160184934</v>
      </c>
      <c r="E542" s="73">
        <v>9191191599</v>
      </c>
      <c r="F542" s="39" t="s">
        <v>261</v>
      </c>
      <c r="G542" s="49">
        <v>35794</v>
      </c>
      <c r="H542" s="50" t="str">
        <f t="shared" si="16"/>
        <v>Dec</v>
      </c>
      <c r="I542" s="51">
        <f t="shared" ca="1" si="17"/>
        <v>18</v>
      </c>
      <c r="J542" s="52" t="s">
        <v>283</v>
      </c>
      <c r="K542" s="53">
        <v>12840</v>
      </c>
      <c r="L542" s="54">
        <v>4</v>
      </c>
      <c r="M542" s="55"/>
    </row>
    <row r="543" spans="1:13">
      <c r="A543" s="39" t="s">
        <v>832</v>
      </c>
      <c r="B543" s="46" t="s">
        <v>271</v>
      </c>
      <c r="C543" s="39" t="s">
        <v>767</v>
      </c>
      <c r="D543" s="72">
        <v>462650472</v>
      </c>
      <c r="E543" s="73">
        <v>2521276517</v>
      </c>
      <c r="F543" s="39" t="s">
        <v>247</v>
      </c>
      <c r="G543" s="49">
        <v>34403</v>
      </c>
      <c r="H543" s="50" t="str">
        <f t="shared" si="16"/>
        <v>Mar</v>
      </c>
      <c r="I543" s="51">
        <f t="shared" ca="1" si="17"/>
        <v>22</v>
      </c>
      <c r="J543" s="52"/>
      <c r="K543" s="53">
        <v>95260</v>
      </c>
      <c r="L543" s="54">
        <v>1</v>
      </c>
      <c r="M543" s="55"/>
    </row>
    <row r="544" spans="1:13">
      <c r="A544" s="39" t="s">
        <v>833</v>
      </c>
      <c r="B544" s="46" t="s">
        <v>285</v>
      </c>
      <c r="C544" s="39" t="s">
        <v>767</v>
      </c>
      <c r="D544" s="72">
        <v>115404531</v>
      </c>
      <c r="E544" s="73">
        <v>2522636321</v>
      </c>
      <c r="F544" s="39" t="s">
        <v>261</v>
      </c>
      <c r="G544" s="49">
        <v>39174</v>
      </c>
      <c r="H544" s="50" t="str">
        <f t="shared" si="16"/>
        <v>Apr</v>
      </c>
      <c r="I544" s="51">
        <f t="shared" ca="1" si="17"/>
        <v>9</v>
      </c>
      <c r="J544" s="52" t="s">
        <v>283</v>
      </c>
      <c r="K544" s="53">
        <v>39480</v>
      </c>
      <c r="L544" s="54">
        <v>2</v>
      </c>
      <c r="M544" s="55"/>
    </row>
    <row r="545" spans="1:17">
      <c r="A545" s="39" t="s">
        <v>834</v>
      </c>
      <c r="B545" s="46" t="s">
        <v>251</v>
      </c>
      <c r="C545" s="39" t="s">
        <v>767</v>
      </c>
      <c r="D545" s="72">
        <v>618775364</v>
      </c>
      <c r="E545" s="73">
        <v>9193182167</v>
      </c>
      <c r="F545" s="39" t="s">
        <v>261</v>
      </c>
      <c r="G545" s="49">
        <v>41255</v>
      </c>
      <c r="H545" s="50" t="str">
        <f t="shared" si="16"/>
        <v>Dec</v>
      </c>
      <c r="I545" s="51">
        <f t="shared" ca="1" si="17"/>
        <v>3</v>
      </c>
      <c r="J545" s="52" t="s">
        <v>283</v>
      </c>
      <c r="K545" s="53">
        <v>58440</v>
      </c>
      <c r="L545" s="54">
        <v>3</v>
      </c>
      <c r="M545" s="55"/>
    </row>
    <row r="546" spans="1:17">
      <c r="A546" s="39" t="s">
        <v>835</v>
      </c>
      <c r="B546" s="46" t="s">
        <v>271</v>
      </c>
      <c r="C546" s="39" t="s">
        <v>767</v>
      </c>
      <c r="D546" s="72">
        <v>737152868</v>
      </c>
      <c r="E546" s="73">
        <v>9191124357</v>
      </c>
      <c r="F546" s="39" t="s">
        <v>256</v>
      </c>
      <c r="G546" s="49">
        <v>37674</v>
      </c>
      <c r="H546" s="50" t="str">
        <f t="shared" si="16"/>
        <v>Feb</v>
      </c>
      <c r="I546" s="51">
        <f t="shared" ca="1" si="17"/>
        <v>13</v>
      </c>
      <c r="J546" s="52" t="s">
        <v>276</v>
      </c>
      <c r="K546" s="53">
        <v>58000</v>
      </c>
      <c r="L546" s="54">
        <v>1</v>
      </c>
      <c r="M546" s="55"/>
    </row>
    <row r="547" spans="1:17">
      <c r="A547" s="39" t="s">
        <v>836</v>
      </c>
      <c r="B547" s="46" t="s">
        <v>285</v>
      </c>
      <c r="C547" s="39" t="s">
        <v>767</v>
      </c>
      <c r="D547" s="72">
        <v>161439267</v>
      </c>
      <c r="E547" s="73">
        <v>9197600603</v>
      </c>
      <c r="F547" s="39" t="s">
        <v>256</v>
      </c>
      <c r="G547" s="49">
        <v>40363</v>
      </c>
      <c r="H547" s="50" t="str">
        <f t="shared" si="16"/>
        <v>Jul</v>
      </c>
      <c r="I547" s="51">
        <f t="shared" ca="1" si="17"/>
        <v>6</v>
      </c>
      <c r="J547" s="52" t="s">
        <v>262</v>
      </c>
      <c r="K547" s="53">
        <v>50420</v>
      </c>
      <c r="L547" s="54">
        <v>5</v>
      </c>
      <c r="M547" s="55"/>
    </row>
    <row r="548" spans="1:17">
      <c r="A548" s="39" t="s">
        <v>837</v>
      </c>
      <c r="B548" s="46" t="s">
        <v>271</v>
      </c>
      <c r="C548" s="39" t="s">
        <v>767</v>
      </c>
      <c r="D548" s="72">
        <v>336025451</v>
      </c>
      <c r="E548" s="73">
        <v>2522344526</v>
      </c>
      <c r="F548" s="39" t="s">
        <v>247</v>
      </c>
      <c r="G548" s="49">
        <v>35479</v>
      </c>
      <c r="H548" s="50" t="str">
        <f t="shared" si="16"/>
        <v>Feb</v>
      </c>
      <c r="I548" s="51">
        <f t="shared" ca="1" si="17"/>
        <v>19</v>
      </c>
      <c r="J548" s="52"/>
      <c r="K548" s="53">
        <v>67980</v>
      </c>
      <c r="L548" s="54">
        <v>1</v>
      </c>
      <c r="M548" s="55"/>
    </row>
    <row r="549" spans="1:17">
      <c r="A549" s="39" t="s">
        <v>838</v>
      </c>
      <c r="B549" s="46" t="s">
        <v>266</v>
      </c>
      <c r="C549" s="39" t="s">
        <v>767</v>
      </c>
      <c r="D549" s="72">
        <v>289103201</v>
      </c>
      <c r="E549" s="73">
        <v>9192921836</v>
      </c>
      <c r="F549" s="39" t="s">
        <v>256</v>
      </c>
      <c r="G549" s="49">
        <v>40218</v>
      </c>
      <c r="H549" s="50" t="str">
        <f t="shared" si="16"/>
        <v>Feb</v>
      </c>
      <c r="I549" s="51">
        <f t="shared" ca="1" si="17"/>
        <v>6</v>
      </c>
      <c r="J549" s="52" t="s">
        <v>257</v>
      </c>
      <c r="K549" s="53">
        <v>88600</v>
      </c>
      <c r="L549" s="54">
        <v>2</v>
      </c>
      <c r="M549" s="55"/>
    </row>
    <row r="550" spans="1:17">
      <c r="A550" s="39" t="s">
        <v>839</v>
      </c>
      <c r="B550" s="46" t="s">
        <v>271</v>
      </c>
      <c r="C550" s="39" t="s">
        <v>767</v>
      </c>
      <c r="D550" s="72">
        <v>638495756</v>
      </c>
      <c r="E550" s="73">
        <v>2528922252</v>
      </c>
      <c r="F550" s="39" t="s">
        <v>247</v>
      </c>
      <c r="G550" s="49">
        <v>34950</v>
      </c>
      <c r="H550" s="50" t="str">
        <f t="shared" si="16"/>
        <v>Sep</v>
      </c>
      <c r="I550" s="51">
        <f t="shared" ca="1" si="17"/>
        <v>21</v>
      </c>
      <c r="J550" s="52"/>
      <c r="K550" s="53">
        <v>53660</v>
      </c>
      <c r="L550" s="54">
        <v>2</v>
      </c>
      <c r="M550" s="55"/>
    </row>
    <row r="551" spans="1:17">
      <c r="A551" s="39" t="s">
        <v>840</v>
      </c>
      <c r="B551" s="46" t="s">
        <v>271</v>
      </c>
      <c r="C551" s="39" t="s">
        <v>767</v>
      </c>
      <c r="D551" s="72">
        <v>548283920</v>
      </c>
      <c r="E551" s="73">
        <v>2524160215</v>
      </c>
      <c r="F551" s="39" t="s">
        <v>247</v>
      </c>
      <c r="G551" s="49">
        <v>37298</v>
      </c>
      <c r="H551" s="50" t="str">
        <f t="shared" si="16"/>
        <v>Feb</v>
      </c>
      <c r="I551" s="51">
        <f t="shared" ca="1" si="17"/>
        <v>14</v>
      </c>
      <c r="J551" s="52"/>
      <c r="K551" s="53">
        <v>69590</v>
      </c>
      <c r="L551" s="54">
        <v>5</v>
      </c>
      <c r="M551" s="55"/>
    </row>
    <row r="552" spans="1:17">
      <c r="A552" s="39" t="s">
        <v>841</v>
      </c>
      <c r="B552" s="46" t="s">
        <v>280</v>
      </c>
      <c r="C552" s="39" t="s">
        <v>767</v>
      </c>
      <c r="D552" s="72">
        <v>486016972</v>
      </c>
      <c r="E552" s="73">
        <v>9194532398</v>
      </c>
      <c r="F552" s="39" t="s">
        <v>261</v>
      </c>
      <c r="G552" s="49">
        <v>40729</v>
      </c>
      <c r="H552" s="50" t="str">
        <f t="shared" si="16"/>
        <v>Jul</v>
      </c>
      <c r="I552" s="51">
        <f t="shared" ca="1" si="17"/>
        <v>5</v>
      </c>
      <c r="J552" s="52" t="s">
        <v>257</v>
      </c>
      <c r="K552" s="53">
        <v>54680</v>
      </c>
      <c r="L552" s="54">
        <v>1</v>
      </c>
      <c r="M552" s="55"/>
    </row>
    <row r="553" spans="1:17">
      <c r="A553" s="39" t="s">
        <v>842</v>
      </c>
      <c r="B553" s="46" t="s">
        <v>271</v>
      </c>
      <c r="C553" s="39" t="s">
        <v>767</v>
      </c>
      <c r="D553" s="72">
        <v>867100310</v>
      </c>
      <c r="E553" s="73">
        <v>9191376854</v>
      </c>
      <c r="F553" s="39" t="s">
        <v>256</v>
      </c>
      <c r="G553" s="49">
        <v>37394</v>
      </c>
      <c r="H553" s="50" t="str">
        <f t="shared" si="16"/>
        <v>May</v>
      </c>
      <c r="I553" s="51">
        <f t="shared" ca="1" si="17"/>
        <v>14</v>
      </c>
      <c r="J553" s="52" t="s">
        <v>283</v>
      </c>
      <c r="K553" s="53">
        <v>79090</v>
      </c>
      <c r="L553" s="54">
        <v>5</v>
      </c>
      <c r="M553" s="55"/>
    </row>
    <row r="554" spans="1:17">
      <c r="A554" s="39" t="s">
        <v>843</v>
      </c>
      <c r="B554" s="46" t="s">
        <v>271</v>
      </c>
      <c r="C554" s="39" t="s">
        <v>767</v>
      </c>
      <c r="D554" s="72">
        <v>339488599</v>
      </c>
      <c r="E554" s="73">
        <v>9191267946</v>
      </c>
      <c r="F554" s="39" t="s">
        <v>247</v>
      </c>
      <c r="G554" s="49">
        <v>38405</v>
      </c>
      <c r="H554" s="50" t="str">
        <f t="shared" si="16"/>
        <v>Feb</v>
      </c>
      <c r="I554" s="51">
        <f t="shared" ca="1" si="17"/>
        <v>11</v>
      </c>
      <c r="J554" s="52"/>
      <c r="K554" s="53">
        <v>72080</v>
      </c>
      <c r="L554" s="54">
        <v>3</v>
      </c>
      <c r="M554" s="55"/>
    </row>
    <row r="555" spans="1:17">
      <c r="A555" s="39" t="s">
        <v>844</v>
      </c>
      <c r="B555" s="46" t="s">
        <v>280</v>
      </c>
      <c r="C555" s="39" t="s">
        <v>767</v>
      </c>
      <c r="D555" s="72">
        <v>422463024</v>
      </c>
      <c r="E555" s="73">
        <v>9193876146</v>
      </c>
      <c r="F555" s="39" t="s">
        <v>256</v>
      </c>
      <c r="G555" s="49">
        <v>35694</v>
      </c>
      <c r="H555" s="50" t="str">
        <f t="shared" si="16"/>
        <v>Sep</v>
      </c>
      <c r="I555" s="51">
        <f t="shared" ca="1" si="17"/>
        <v>19</v>
      </c>
      <c r="J555" s="52" t="s">
        <v>262</v>
      </c>
      <c r="K555" s="53">
        <v>106580</v>
      </c>
      <c r="L555" s="54">
        <v>2</v>
      </c>
      <c r="M555" s="55"/>
      <c r="P555" s="75"/>
      <c r="Q555" s="75"/>
    </row>
    <row r="556" spans="1:17">
      <c r="A556" s="39" t="s">
        <v>845</v>
      </c>
      <c r="B556" s="46" t="s">
        <v>245</v>
      </c>
      <c r="C556" s="39" t="s">
        <v>767</v>
      </c>
      <c r="D556" s="72">
        <v>484442635</v>
      </c>
      <c r="E556" s="73">
        <v>2527194901</v>
      </c>
      <c r="F556" s="39" t="s">
        <v>247</v>
      </c>
      <c r="G556" s="49">
        <v>34168</v>
      </c>
      <c r="H556" s="50" t="str">
        <f t="shared" si="16"/>
        <v>Jul</v>
      </c>
      <c r="I556" s="51">
        <f t="shared" ca="1" si="17"/>
        <v>23</v>
      </c>
      <c r="J556" s="52"/>
      <c r="K556" s="53">
        <v>27620</v>
      </c>
      <c r="L556" s="54">
        <v>4</v>
      </c>
      <c r="M556" s="55"/>
    </row>
    <row r="557" spans="1:17">
      <c r="A557" s="39" t="s">
        <v>846</v>
      </c>
      <c r="B557" s="46" t="s">
        <v>245</v>
      </c>
      <c r="C557" s="39" t="s">
        <v>767</v>
      </c>
      <c r="D557" s="72">
        <v>570756015</v>
      </c>
      <c r="E557" s="73">
        <v>2522238535</v>
      </c>
      <c r="F557" s="39" t="s">
        <v>261</v>
      </c>
      <c r="G557" s="49">
        <v>41422</v>
      </c>
      <c r="H557" s="50" t="str">
        <f t="shared" si="16"/>
        <v>May</v>
      </c>
      <c r="I557" s="51">
        <f t="shared" ca="1" si="17"/>
        <v>3</v>
      </c>
      <c r="J557" s="52" t="s">
        <v>262</v>
      </c>
      <c r="K557" s="53">
        <v>59230</v>
      </c>
      <c r="L557" s="54">
        <v>5</v>
      </c>
      <c r="M557" s="55"/>
    </row>
    <row r="558" spans="1:17">
      <c r="A558" s="39" t="s">
        <v>847</v>
      </c>
      <c r="B558" s="46" t="s">
        <v>271</v>
      </c>
      <c r="C558" s="39" t="s">
        <v>767</v>
      </c>
      <c r="D558" s="72">
        <v>456809622</v>
      </c>
      <c r="E558" s="73">
        <v>2523046338</v>
      </c>
      <c r="F558" s="39" t="s">
        <v>256</v>
      </c>
      <c r="G558" s="49">
        <v>34099</v>
      </c>
      <c r="H558" s="50" t="str">
        <f t="shared" si="16"/>
        <v>May</v>
      </c>
      <c r="I558" s="51">
        <f t="shared" ca="1" si="17"/>
        <v>23</v>
      </c>
      <c r="J558" s="52" t="s">
        <v>257</v>
      </c>
      <c r="K558" s="53">
        <v>57700</v>
      </c>
      <c r="L558" s="54">
        <v>2</v>
      </c>
      <c r="M558" s="55"/>
      <c r="P558" s="75"/>
      <c r="Q558" s="75"/>
    </row>
    <row r="559" spans="1:17">
      <c r="A559" s="39" t="s">
        <v>848</v>
      </c>
      <c r="B559" s="46" t="s">
        <v>266</v>
      </c>
      <c r="C559" s="39" t="s">
        <v>767</v>
      </c>
      <c r="D559" s="72">
        <v>546159785</v>
      </c>
      <c r="E559" s="73">
        <v>2522924678</v>
      </c>
      <c r="F559" s="39" t="s">
        <v>256</v>
      </c>
      <c r="G559" s="49">
        <v>39424</v>
      </c>
      <c r="H559" s="50" t="str">
        <f t="shared" si="16"/>
        <v>Dec</v>
      </c>
      <c r="I559" s="51">
        <f t="shared" ca="1" si="17"/>
        <v>8</v>
      </c>
      <c r="J559" s="52" t="s">
        <v>276</v>
      </c>
      <c r="K559" s="53">
        <v>73600</v>
      </c>
      <c r="L559" s="54">
        <v>2</v>
      </c>
      <c r="M559" s="55"/>
    </row>
    <row r="560" spans="1:17">
      <c r="A560" s="39" t="s">
        <v>849</v>
      </c>
      <c r="B560" s="46" t="s">
        <v>285</v>
      </c>
      <c r="C560" s="39" t="s">
        <v>767</v>
      </c>
      <c r="D560" s="72">
        <v>592519945</v>
      </c>
      <c r="E560" s="73">
        <v>9195990200</v>
      </c>
      <c r="F560" s="39" t="s">
        <v>256</v>
      </c>
      <c r="G560" s="49">
        <v>40447</v>
      </c>
      <c r="H560" s="50" t="str">
        <f t="shared" si="16"/>
        <v>Sep</v>
      </c>
      <c r="I560" s="51">
        <f t="shared" ca="1" si="17"/>
        <v>6</v>
      </c>
      <c r="J560" s="52" t="s">
        <v>257</v>
      </c>
      <c r="K560" s="53">
        <v>53580</v>
      </c>
      <c r="L560" s="54">
        <v>1</v>
      </c>
      <c r="M560" s="55"/>
      <c r="P560" s="75"/>
      <c r="Q560" s="75"/>
    </row>
    <row r="561" spans="1:17">
      <c r="A561" s="39" t="s">
        <v>850</v>
      </c>
      <c r="B561" s="46" t="s">
        <v>245</v>
      </c>
      <c r="C561" s="39" t="s">
        <v>767</v>
      </c>
      <c r="D561" s="72">
        <v>828715080</v>
      </c>
      <c r="E561" s="73">
        <v>2523613559</v>
      </c>
      <c r="F561" s="39" t="s">
        <v>256</v>
      </c>
      <c r="G561" s="49">
        <v>36095</v>
      </c>
      <c r="H561" s="50" t="str">
        <f t="shared" si="16"/>
        <v>Oct</v>
      </c>
      <c r="I561" s="51">
        <f t="shared" ca="1" si="17"/>
        <v>18</v>
      </c>
      <c r="J561" s="52" t="s">
        <v>262</v>
      </c>
      <c r="K561" s="53">
        <v>73380</v>
      </c>
      <c r="L561" s="54">
        <v>2</v>
      </c>
      <c r="M561" s="55"/>
    </row>
    <row r="562" spans="1:17">
      <c r="A562" s="39" t="s">
        <v>851</v>
      </c>
      <c r="B562" s="46" t="s">
        <v>271</v>
      </c>
      <c r="C562" s="39" t="s">
        <v>767</v>
      </c>
      <c r="D562" s="72">
        <v>278129861</v>
      </c>
      <c r="E562" s="73">
        <v>9198561246</v>
      </c>
      <c r="F562" s="39" t="s">
        <v>247</v>
      </c>
      <c r="G562" s="49">
        <v>41405</v>
      </c>
      <c r="H562" s="50" t="str">
        <f t="shared" si="16"/>
        <v>May</v>
      </c>
      <c r="I562" s="51">
        <f t="shared" ca="1" si="17"/>
        <v>3</v>
      </c>
      <c r="J562" s="52"/>
      <c r="K562" s="53">
        <v>47460</v>
      </c>
      <c r="L562" s="54">
        <v>5</v>
      </c>
      <c r="M562" s="55"/>
    </row>
    <row r="563" spans="1:17">
      <c r="A563" s="39" t="s">
        <v>852</v>
      </c>
      <c r="B563" s="46" t="s">
        <v>271</v>
      </c>
      <c r="C563" s="39" t="s">
        <v>767</v>
      </c>
      <c r="D563" s="72">
        <v>503036433</v>
      </c>
      <c r="E563" s="73">
        <v>9192453666</v>
      </c>
      <c r="F563" s="39" t="s">
        <v>256</v>
      </c>
      <c r="G563" s="49">
        <v>34461</v>
      </c>
      <c r="H563" s="50" t="str">
        <f t="shared" si="16"/>
        <v>May</v>
      </c>
      <c r="I563" s="51">
        <f t="shared" ca="1" si="17"/>
        <v>22</v>
      </c>
      <c r="J563" s="52" t="s">
        <v>267</v>
      </c>
      <c r="K563" s="53">
        <v>93290</v>
      </c>
      <c r="L563" s="54">
        <v>1</v>
      </c>
      <c r="M563" s="55"/>
    </row>
    <row r="564" spans="1:17">
      <c r="A564" s="39" t="s">
        <v>853</v>
      </c>
      <c r="B564" s="46" t="s">
        <v>271</v>
      </c>
      <c r="C564" s="39" t="s">
        <v>767</v>
      </c>
      <c r="D564" s="72">
        <v>505680981</v>
      </c>
      <c r="E564" s="73">
        <v>2527557761</v>
      </c>
      <c r="F564" s="39" t="s">
        <v>256</v>
      </c>
      <c r="G564" s="49">
        <v>38139</v>
      </c>
      <c r="H564" s="50" t="str">
        <f t="shared" si="16"/>
        <v>Jun</v>
      </c>
      <c r="I564" s="51">
        <f t="shared" ca="1" si="17"/>
        <v>12</v>
      </c>
      <c r="J564" s="52" t="s">
        <v>257</v>
      </c>
      <c r="K564" s="53">
        <v>34960</v>
      </c>
      <c r="L564" s="54">
        <v>1</v>
      </c>
      <c r="M564" s="55"/>
    </row>
    <row r="565" spans="1:17">
      <c r="A565" s="39" t="s">
        <v>854</v>
      </c>
      <c r="B565" s="46" t="s">
        <v>285</v>
      </c>
      <c r="C565" s="39" t="s">
        <v>767</v>
      </c>
      <c r="D565" s="72">
        <v>828395582</v>
      </c>
      <c r="E565" s="73">
        <v>9198591986</v>
      </c>
      <c r="F565" s="39" t="s">
        <v>256</v>
      </c>
      <c r="G565" s="49">
        <v>34574</v>
      </c>
      <c r="H565" s="50" t="str">
        <f t="shared" si="16"/>
        <v>Aug</v>
      </c>
      <c r="I565" s="51">
        <f t="shared" ca="1" si="17"/>
        <v>22</v>
      </c>
      <c r="J565" s="52" t="s">
        <v>276</v>
      </c>
      <c r="K565" s="53">
        <v>86020</v>
      </c>
      <c r="L565" s="54">
        <v>4</v>
      </c>
      <c r="M565" s="55"/>
    </row>
    <row r="566" spans="1:17">
      <c r="A566" s="39" t="s">
        <v>855</v>
      </c>
      <c r="B566" s="46" t="s">
        <v>285</v>
      </c>
      <c r="C566" s="39" t="s">
        <v>856</v>
      </c>
      <c r="D566" s="72">
        <v>337411408</v>
      </c>
      <c r="E566" s="73">
        <v>9194729409</v>
      </c>
      <c r="F566" s="39" t="s">
        <v>256</v>
      </c>
      <c r="G566" s="49">
        <v>37527</v>
      </c>
      <c r="H566" s="50" t="str">
        <f t="shared" si="16"/>
        <v>Sep</v>
      </c>
      <c r="I566" s="51">
        <f t="shared" ca="1" si="17"/>
        <v>14</v>
      </c>
      <c r="J566" s="52" t="s">
        <v>257</v>
      </c>
      <c r="K566" s="53">
        <v>35110</v>
      </c>
      <c r="L566" s="54">
        <v>4</v>
      </c>
      <c r="M566" s="55"/>
    </row>
    <row r="567" spans="1:17">
      <c r="A567" s="39" t="s">
        <v>857</v>
      </c>
      <c r="B567" s="46" t="s">
        <v>271</v>
      </c>
      <c r="C567" s="39" t="s">
        <v>856</v>
      </c>
      <c r="D567" s="72">
        <v>709234421</v>
      </c>
      <c r="E567" s="73">
        <v>2523838954</v>
      </c>
      <c r="F567" s="39" t="s">
        <v>256</v>
      </c>
      <c r="G567" s="49">
        <v>35755</v>
      </c>
      <c r="H567" s="50" t="str">
        <f t="shared" si="16"/>
        <v>Nov</v>
      </c>
      <c r="I567" s="51">
        <f t="shared" ca="1" si="17"/>
        <v>18</v>
      </c>
      <c r="J567" s="52" t="s">
        <v>257</v>
      </c>
      <c r="K567" s="53">
        <v>46800</v>
      </c>
      <c r="L567" s="54">
        <v>5</v>
      </c>
      <c r="M567" s="55"/>
    </row>
    <row r="568" spans="1:17">
      <c r="A568" s="39" t="s">
        <v>858</v>
      </c>
      <c r="B568" s="46" t="s">
        <v>285</v>
      </c>
      <c r="C568" s="39" t="s">
        <v>856</v>
      </c>
      <c r="D568" s="72">
        <v>420739404</v>
      </c>
      <c r="E568" s="73">
        <v>9197785583</v>
      </c>
      <c r="F568" s="39" t="s">
        <v>256</v>
      </c>
      <c r="G568" s="49">
        <v>34270</v>
      </c>
      <c r="H568" s="50" t="str">
        <f t="shared" si="16"/>
        <v>Oct</v>
      </c>
      <c r="I568" s="51">
        <f t="shared" ca="1" si="17"/>
        <v>23</v>
      </c>
      <c r="J568" s="52" t="s">
        <v>283</v>
      </c>
      <c r="K568" s="53">
        <v>29810</v>
      </c>
      <c r="L568" s="54">
        <v>1</v>
      </c>
      <c r="M568" s="55"/>
    </row>
    <row r="569" spans="1:17">
      <c r="A569" s="39" t="s">
        <v>859</v>
      </c>
      <c r="B569" s="46" t="s">
        <v>245</v>
      </c>
      <c r="C569" s="39" t="s">
        <v>856</v>
      </c>
      <c r="D569" s="72">
        <v>512404764</v>
      </c>
      <c r="E569" s="73">
        <v>9193976775</v>
      </c>
      <c r="F569" s="39" t="s">
        <v>256</v>
      </c>
      <c r="G569" s="49">
        <v>37291</v>
      </c>
      <c r="H569" s="50" t="str">
        <f t="shared" si="16"/>
        <v>Feb</v>
      </c>
      <c r="I569" s="51">
        <f t="shared" ca="1" si="17"/>
        <v>14</v>
      </c>
      <c r="J569" s="52" t="s">
        <v>283</v>
      </c>
      <c r="K569" s="53">
        <v>46800</v>
      </c>
      <c r="L569" s="54">
        <v>3</v>
      </c>
      <c r="M569" s="55"/>
    </row>
    <row r="570" spans="1:17">
      <c r="A570" s="39" t="s">
        <v>860</v>
      </c>
      <c r="B570" s="46" t="s">
        <v>251</v>
      </c>
      <c r="C570" s="39" t="s">
        <v>856</v>
      </c>
      <c r="D570" s="72">
        <v>265993407</v>
      </c>
      <c r="E570" s="73">
        <v>9193558443</v>
      </c>
      <c r="F570" s="39" t="s">
        <v>247</v>
      </c>
      <c r="G570" s="49">
        <v>34283</v>
      </c>
      <c r="H570" s="50" t="str">
        <f t="shared" si="16"/>
        <v>Nov</v>
      </c>
      <c r="I570" s="51">
        <f t="shared" ca="1" si="17"/>
        <v>23</v>
      </c>
      <c r="J570" s="52"/>
      <c r="K570" s="53">
        <v>107340</v>
      </c>
      <c r="L570" s="54">
        <v>2</v>
      </c>
      <c r="M570" s="55"/>
    </row>
    <row r="571" spans="1:17">
      <c r="A571" s="39" t="s">
        <v>861</v>
      </c>
      <c r="B571" s="46" t="s">
        <v>271</v>
      </c>
      <c r="C571" s="39" t="s">
        <v>856</v>
      </c>
      <c r="D571" s="72">
        <v>412159105</v>
      </c>
      <c r="E571" s="73">
        <v>9198252392</v>
      </c>
      <c r="F571" s="39" t="s">
        <v>252</v>
      </c>
      <c r="G571" s="49">
        <v>36403</v>
      </c>
      <c r="H571" s="50" t="str">
        <f t="shared" si="16"/>
        <v>Aug</v>
      </c>
      <c r="I571" s="51">
        <f t="shared" ca="1" si="17"/>
        <v>17</v>
      </c>
      <c r="J571" s="52"/>
      <c r="K571" s="53">
        <v>40210</v>
      </c>
      <c r="L571" s="54">
        <v>4</v>
      </c>
      <c r="M571" s="55"/>
      <c r="P571" s="75"/>
      <c r="Q571" s="75"/>
    </row>
    <row r="572" spans="1:17">
      <c r="A572" s="39" t="s">
        <v>862</v>
      </c>
      <c r="B572" s="46" t="s">
        <v>266</v>
      </c>
      <c r="C572" s="39" t="s">
        <v>856</v>
      </c>
      <c r="D572" s="72">
        <v>889210902</v>
      </c>
      <c r="E572" s="73">
        <v>2527422559</v>
      </c>
      <c r="F572" s="39" t="s">
        <v>256</v>
      </c>
      <c r="G572" s="49">
        <v>37515</v>
      </c>
      <c r="H572" s="50" t="str">
        <f t="shared" si="16"/>
        <v>Sep</v>
      </c>
      <c r="I572" s="51">
        <f t="shared" ca="1" si="17"/>
        <v>14</v>
      </c>
      <c r="J572" s="52" t="s">
        <v>283</v>
      </c>
      <c r="K572" s="53">
        <v>57900</v>
      </c>
      <c r="L572" s="54">
        <v>3</v>
      </c>
      <c r="M572" s="55"/>
    </row>
    <row r="573" spans="1:17">
      <c r="A573" s="39" t="s">
        <v>863</v>
      </c>
      <c r="B573" s="46" t="s">
        <v>271</v>
      </c>
      <c r="C573" s="39" t="s">
        <v>856</v>
      </c>
      <c r="D573" s="72">
        <v>843632637</v>
      </c>
      <c r="E573" s="73">
        <v>9198545681</v>
      </c>
      <c r="F573" s="39" t="s">
        <v>252</v>
      </c>
      <c r="G573" s="49">
        <v>36862</v>
      </c>
      <c r="H573" s="50" t="str">
        <f t="shared" si="16"/>
        <v>Dec</v>
      </c>
      <c r="I573" s="51">
        <f t="shared" ca="1" si="17"/>
        <v>15</v>
      </c>
      <c r="J573" s="52"/>
      <c r="K573" s="53">
        <v>15400</v>
      </c>
      <c r="L573" s="54">
        <v>5</v>
      </c>
      <c r="M573" s="55"/>
    </row>
    <row r="574" spans="1:17">
      <c r="A574" s="39" t="s">
        <v>864</v>
      </c>
      <c r="B574" s="46" t="s">
        <v>266</v>
      </c>
      <c r="C574" s="39" t="s">
        <v>856</v>
      </c>
      <c r="D574" s="72">
        <v>313648228</v>
      </c>
      <c r="E574" s="73">
        <v>2524998145</v>
      </c>
      <c r="F574" s="39" t="s">
        <v>256</v>
      </c>
      <c r="G574" s="49">
        <v>38626</v>
      </c>
      <c r="H574" s="50" t="str">
        <f t="shared" si="16"/>
        <v>Oct</v>
      </c>
      <c r="I574" s="51">
        <f t="shared" ca="1" si="17"/>
        <v>11</v>
      </c>
      <c r="J574" s="52" t="s">
        <v>283</v>
      </c>
      <c r="K574" s="53">
        <v>98990</v>
      </c>
      <c r="L574" s="54">
        <v>5</v>
      </c>
      <c r="M574" s="55"/>
    </row>
    <row r="575" spans="1:17">
      <c r="A575" s="39" t="s">
        <v>865</v>
      </c>
      <c r="B575" s="46" t="s">
        <v>285</v>
      </c>
      <c r="C575" s="39" t="s">
        <v>856</v>
      </c>
      <c r="D575" s="72">
        <v>110726520</v>
      </c>
      <c r="E575" s="73">
        <v>9197963782</v>
      </c>
      <c r="F575" s="39" t="s">
        <v>256</v>
      </c>
      <c r="G575" s="49">
        <v>36498</v>
      </c>
      <c r="H575" s="50" t="str">
        <f t="shared" si="16"/>
        <v>Dec</v>
      </c>
      <c r="I575" s="51">
        <f t="shared" ca="1" si="17"/>
        <v>16</v>
      </c>
      <c r="J575" s="52" t="s">
        <v>257</v>
      </c>
      <c r="K575" s="53">
        <v>94450</v>
      </c>
      <c r="L575" s="54">
        <v>4</v>
      </c>
      <c r="M575" s="55"/>
    </row>
    <row r="576" spans="1:17">
      <c r="A576" s="39" t="s">
        <v>866</v>
      </c>
      <c r="B576" s="46" t="s">
        <v>285</v>
      </c>
      <c r="C576" s="39" t="s">
        <v>856</v>
      </c>
      <c r="D576" s="72">
        <v>932553359</v>
      </c>
      <c r="E576" s="73">
        <v>9192376215</v>
      </c>
      <c r="F576" s="39" t="s">
        <v>247</v>
      </c>
      <c r="G576" s="49">
        <v>40721</v>
      </c>
      <c r="H576" s="50" t="str">
        <f t="shared" si="16"/>
        <v>Jun</v>
      </c>
      <c r="I576" s="51">
        <f t="shared" ca="1" si="17"/>
        <v>5</v>
      </c>
      <c r="J576" s="52"/>
      <c r="K576" s="53">
        <v>51980</v>
      </c>
      <c r="L576" s="54">
        <v>5</v>
      </c>
      <c r="M576" s="55"/>
    </row>
    <row r="577" spans="1:13">
      <c r="A577" s="39" t="s">
        <v>867</v>
      </c>
      <c r="B577" s="46" t="s">
        <v>271</v>
      </c>
      <c r="C577" s="39" t="s">
        <v>856</v>
      </c>
      <c r="D577" s="72">
        <v>705186668</v>
      </c>
      <c r="E577" s="73">
        <v>9193922813</v>
      </c>
      <c r="F577" s="39" t="s">
        <v>252</v>
      </c>
      <c r="G577" s="49">
        <v>35181</v>
      </c>
      <c r="H577" s="50" t="str">
        <f t="shared" si="16"/>
        <v>Apr</v>
      </c>
      <c r="I577" s="51">
        <f t="shared" ca="1" si="17"/>
        <v>20</v>
      </c>
      <c r="J577" s="52"/>
      <c r="K577" s="53">
        <v>31780</v>
      </c>
      <c r="L577" s="54">
        <v>5</v>
      </c>
      <c r="M577" s="55"/>
    </row>
    <row r="578" spans="1:13">
      <c r="A578" s="39" t="s">
        <v>868</v>
      </c>
      <c r="B578" s="46" t="s">
        <v>266</v>
      </c>
      <c r="C578" s="39" t="s">
        <v>856</v>
      </c>
      <c r="D578" s="72">
        <v>733881041</v>
      </c>
      <c r="E578" s="73">
        <v>2524072342</v>
      </c>
      <c r="F578" s="39" t="s">
        <v>252</v>
      </c>
      <c r="G578" s="49">
        <v>37558</v>
      </c>
      <c r="H578" s="50" t="str">
        <f t="shared" ref="H578:H641" si="18">CHOOSE(MONTH(G578),"Jan","Feb","Mar","Apr","May","Jun","Jul","Aug","Sep","Oct","Nov","Dec")</f>
        <v>Oct</v>
      </c>
      <c r="I578" s="51">
        <f t="shared" ref="I578:I641" ca="1" si="19">DATEDIF(G578,TODAY(),"Y")</f>
        <v>14</v>
      </c>
      <c r="J578" s="52"/>
      <c r="K578" s="53">
        <v>18660</v>
      </c>
      <c r="L578" s="54">
        <v>4</v>
      </c>
      <c r="M578" s="55"/>
    </row>
    <row r="579" spans="1:13">
      <c r="A579" s="39" t="s">
        <v>869</v>
      </c>
      <c r="B579" s="46" t="s">
        <v>251</v>
      </c>
      <c r="C579" s="39" t="s">
        <v>856</v>
      </c>
      <c r="D579" s="72">
        <v>462461365</v>
      </c>
      <c r="E579" s="73">
        <v>2527126482</v>
      </c>
      <c r="F579" s="39" t="s">
        <v>256</v>
      </c>
      <c r="G579" s="49">
        <v>35022</v>
      </c>
      <c r="H579" s="50" t="str">
        <f t="shared" si="18"/>
        <v>Nov</v>
      </c>
      <c r="I579" s="51">
        <f t="shared" ca="1" si="19"/>
        <v>20</v>
      </c>
      <c r="J579" s="52" t="s">
        <v>283</v>
      </c>
      <c r="K579" s="53">
        <v>54130</v>
      </c>
      <c r="L579" s="54">
        <v>2</v>
      </c>
      <c r="M579" s="55"/>
    </row>
    <row r="580" spans="1:13">
      <c r="A580" s="39" t="s">
        <v>870</v>
      </c>
      <c r="B580" s="46" t="s">
        <v>285</v>
      </c>
      <c r="C580" s="39" t="s">
        <v>856</v>
      </c>
      <c r="D580" s="72">
        <v>983047016</v>
      </c>
      <c r="E580" s="73">
        <v>9198451642</v>
      </c>
      <c r="F580" s="39" t="s">
        <v>247</v>
      </c>
      <c r="G580" s="49">
        <v>39794</v>
      </c>
      <c r="H580" s="50" t="str">
        <f t="shared" si="18"/>
        <v>Dec</v>
      </c>
      <c r="I580" s="51">
        <f t="shared" ca="1" si="19"/>
        <v>7</v>
      </c>
      <c r="J580" s="52"/>
      <c r="K580" s="53">
        <v>103120</v>
      </c>
      <c r="L580" s="54">
        <v>2</v>
      </c>
      <c r="M580" s="55"/>
    </row>
    <row r="581" spans="1:13">
      <c r="A581" s="39" t="s">
        <v>871</v>
      </c>
      <c r="B581" s="46" t="s">
        <v>285</v>
      </c>
      <c r="C581" s="39" t="s">
        <v>856</v>
      </c>
      <c r="D581" s="72">
        <v>489667166</v>
      </c>
      <c r="E581" s="73">
        <v>2522238881</v>
      </c>
      <c r="F581" s="39" t="s">
        <v>256</v>
      </c>
      <c r="G581" s="49">
        <v>37408</v>
      </c>
      <c r="H581" s="50" t="str">
        <f t="shared" si="18"/>
        <v>Jun</v>
      </c>
      <c r="I581" s="51">
        <f t="shared" ca="1" si="19"/>
        <v>14</v>
      </c>
      <c r="J581" s="52" t="s">
        <v>262</v>
      </c>
      <c r="K581" s="53">
        <v>55060</v>
      </c>
      <c r="L581" s="54">
        <v>5</v>
      </c>
      <c r="M581" s="55"/>
    </row>
    <row r="582" spans="1:13">
      <c r="A582" s="39" t="s">
        <v>872</v>
      </c>
      <c r="B582" s="46" t="s">
        <v>285</v>
      </c>
      <c r="C582" s="39" t="s">
        <v>856</v>
      </c>
      <c r="D582" s="72">
        <v>826508763</v>
      </c>
      <c r="E582" s="73">
        <v>2526801348</v>
      </c>
      <c r="F582" s="39" t="s">
        <v>256</v>
      </c>
      <c r="G582" s="49">
        <v>40746</v>
      </c>
      <c r="H582" s="50" t="str">
        <f t="shared" si="18"/>
        <v>Jul</v>
      </c>
      <c r="I582" s="51">
        <f t="shared" ca="1" si="19"/>
        <v>5</v>
      </c>
      <c r="J582" s="52" t="s">
        <v>283</v>
      </c>
      <c r="K582" s="53">
        <v>35200</v>
      </c>
      <c r="L582" s="54">
        <v>5</v>
      </c>
      <c r="M582" s="55"/>
    </row>
    <row r="583" spans="1:13">
      <c r="A583" s="39" t="s">
        <v>873</v>
      </c>
      <c r="B583" s="46" t="s">
        <v>285</v>
      </c>
      <c r="C583" s="39" t="s">
        <v>856</v>
      </c>
      <c r="D583" s="72">
        <v>135633006</v>
      </c>
      <c r="E583" s="73">
        <v>2526732103</v>
      </c>
      <c r="F583" s="39" t="s">
        <v>247</v>
      </c>
      <c r="G583" s="49">
        <v>37480</v>
      </c>
      <c r="H583" s="50" t="str">
        <f t="shared" si="18"/>
        <v>Aug</v>
      </c>
      <c r="I583" s="51">
        <f t="shared" ca="1" si="19"/>
        <v>14</v>
      </c>
      <c r="J583" s="52"/>
      <c r="K583" s="53">
        <v>65810</v>
      </c>
      <c r="L583" s="54">
        <v>4</v>
      </c>
      <c r="M583" s="55"/>
    </row>
    <row r="584" spans="1:13">
      <c r="A584" s="39" t="s">
        <v>874</v>
      </c>
      <c r="B584" s="46" t="s">
        <v>271</v>
      </c>
      <c r="C584" s="39" t="s">
        <v>856</v>
      </c>
      <c r="D584" s="72">
        <v>548704405</v>
      </c>
      <c r="E584" s="73">
        <v>2526458440</v>
      </c>
      <c r="F584" s="39" t="s">
        <v>247</v>
      </c>
      <c r="G584" s="49">
        <v>37407</v>
      </c>
      <c r="H584" s="50" t="str">
        <f t="shared" si="18"/>
        <v>May</v>
      </c>
      <c r="I584" s="51">
        <f t="shared" ca="1" si="19"/>
        <v>14</v>
      </c>
      <c r="J584" s="52"/>
      <c r="K584" s="53">
        <v>72960</v>
      </c>
      <c r="L584" s="54">
        <v>4</v>
      </c>
      <c r="M584" s="55"/>
    </row>
    <row r="585" spans="1:13">
      <c r="A585" s="39" t="s">
        <v>875</v>
      </c>
      <c r="B585" s="46" t="s">
        <v>285</v>
      </c>
      <c r="C585" s="39" t="s">
        <v>856</v>
      </c>
      <c r="D585" s="72">
        <v>100703382</v>
      </c>
      <c r="E585" s="73">
        <v>9195157047</v>
      </c>
      <c r="F585" s="39" t="s">
        <v>256</v>
      </c>
      <c r="G585" s="49">
        <v>35161</v>
      </c>
      <c r="H585" s="50" t="str">
        <f t="shared" si="18"/>
        <v>Apr</v>
      </c>
      <c r="I585" s="51">
        <f t="shared" ca="1" si="19"/>
        <v>20</v>
      </c>
      <c r="J585" s="52" t="s">
        <v>257</v>
      </c>
      <c r="K585" s="53">
        <v>65040</v>
      </c>
      <c r="L585" s="54">
        <v>4</v>
      </c>
      <c r="M585" s="55"/>
    </row>
    <row r="586" spans="1:13">
      <c r="A586" s="39" t="s">
        <v>876</v>
      </c>
      <c r="B586" s="46" t="s">
        <v>285</v>
      </c>
      <c r="C586" s="39" t="s">
        <v>856</v>
      </c>
      <c r="D586" s="72">
        <v>622200296</v>
      </c>
      <c r="E586" s="73">
        <v>2526306545</v>
      </c>
      <c r="F586" s="39" t="s">
        <v>256</v>
      </c>
      <c r="G586" s="49">
        <v>34686</v>
      </c>
      <c r="H586" s="50" t="str">
        <f t="shared" si="18"/>
        <v>Dec</v>
      </c>
      <c r="I586" s="51">
        <f t="shared" ca="1" si="19"/>
        <v>21</v>
      </c>
      <c r="J586" s="52" t="s">
        <v>257</v>
      </c>
      <c r="K586" s="53">
        <v>78690</v>
      </c>
      <c r="L586" s="54">
        <v>3</v>
      </c>
      <c r="M586" s="55"/>
    </row>
    <row r="587" spans="1:13">
      <c r="A587" s="39" t="s">
        <v>877</v>
      </c>
      <c r="B587" s="46" t="s">
        <v>271</v>
      </c>
      <c r="C587" s="39" t="s">
        <v>856</v>
      </c>
      <c r="D587" s="72">
        <v>863736129</v>
      </c>
      <c r="E587" s="73">
        <v>2522778445</v>
      </c>
      <c r="F587" s="39" t="s">
        <v>261</v>
      </c>
      <c r="G587" s="49">
        <v>36689</v>
      </c>
      <c r="H587" s="50" t="str">
        <f t="shared" si="18"/>
        <v>Jun</v>
      </c>
      <c r="I587" s="51">
        <f t="shared" ca="1" si="19"/>
        <v>16</v>
      </c>
      <c r="J587" s="52" t="s">
        <v>283</v>
      </c>
      <c r="K587" s="53">
        <v>51290</v>
      </c>
      <c r="L587" s="54">
        <v>2</v>
      </c>
      <c r="M587" s="55"/>
    </row>
    <row r="588" spans="1:13">
      <c r="A588" s="39" t="s">
        <v>878</v>
      </c>
      <c r="B588" s="46" t="s">
        <v>285</v>
      </c>
      <c r="C588" s="39" t="s">
        <v>856</v>
      </c>
      <c r="D588" s="72">
        <v>784064156</v>
      </c>
      <c r="E588" s="78">
        <v>9193355152</v>
      </c>
      <c r="F588" s="39" t="s">
        <v>256</v>
      </c>
      <c r="G588" s="49">
        <v>34605</v>
      </c>
      <c r="H588" s="50" t="str">
        <f t="shared" si="18"/>
        <v>Sep</v>
      </c>
      <c r="I588" s="51">
        <f t="shared" ca="1" si="19"/>
        <v>22</v>
      </c>
      <c r="J588" s="52" t="s">
        <v>257</v>
      </c>
      <c r="K588" s="53">
        <v>65800</v>
      </c>
      <c r="L588" s="54">
        <v>1</v>
      </c>
      <c r="M588" s="55"/>
    </row>
    <row r="589" spans="1:13">
      <c r="A589" s="39" t="s">
        <v>879</v>
      </c>
      <c r="B589" s="46" t="s">
        <v>271</v>
      </c>
      <c r="C589" s="39" t="s">
        <v>856</v>
      </c>
      <c r="D589" s="72">
        <v>102159909</v>
      </c>
      <c r="E589" s="73">
        <v>2521868104</v>
      </c>
      <c r="F589" s="39" t="s">
        <v>252</v>
      </c>
      <c r="G589" s="49">
        <v>35346</v>
      </c>
      <c r="H589" s="50" t="str">
        <f t="shared" si="18"/>
        <v>Oct</v>
      </c>
      <c r="I589" s="51">
        <f t="shared" ca="1" si="19"/>
        <v>20</v>
      </c>
      <c r="J589" s="52"/>
      <c r="K589" s="53">
        <v>44150</v>
      </c>
      <c r="L589" s="54">
        <v>4</v>
      </c>
      <c r="M589" s="55"/>
    </row>
    <row r="590" spans="1:13">
      <c r="A590" s="39" t="s">
        <v>880</v>
      </c>
      <c r="B590" s="46" t="s">
        <v>285</v>
      </c>
      <c r="C590" s="39" t="s">
        <v>856</v>
      </c>
      <c r="D590" s="72">
        <v>708082156</v>
      </c>
      <c r="E590" s="73">
        <v>9194919822</v>
      </c>
      <c r="F590" s="39" t="s">
        <v>256</v>
      </c>
      <c r="G590" s="49">
        <v>37313</v>
      </c>
      <c r="H590" s="50" t="str">
        <f t="shared" si="18"/>
        <v>Feb</v>
      </c>
      <c r="I590" s="51">
        <f t="shared" ca="1" si="19"/>
        <v>14</v>
      </c>
      <c r="J590" s="52" t="s">
        <v>257</v>
      </c>
      <c r="K590" s="53">
        <v>83040</v>
      </c>
      <c r="L590" s="54">
        <v>4</v>
      </c>
      <c r="M590" s="55"/>
    </row>
    <row r="591" spans="1:13">
      <c r="A591" s="39" t="s">
        <v>881</v>
      </c>
      <c r="B591" s="46" t="s">
        <v>280</v>
      </c>
      <c r="C591" s="39" t="s">
        <v>856</v>
      </c>
      <c r="D591" s="72">
        <v>614562070</v>
      </c>
      <c r="E591" s="73">
        <v>9192485673</v>
      </c>
      <c r="F591" s="39" t="s">
        <v>261</v>
      </c>
      <c r="G591" s="49">
        <v>38816</v>
      </c>
      <c r="H591" s="50" t="str">
        <f t="shared" si="18"/>
        <v>Apr</v>
      </c>
      <c r="I591" s="51">
        <f t="shared" ca="1" si="19"/>
        <v>10</v>
      </c>
      <c r="J591" s="52" t="s">
        <v>257</v>
      </c>
      <c r="K591" s="53">
        <v>58490</v>
      </c>
      <c r="L591" s="54">
        <v>1</v>
      </c>
      <c r="M591" s="55"/>
    </row>
    <row r="592" spans="1:13">
      <c r="A592" s="39" t="s">
        <v>882</v>
      </c>
      <c r="B592" s="46" t="s">
        <v>271</v>
      </c>
      <c r="C592" s="39" t="s">
        <v>856</v>
      </c>
      <c r="D592" s="72">
        <v>975857784</v>
      </c>
      <c r="E592" s="73">
        <v>9192390604</v>
      </c>
      <c r="F592" s="39" t="s">
        <v>247</v>
      </c>
      <c r="G592" s="49">
        <v>37643</v>
      </c>
      <c r="H592" s="50" t="str">
        <f t="shared" si="18"/>
        <v>Jan</v>
      </c>
      <c r="I592" s="51">
        <f t="shared" ca="1" si="19"/>
        <v>13</v>
      </c>
      <c r="J592" s="52"/>
      <c r="K592" s="53">
        <v>93310</v>
      </c>
      <c r="L592" s="54">
        <v>3</v>
      </c>
      <c r="M592" s="55"/>
    </row>
    <row r="593" spans="1:13">
      <c r="A593" s="39" t="s">
        <v>883</v>
      </c>
      <c r="B593" s="46" t="s">
        <v>285</v>
      </c>
      <c r="C593" s="39" t="s">
        <v>856</v>
      </c>
      <c r="D593" s="72">
        <v>323701315</v>
      </c>
      <c r="E593" s="73">
        <v>9194479196</v>
      </c>
      <c r="F593" s="39" t="s">
        <v>256</v>
      </c>
      <c r="G593" s="49">
        <v>41582</v>
      </c>
      <c r="H593" s="50" t="str">
        <f t="shared" si="18"/>
        <v>Nov</v>
      </c>
      <c r="I593" s="51">
        <f t="shared" ca="1" si="19"/>
        <v>3</v>
      </c>
      <c r="J593" s="52" t="s">
        <v>267</v>
      </c>
      <c r="K593" s="53">
        <v>96310</v>
      </c>
      <c r="L593" s="54">
        <v>3</v>
      </c>
      <c r="M593" s="55"/>
    </row>
    <row r="594" spans="1:13">
      <c r="A594" s="39" t="s">
        <v>884</v>
      </c>
      <c r="B594" s="46" t="s">
        <v>266</v>
      </c>
      <c r="C594" s="39" t="s">
        <v>856</v>
      </c>
      <c r="D594" s="72">
        <v>878902154</v>
      </c>
      <c r="E594" s="73">
        <v>9191155509</v>
      </c>
      <c r="F594" s="39" t="s">
        <v>261</v>
      </c>
      <c r="G594" s="49">
        <v>34891</v>
      </c>
      <c r="H594" s="50" t="str">
        <f t="shared" si="18"/>
        <v>Jul</v>
      </c>
      <c r="I594" s="51">
        <f t="shared" ca="1" si="19"/>
        <v>21</v>
      </c>
      <c r="J594" s="52" t="s">
        <v>283</v>
      </c>
      <c r="K594" s="53">
        <v>31060</v>
      </c>
      <c r="L594" s="54">
        <v>5</v>
      </c>
      <c r="M594" s="55"/>
    </row>
    <row r="595" spans="1:13">
      <c r="A595" s="39" t="s">
        <v>885</v>
      </c>
      <c r="B595" s="46" t="s">
        <v>271</v>
      </c>
      <c r="C595" s="39" t="s">
        <v>856</v>
      </c>
      <c r="D595" s="72">
        <v>562497973</v>
      </c>
      <c r="E595" s="73">
        <v>2524111882</v>
      </c>
      <c r="F595" s="39" t="s">
        <v>256</v>
      </c>
      <c r="G595" s="49">
        <v>36357</v>
      </c>
      <c r="H595" s="50" t="str">
        <f t="shared" si="18"/>
        <v>Jul</v>
      </c>
      <c r="I595" s="51">
        <f t="shared" ca="1" si="19"/>
        <v>17</v>
      </c>
      <c r="J595" s="52" t="s">
        <v>262</v>
      </c>
      <c r="K595" s="53">
        <v>75640</v>
      </c>
      <c r="L595" s="54">
        <v>1</v>
      </c>
      <c r="M595" s="55"/>
    </row>
    <row r="596" spans="1:13">
      <c r="A596" s="39" t="s">
        <v>886</v>
      </c>
      <c r="B596" s="46" t="s">
        <v>285</v>
      </c>
      <c r="C596" s="39" t="s">
        <v>856</v>
      </c>
      <c r="D596" s="72">
        <v>331251341</v>
      </c>
      <c r="E596" s="73">
        <v>2528678875</v>
      </c>
      <c r="F596" s="39" t="s">
        <v>256</v>
      </c>
      <c r="G596" s="49">
        <v>36897</v>
      </c>
      <c r="H596" s="50" t="str">
        <f t="shared" si="18"/>
        <v>Jan</v>
      </c>
      <c r="I596" s="51">
        <f t="shared" ca="1" si="19"/>
        <v>15</v>
      </c>
      <c r="J596" s="52" t="s">
        <v>283</v>
      </c>
      <c r="K596" s="53">
        <v>84340</v>
      </c>
      <c r="L596" s="54">
        <v>3</v>
      </c>
      <c r="M596" s="55"/>
    </row>
    <row r="597" spans="1:13">
      <c r="A597" s="39" t="s">
        <v>887</v>
      </c>
      <c r="B597" s="46" t="s">
        <v>266</v>
      </c>
      <c r="C597" s="39" t="s">
        <v>856</v>
      </c>
      <c r="D597" s="72">
        <v>687623890</v>
      </c>
      <c r="E597" s="73">
        <v>2522447501</v>
      </c>
      <c r="F597" s="39" t="s">
        <v>252</v>
      </c>
      <c r="G597" s="49">
        <v>36035</v>
      </c>
      <c r="H597" s="50" t="str">
        <f t="shared" si="18"/>
        <v>Aug</v>
      </c>
      <c r="I597" s="51">
        <f t="shared" ca="1" si="19"/>
        <v>18</v>
      </c>
      <c r="J597" s="52"/>
      <c r="K597" s="53">
        <v>28430</v>
      </c>
      <c r="L597" s="54">
        <v>4</v>
      </c>
      <c r="M597" s="55"/>
    </row>
    <row r="598" spans="1:13">
      <c r="A598" s="39" t="s">
        <v>888</v>
      </c>
      <c r="B598" s="46" t="s">
        <v>285</v>
      </c>
      <c r="C598" s="39" t="s">
        <v>856</v>
      </c>
      <c r="D598" s="72">
        <v>351003584</v>
      </c>
      <c r="E598" s="73">
        <v>2524269081</v>
      </c>
      <c r="F598" s="39" t="s">
        <v>247</v>
      </c>
      <c r="G598" s="49">
        <v>37215</v>
      </c>
      <c r="H598" s="50" t="str">
        <f t="shared" si="18"/>
        <v>Nov</v>
      </c>
      <c r="I598" s="51">
        <f t="shared" ca="1" si="19"/>
        <v>14</v>
      </c>
      <c r="J598" s="52"/>
      <c r="K598" s="53">
        <v>63970</v>
      </c>
      <c r="L598" s="54">
        <v>5</v>
      </c>
      <c r="M598" s="55"/>
    </row>
    <row r="599" spans="1:13">
      <c r="A599" s="39" t="s">
        <v>889</v>
      </c>
      <c r="B599" s="46" t="s">
        <v>285</v>
      </c>
      <c r="C599" s="39" t="s">
        <v>856</v>
      </c>
      <c r="D599" s="72">
        <v>693055639</v>
      </c>
      <c r="E599" s="73">
        <v>9195866887</v>
      </c>
      <c r="F599" s="39" t="s">
        <v>256</v>
      </c>
      <c r="G599" s="49">
        <v>34223</v>
      </c>
      <c r="H599" s="50" t="str">
        <f t="shared" si="18"/>
        <v>Sep</v>
      </c>
      <c r="I599" s="51">
        <f t="shared" ca="1" si="19"/>
        <v>23</v>
      </c>
      <c r="J599" s="52" t="s">
        <v>257</v>
      </c>
      <c r="K599" s="53">
        <v>64680</v>
      </c>
      <c r="L599" s="54">
        <v>5</v>
      </c>
      <c r="M599" s="55"/>
    </row>
    <row r="600" spans="1:13">
      <c r="A600" s="39" t="s">
        <v>890</v>
      </c>
      <c r="B600" s="46" t="s">
        <v>271</v>
      </c>
      <c r="C600" s="39" t="s">
        <v>856</v>
      </c>
      <c r="D600" s="72">
        <v>277925508</v>
      </c>
      <c r="E600" s="73">
        <v>2526584511</v>
      </c>
      <c r="F600" s="39" t="s">
        <v>256</v>
      </c>
      <c r="G600" s="49">
        <v>36374</v>
      </c>
      <c r="H600" s="50" t="str">
        <f t="shared" si="18"/>
        <v>Aug</v>
      </c>
      <c r="I600" s="51">
        <f t="shared" ca="1" si="19"/>
        <v>17</v>
      </c>
      <c r="J600" s="52" t="s">
        <v>283</v>
      </c>
      <c r="K600" s="53">
        <v>79730</v>
      </c>
      <c r="L600" s="54">
        <v>3</v>
      </c>
      <c r="M600" s="55"/>
    </row>
    <row r="601" spans="1:13">
      <c r="A601" s="39" t="s">
        <v>891</v>
      </c>
      <c r="B601" s="46" t="s">
        <v>271</v>
      </c>
      <c r="C601" s="39" t="s">
        <v>856</v>
      </c>
      <c r="D601" s="72">
        <v>750581894</v>
      </c>
      <c r="E601" s="73">
        <v>2528433766</v>
      </c>
      <c r="F601" s="39" t="s">
        <v>247</v>
      </c>
      <c r="G601" s="49">
        <v>41351</v>
      </c>
      <c r="H601" s="50" t="str">
        <f t="shared" si="18"/>
        <v>Mar</v>
      </c>
      <c r="I601" s="51">
        <f t="shared" ca="1" si="19"/>
        <v>3</v>
      </c>
      <c r="J601" s="52"/>
      <c r="K601" s="53">
        <v>25900</v>
      </c>
      <c r="L601" s="54">
        <v>3</v>
      </c>
      <c r="M601" s="55"/>
    </row>
    <row r="602" spans="1:13">
      <c r="A602" s="39" t="s">
        <v>892</v>
      </c>
      <c r="B602" s="46" t="s">
        <v>280</v>
      </c>
      <c r="C602" s="39" t="s">
        <v>856</v>
      </c>
      <c r="D602" s="72">
        <v>491830893</v>
      </c>
      <c r="E602" s="73">
        <v>2524713634</v>
      </c>
      <c r="F602" s="39" t="s">
        <v>256</v>
      </c>
      <c r="G602" s="49">
        <v>41079</v>
      </c>
      <c r="H602" s="50" t="str">
        <f t="shared" si="18"/>
        <v>Jun</v>
      </c>
      <c r="I602" s="51">
        <f t="shared" ca="1" si="19"/>
        <v>4</v>
      </c>
      <c r="J602" s="52" t="s">
        <v>283</v>
      </c>
      <c r="K602" s="53">
        <v>27830</v>
      </c>
      <c r="L602" s="54">
        <v>5</v>
      </c>
      <c r="M602" s="55"/>
    </row>
    <row r="603" spans="1:13">
      <c r="A603" s="39" t="s">
        <v>893</v>
      </c>
      <c r="B603" s="46" t="s">
        <v>280</v>
      </c>
      <c r="C603" s="39" t="s">
        <v>856</v>
      </c>
      <c r="D603" s="72">
        <v>666194498</v>
      </c>
      <c r="E603" s="73">
        <v>2526593848</v>
      </c>
      <c r="F603" s="39" t="s">
        <v>256</v>
      </c>
      <c r="G603" s="49">
        <v>39354</v>
      </c>
      <c r="H603" s="50" t="str">
        <f t="shared" si="18"/>
        <v>Sep</v>
      </c>
      <c r="I603" s="51">
        <f t="shared" ca="1" si="19"/>
        <v>9</v>
      </c>
      <c r="J603" s="52" t="s">
        <v>283</v>
      </c>
      <c r="K603" s="53">
        <v>100450</v>
      </c>
      <c r="L603" s="54">
        <v>3</v>
      </c>
      <c r="M603" s="55"/>
    </row>
    <row r="604" spans="1:13">
      <c r="A604" s="39" t="s">
        <v>894</v>
      </c>
      <c r="B604" s="46" t="s">
        <v>245</v>
      </c>
      <c r="C604" s="39" t="s">
        <v>856</v>
      </c>
      <c r="D604" s="72">
        <v>352371400</v>
      </c>
      <c r="E604" s="78">
        <v>2525441252</v>
      </c>
      <c r="F604" s="39" t="s">
        <v>252</v>
      </c>
      <c r="G604" s="49">
        <v>34257</v>
      </c>
      <c r="H604" s="50" t="str">
        <f t="shared" si="18"/>
        <v>Oct</v>
      </c>
      <c r="I604" s="51">
        <f t="shared" ca="1" si="19"/>
        <v>23</v>
      </c>
      <c r="J604" s="52"/>
      <c r="K604" s="53">
        <v>36560</v>
      </c>
      <c r="L604" s="54">
        <v>2</v>
      </c>
      <c r="M604" s="55"/>
    </row>
    <row r="605" spans="1:13">
      <c r="A605" s="39" t="s">
        <v>895</v>
      </c>
      <c r="B605" s="46" t="s">
        <v>271</v>
      </c>
      <c r="C605" s="39" t="s">
        <v>856</v>
      </c>
      <c r="D605" s="72">
        <v>836953739</v>
      </c>
      <c r="E605" s="73">
        <v>2526443692</v>
      </c>
      <c r="F605" s="39" t="s">
        <v>261</v>
      </c>
      <c r="G605" s="49">
        <v>37532</v>
      </c>
      <c r="H605" s="50" t="str">
        <f t="shared" si="18"/>
        <v>Oct</v>
      </c>
      <c r="I605" s="51">
        <f t="shared" ca="1" si="19"/>
        <v>14</v>
      </c>
      <c r="J605" s="52" t="s">
        <v>267</v>
      </c>
      <c r="K605" s="53">
        <v>25190</v>
      </c>
      <c r="L605" s="54">
        <v>4</v>
      </c>
      <c r="M605" s="55"/>
    </row>
    <row r="606" spans="1:13">
      <c r="A606" s="39" t="s">
        <v>896</v>
      </c>
      <c r="B606" s="46" t="s">
        <v>271</v>
      </c>
      <c r="C606" s="39" t="s">
        <v>856</v>
      </c>
      <c r="D606" s="72">
        <v>304024314</v>
      </c>
      <c r="E606" s="73">
        <v>9192244880</v>
      </c>
      <c r="F606" s="39" t="s">
        <v>247</v>
      </c>
      <c r="G606" s="49">
        <v>34422</v>
      </c>
      <c r="H606" s="50" t="str">
        <f t="shared" si="18"/>
        <v>Mar</v>
      </c>
      <c r="I606" s="51">
        <f t="shared" ca="1" si="19"/>
        <v>22</v>
      </c>
      <c r="J606" s="52"/>
      <c r="K606" s="53">
        <v>55980</v>
      </c>
      <c r="L606" s="54">
        <v>2</v>
      </c>
      <c r="M606" s="55"/>
    </row>
    <row r="607" spans="1:13">
      <c r="A607" s="39" t="s">
        <v>897</v>
      </c>
      <c r="B607" s="46" t="s">
        <v>285</v>
      </c>
      <c r="C607" s="39" t="s">
        <v>856</v>
      </c>
      <c r="D607" s="72">
        <v>750722934</v>
      </c>
      <c r="E607" s="73">
        <v>2523631883</v>
      </c>
      <c r="F607" s="39" t="s">
        <v>256</v>
      </c>
      <c r="G607" s="49">
        <v>36570</v>
      </c>
      <c r="H607" s="50" t="str">
        <f t="shared" si="18"/>
        <v>Feb</v>
      </c>
      <c r="I607" s="51">
        <f t="shared" ca="1" si="19"/>
        <v>16</v>
      </c>
      <c r="J607" s="52" t="s">
        <v>283</v>
      </c>
      <c r="K607" s="53">
        <v>45320</v>
      </c>
      <c r="L607" s="54">
        <v>5</v>
      </c>
      <c r="M607" s="55"/>
    </row>
    <row r="608" spans="1:13">
      <c r="A608" s="39" t="s">
        <v>898</v>
      </c>
      <c r="B608" s="46" t="s">
        <v>271</v>
      </c>
      <c r="C608" s="39" t="s">
        <v>856</v>
      </c>
      <c r="D608" s="72">
        <v>404589373</v>
      </c>
      <c r="E608" s="73">
        <v>9198407416</v>
      </c>
      <c r="F608" s="39" t="s">
        <v>256</v>
      </c>
      <c r="G608" s="49">
        <v>35029</v>
      </c>
      <c r="H608" s="50" t="str">
        <f t="shared" si="18"/>
        <v>Nov</v>
      </c>
      <c r="I608" s="51">
        <f t="shared" ca="1" si="19"/>
        <v>20</v>
      </c>
      <c r="J608" s="52" t="s">
        <v>283</v>
      </c>
      <c r="K608" s="53">
        <v>80190</v>
      </c>
      <c r="L608" s="54">
        <v>2</v>
      </c>
      <c r="M608" s="55"/>
    </row>
    <row r="609" spans="1:13">
      <c r="A609" s="39" t="s">
        <v>899</v>
      </c>
      <c r="B609" s="46" t="s">
        <v>245</v>
      </c>
      <c r="C609" s="39" t="s">
        <v>856</v>
      </c>
      <c r="D609" s="72">
        <v>291274360</v>
      </c>
      <c r="E609" s="73">
        <v>2524563177</v>
      </c>
      <c r="F609" s="39" t="s">
        <v>256</v>
      </c>
      <c r="G609" s="49">
        <v>37082</v>
      </c>
      <c r="H609" s="50" t="str">
        <f t="shared" si="18"/>
        <v>Jul</v>
      </c>
      <c r="I609" s="51">
        <f t="shared" ca="1" si="19"/>
        <v>15</v>
      </c>
      <c r="J609" s="52" t="s">
        <v>283</v>
      </c>
      <c r="K609" s="53">
        <v>80890</v>
      </c>
      <c r="L609" s="54">
        <v>5</v>
      </c>
      <c r="M609" s="55"/>
    </row>
    <row r="610" spans="1:13">
      <c r="A610" s="39" t="s">
        <v>900</v>
      </c>
      <c r="B610" s="46" t="s">
        <v>245</v>
      </c>
      <c r="C610" s="39" t="s">
        <v>856</v>
      </c>
      <c r="D610" s="72">
        <v>221347766</v>
      </c>
      <c r="E610" s="73">
        <v>2526853122</v>
      </c>
      <c r="F610" s="39" t="s">
        <v>247</v>
      </c>
      <c r="G610" s="49">
        <v>37071</v>
      </c>
      <c r="H610" s="50" t="str">
        <f t="shared" si="18"/>
        <v>Jun</v>
      </c>
      <c r="I610" s="51">
        <f t="shared" ca="1" si="19"/>
        <v>15</v>
      </c>
      <c r="J610" s="52"/>
      <c r="K610" s="53">
        <v>70860</v>
      </c>
      <c r="L610" s="54">
        <v>4</v>
      </c>
      <c r="M610" s="55"/>
    </row>
    <row r="611" spans="1:13">
      <c r="A611" s="39" t="s">
        <v>901</v>
      </c>
      <c r="B611" s="46" t="s">
        <v>271</v>
      </c>
      <c r="C611" s="39" t="s">
        <v>856</v>
      </c>
      <c r="D611" s="72">
        <v>718930584</v>
      </c>
      <c r="E611" s="73">
        <v>9195804771</v>
      </c>
      <c r="F611" s="39" t="s">
        <v>261</v>
      </c>
      <c r="G611" s="49">
        <v>37197</v>
      </c>
      <c r="H611" s="50" t="str">
        <f t="shared" si="18"/>
        <v>Nov</v>
      </c>
      <c r="I611" s="51">
        <f t="shared" ca="1" si="19"/>
        <v>15</v>
      </c>
      <c r="J611" s="52" t="s">
        <v>257</v>
      </c>
      <c r="K611" s="53">
        <v>41980</v>
      </c>
      <c r="L611" s="54">
        <v>2</v>
      </c>
      <c r="M611" s="55"/>
    </row>
    <row r="612" spans="1:13">
      <c r="A612" s="39" t="s">
        <v>902</v>
      </c>
      <c r="B612" s="46" t="s">
        <v>271</v>
      </c>
      <c r="C612" s="39" t="s">
        <v>856</v>
      </c>
      <c r="D612" s="72">
        <v>644489557</v>
      </c>
      <c r="E612" s="73">
        <v>2526532463</v>
      </c>
      <c r="F612" s="39" t="s">
        <v>256</v>
      </c>
      <c r="G612" s="49">
        <v>37013</v>
      </c>
      <c r="H612" s="50" t="str">
        <f t="shared" si="18"/>
        <v>May</v>
      </c>
      <c r="I612" s="51">
        <f t="shared" ca="1" si="19"/>
        <v>15</v>
      </c>
      <c r="J612" s="52" t="s">
        <v>262</v>
      </c>
      <c r="K612" s="53">
        <v>94740</v>
      </c>
      <c r="L612" s="54">
        <v>1</v>
      </c>
      <c r="M612" s="55"/>
    </row>
    <row r="613" spans="1:13">
      <c r="A613" s="39" t="s">
        <v>903</v>
      </c>
      <c r="B613" s="46" t="s">
        <v>271</v>
      </c>
      <c r="C613" s="39" t="s">
        <v>856</v>
      </c>
      <c r="D613" s="72">
        <v>180832423</v>
      </c>
      <c r="E613" s="73">
        <v>9198097539</v>
      </c>
      <c r="F613" s="39" t="s">
        <v>256</v>
      </c>
      <c r="G613" s="49">
        <v>37079</v>
      </c>
      <c r="H613" s="50" t="str">
        <f t="shared" si="18"/>
        <v>Jul</v>
      </c>
      <c r="I613" s="51">
        <f t="shared" ca="1" si="19"/>
        <v>15</v>
      </c>
      <c r="J613" s="52" t="s">
        <v>276</v>
      </c>
      <c r="K613" s="53">
        <v>95530</v>
      </c>
      <c r="L613" s="54">
        <v>2</v>
      </c>
      <c r="M613" s="55"/>
    </row>
    <row r="614" spans="1:13">
      <c r="A614" s="39" t="s">
        <v>904</v>
      </c>
      <c r="B614" s="46" t="s">
        <v>266</v>
      </c>
      <c r="C614" s="39" t="s">
        <v>856</v>
      </c>
      <c r="D614" s="72">
        <v>781472289</v>
      </c>
      <c r="E614" s="73">
        <v>2528502926</v>
      </c>
      <c r="F614" s="39" t="s">
        <v>256</v>
      </c>
      <c r="G614" s="49">
        <v>34549</v>
      </c>
      <c r="H614" s="50" t="str">
        <f t="shared" si="18"/>
        <v>Aug</v>
      </c>
      <c r="I614" s="51">
        <f t="shared" ca="1" si="19"/>
        <v>22</v>
      </c>
      <c r="J614" s="52" t="s">
        <v>283</v>
      </c>
      <c r="K614" s="53">
        <v>75660</v>
      </c>
      <c r="L614" s="54">
        <v>3</v>
      </c>
      <c r="M614" s="55"/>
    </row>
    <row r="615" spans="1:13">
      <c r="A615" s="39" t="s">
        <v>905</v>
      </c>
      <c r="B615" s="46" t="s">
        <v>245</v>
      </c>
      <c r="C615" s="39" t="s">
        <v>856</v>
      </c>
      <c r="D615" s="72">
        <v>855135948</v>
      </c>
      <c r="E615" s="73">
        <v>9196408497</v>
      </c>
      <c r="F615" s="39" t="s">
        <v>256</v>
      </c>
      <c r="G615" s="49">
        <v>40816</v>
      </c>
      <c r="H615" s="50" t="str">
        <f t="shared" si="18"/>
        <v>Sep</v>
      </c>
      <c r="I615" s="51">
        <f t="shared" ca="1" si="19"/>
        <v>5</v>
      </c>
      <c r="J615" s="52" t="s">
        <v>283</v>
      </c>
      <c r="K615" s="53">
        <v>86470</v>
      </c>
      <c r="L615" s="54">
        <v>2</v>
      </c>
      <c r="M615" s="55"/>
    </row>
    <row r="616" spans="1:13">
      <c r="A616" s="39" t="s">
        <v>906</v>
      </c>
      <c r="B616" s="46" t="s">
        <v>280</v>
      </c>
      <c r="C616" s="39" t="s">
        <v>856</v>
      </c>
      <c r="D616" s="72">
        <v>531654742</v>
      </c>
      <c r="E616" s="73">
        <v>9195770085</v>
      </c>
      <c r="F616" s="39" t="s">
        <v>256</v>
      </c>
      <c r="G616" s="49">
        <v>38794</v>
      </c>
      <c r="H616" s="50" t="str">
        <f t="shared" si="18"/>
        <v>Mar</v>
      </c>
      <c r="I616" s="51">
        <f t="shared" ca="1" si="19"/>
        <v>10</v>
      </c>
      <c r="J616" s="52" t="s">
        <v>257</v>
      </c>
      <c r="K616" s="53">
        <v>35050</v>
      </c>
      <c r="L616" s="54">
        <v>5</v>
      </c>
      <c r="M616" s="55"/>
    </row>
    <row r="617" spans="1:13">
      <c r="A617" s="39" t="s">
        <v>907</v>
      </c>
      <c r="B617" s="46" t="s">
        <v>251</v>
      </c>
      <c r="C617" s="39" t="s">
        <v>856</v>
      </c>
      <c r="D617" s="72">
        <v>593584018</v>
      </c>
      <c r="E617" s="73">
        <v>9194626281</v>
      </c>
      <c r="F617" s="39" t="s">
        <v>256</v>
      </c>
      <c r="G617" s="49">
        <v>34455</v>
      </c>
      <c r="H617" s="50" t="str">
        <f t="shared" si="18"/>
        <v>May</v>
      </c>
      <c r="I617" s="51">
        <f t="shared" ca="1" si="19"/>
        <v>22</v>
      </c>
      <c r="J617" s="52" t="s">
        <v>257</v>
      </c>
      <c r="K617" s="53">
        <v>81500</v>
      </c>
      <c r="L617" s="54">
        <v>4</v>
      </c>
      <c r="M617" s="55"/>
    </row>
    <row r="618" spans="1:13">
      <c r="A618" s="39" t="s">
        <v>908</v>
      </c>
      <c r="B618" s="46" t="s">
        <v>285</v>
      </c>
      <c r="C618" s="39" t="s">
        <v>856</v>
      </c>
      <c r="D618" s="72">
        <v>195772503</v>
      </c>
      <c r="E618" s="73">
        <v>9193123940</v>
      </c>
      <c r="F618" s="39" t="s">
        <v>247</v>
      </c>
      <c r="G618" s="49">
        <v>34915</v>
      </c>
      <c r="H618" s="50" t="str">
        <f t="shared" si="18"/>
        <v>Aug</v>
      </c>
      <c r="I618" s="51">
        <f t="shared" ca="1" si="19"/>
        <v>21</v>
      </c>
      <c r="J618" s="52"/>
      <c r="K618" s="53">
        <v>66830</v>
      </c>
      <c r="L618" s="54">
        <v>2</v>
      </c>
      <c r="M618" s="55"/>
    </row>
    <row r="619" spans="1:13">
      <c r="A619" s="39" t="s">
        <v>909</v>
      </c>
      <c r="B619" s="46" t="s">
        <v>285</v>
      </c>
      <c r="C619" s="39" t="s">
        <v>856</v>
      </c>
      <c r="D619" s="72">
        <v>693965055</v>
      </c>
      <c r="E619" s="73">
        <v>2527853314</v>
      </c>
      <c r="F619" s="39" t="s">
        <v>256</v>
      </c>
      <c r="G619" s="49">
        <v>34712</v>
      </c>
      <c r="H619" s="50" t="str">
        <f t="shared" si="18"/>
        <v>Jan</v>
      </c>
      <c r="I619" s="51">
        <f t="shared" ca="1" si="19"/>
        <v>21</v>
      </c>
      <c r="J619" s="52" t="s">
        <v>257</v>
      </c>
      <c r="K619" s="53">
        <v>82160</v>
      </c>
      <c r="L619" s="54">
        <v>4</v>
      </c>
      <c r="M619" s="55"/>
    </row>
    <row r="620" spans="1:13">
      <c r="A620" s="39" t="s">
        <v>910</v>
      </c>
      <c r="B620" s="46" t="s">
        <v>245</v>
      </c>
      <c r="C620" s="39" t="s">
        <v>856</v>
      </c>
      <c r="D620" s="72">
        <v>649292883</v>
      </c>
      <c r="E620" s="73">
        <v>9198413896</v>
      </c>
      <c r="F620" s="39" t="s">
        <v>256</v>
      </c>
      <c r="G620" s="49">
        <v>39238</v>
      </c>
      <c r="H620" s="50" t="str">
        <f t="shared" si="18"/>
        <v>Jun</v>
      </c>
      <c r="I620" s="51">
        <f t="shared" ca="1" si="19"/>
        <v>9</v>
      </c>
      <c r="J620" s="52" t="s">
        <v>283</v>
      </c>
      <c r="K620" s="53">
        <v>38290</v>
      </c>
      <c r="L620" s="54">
        <v>5</v>
      </c>
      <c r="M620" s="55"/>
    </row>
    <row r="621" spans="1:13">
      <c r="A621" s="39" t="s">
        <v>911</v>
      </c>
      <c r="B621" s="46" t="s">
        <v>280</v>
      </c>
      <c r="C621" s="39" t="s">
        <v>856</v>
      </c>
      <c r="D621" s="72">
        <v>619456809</v>
      </c>
      <c r="E621" s="73">
        <v>9196865606</v>
      </c>
      <c r="F621" s="39" t="s">
        <v>261</v>
      </c>
      <c r="G621" s="49">
        <v>36843</v>
      </c>
      <c r="H621" s="50" t="str">
        <f t="shared" si="18"/>
        <v>Nov</v>
      </c>
      <c r="I621" s="51">
        <f t="shared" ca="1" si="19"/>
        <v>15</v>
      </c>
      <c r="J621" s="52" t="s">
        <v>267</v>
      </c>
      <c r="K621" s="53">
        <v>47440</v>
      </c>
      <c r="L621" s="54">
        <v>5</v>
      </c>
      <c r="M621" s="55"/>
    </row>
    <row r="622" spans="1:13">
      <c r="A622" s="39" t="s">
        <v>912</v>
      </c>
      <c r="B622" s="46" t="s">
        <v>245</v>
      </c>
      <c r="C622" s="39" t="s">
        <v>856</v>
      </c>
      <c r="D622" s="72">
        <v>426014550</v>
      </c>
      <c r="E622" s="73">
        <v>2522889182</v>
      </c>
      <c r="F622" s="39" t="s">
        <v>256</v>
      </c>
      <c r="G622" s="49">
        <v>36452</v>
      </c>
      <c r="H622" s="50" t="str">
        <f t="shared" si="18"/>
        <v>Oct</v>
      </c>
      <c r="I622" s="51">
        <f t="shared" ca="1" si="19"/>
        <v>17</v>
      </c>
      <c r="J622" s="52" t="s">
        <v>276</v>
      </c>
      <c r="K622" s="53">
        <v>75560</v>
      </c>
      <c r="L622" s="54">
        <v>1</v>
      </c>
      <c r="M622" s="55"/>
    </row>
    <row r="623" spans="1:13">
      <c r="A623" s="39" t="s">
        <v>913</v>
      </c>
      <c r="B623" s="46" t="s">
        <v>245</v>
      </c>
      <c r="C623" s="39" t="s">
        <v>856</v>
      </c>
      <c r="D623" s="72">
        <v>288741910</v>
      </c>
      <c r="E623" s="73">
        <v>2522842668</v>
      </c>
      <c r="F623" s="39" t="s">
        <v>256</v>
      </c>
      <c r="G623" s="49">
        <v>37361</v>
      </c>
      <c r="H623" s="50" t="str">
        <f t="shared" si="18"/>
        <v>Apr</v>
      </c>
      <c r="I623" s="51">
        <f t="shared" ca="1" si="19"/>
        <v>14</v>
      </c>
      <c r="J623" s="52" t="s">
        <v>283</v>
      </c>
      <c r="K623" s="53">
        <v>80420</v>
      </c>
      <c r="L623" s="54">
        <v>1</v>
      </c>
      <c r="M623" s="55"/>
    </row>
    <row r="624" spans="1:13">
      <c r="A624" s="39" t="s">
        <v>914</v>
      </c>
      <c r="B624" s="46" t="s">
        <v>245</v>
      </c>
      <c r="C624" s="39" t="s">
        <v>856</v>
      </c>
      <c r="D624" s="72">
        <v>357568979</v>
      </c>
      <c r="E624" s="73">
        <v>2524316324</v>
      </c>
      <c r="F624" s="39" t="s">
        <v>261</v>
      </c>
      <c r="G624" s="49">
        <v>38776</v>
      </c>
      <c r="H624" s="50" t="str">
        <f t="shared" si="18"/>
        <v>Feb</v>
      </c>
      <c r="I624" s="51">
        <f t="shared" ca="1" si="19"/>
        <v>10</v>
      </c>
      <c r="J624" s="52" t="s">
        <v>262</v>
      </c>
      <c r="K624" s="53">
        <v>34230</v>
      </c>
      <c r="L624" s="54">
        <v>4</v>
      </c>
      <c r="M624" s="55"/>
    </row>
    <row r="625" spans="1:13">
      <c r="A625" s="39" t="s">
        <v>915</v>
      </c>
      <c r="B625" s="46" t="s">
        <v>285</v>
      </c>
      <c r="C625" s="39" t="s">
        <v>856</v>
      </c>
      <c r="D625" s="72">
        <v>393973492</v>
      </c>
      <c r="E625" s="73">
        <v>2522869792</v>
      </c>
      <c r="F625" s="39" t="s">
        <v>261</v>
      </c>
      <c r="G625" s="49">
        <v>37424</v>
      </c>
      <c r="H625" s="50" t="str">
        <f t="shared" si="18"/>
        <v>Jun</v>
      </c>
      <c r="I625" s="51">
        <f t="shared" ca="1" si="19"/>
        <v>14</v>
      </c>
      <c r="J625" s="52" t="s">
        <v>276</v>
      </c>
      <c r="K625" s="53">
        <v>56820</v>
      </c>
      <c r="L625" s="54">
        <v>1</v>
      </c>
      <c r="M625" s="55"/>
    </row>
    <row r="626" spans="1:13">
      <c r="A626" s="39" t="s">
        <v>916</v>
      </c>
      <c r="B626" s="46" t="s">
        <v>285</v>
      </c>
      <c r="C626" s="39" t="s">
        <v>856</v>
      </c>
      <c r="D626" s="72">
        <v>744830329</v>
      </c>
      <c r="E626" s="73">
        <v>9196098293</v>
      </c>
      <c r="F626" s="39" t="s">
        <v>256</v>
      </c>
      <c r="G626" s="49">
        <v>35801</v>
      </c>
      <c r="H626" s="50" t="str">
        <f t="shared" si="18"/>
        <v>Jan</v>
      </c>
      <c r="I626" s="51">
        <f t="shared" ca="1" si="19"/>
        <v>18</v>
      </c>
      <c r="J626" s="52" t="s">
        <v>262</v>
      </c>
      <c r="K626" s="53">
        <v>99240</v>
      </c>
      <c r="L626" s="54">
        <v>3</v>
      </c>
      <c r="M626" s="55"/>
    </row>
    <row r="627" spans="1:13">
      <c r="A627" s="39" t="s">
        <v>917</v>
      </c>
      <c r="B627" s="46" t="s">
        <v>285</v>
      </c>
      <c r="C627" s="39" t="s">
        <v>856</v>
      </c>
      <c r="D627" s="72">
        <v>125540405</v>
      </c>
      <c r="E627" s="73">
        <v>2524589262</v>
      </c>
      <c r="F627" s="39" t="s">
        <v>256</v>
      </c>
      <c r="G627" s="49">
        <v>37246</v>
      </c>
      <c r="H627" s="50" t="str">
        <f t="shared" si="18"/>
        <v>Dec</v>
      </c>
      <c r="I627" s="51">
        <f t="shared" ca="1" si="19"/>
        <v>14</v>
      </c>
      <c r="J627" s="52" t="s">
        <v>257</v>
      </c>
      <c r="K627" s="53">
        <v>70090</v>
      </c>
      <c r="L627" s="54">
        <v>5</v>
      </c>
      <c r="M627" s="55"/>
    </row>
    <row r="628" spans="1:13">
      <c r="A628" s="39" t="s">
        <v>918</v>
      </c>
      <c r="B628" s="46" t="s">
        <v>251</v>
      </c>
      <c r="C628" s="39" t="s">
        <v>856</v>
      </c>
      <c r="D628" s="72">
        <v>626501093</v>
      </c>
      <c r="E628" s="73">
        <v>9192822520</v>
      </c>
      <c r="F628" s="39" t="s">
        <v>247</v>
      </c>
      <c r="G628" s="49">
        <v>39028</v>
      </c>
      <c r="H628" s="50" t="str">
        <f t="shared" si="18"/>
        <v>Nov</v>
      </c>
      <c r="I628" s="51">
        <f t="shared" ca="1" si="19"/>
        <v>10</v>
      </c>
      <c r="J628" s="52"/>
      <c r="K628" s="53">
        <v>77510</v>
      </c>
      <c r="L628" s="54">
        <v>1</v>
      </c>
      <c r="M628" s="55"/>
    </row>
    <row r="629" spans="1:13">
      <c r="A629" s="39" t="s">
        <v>919</v>
      </c>
      <c r="B629" s="46" t="s">
        <v>245</v>
      </c>
      <c r="C629" s="39" t="s">
        <v>856</v>
      </c>
      <c r="D629" s="72">
        <v>186821354</v>
      </c>
      <c r="E629" s="73">
        <v>2528527032</v>
      </c>
      <c r="F629" s="39" t="s">
        <v>256</v>
      </c>
      <c r="G629" s="49">
        <v>35011</v>
      </c>
      <c r="H629" s="50" t="str">
        <f t="shared" si="18"/>
        <v>Nov</v>
      </c>
      <c r="I629" s="51">
        <f t="shared" ca="1" si="19"/>
        <v>21</v>
      </c>
      <c r="J629" s="52" t="s">
        <v>257</v>
      </c>
      <c r="K629" s="53">
        <v>65120</v>
      </c>
      <c r="L629" s="54">
        <v>3</v>
      </c>
      <c r="M629" s="55"/>
    </row>
    <row r="630" spans="1:13">
      <c r="A630" s="39" t="s">
        <v>920</v>
      </c>
      <c r="B630" s="46" t="s">
        <v>280</v>
      </c>
      <c r="C630" s="39" t="s">
        <v>856</v>
      </c>
      <c r="D630" s="72">
        <v>269873478</v>
      </c>
      <c r="E630" s="73">
        <v>9198244224</v>
      </c>
      <c r="F630" s="39" t="s">
        <v>256</v>
      </c>
      <c r="G630" s="49">
        <v>36716</v>
      </c>
      <c r="H630" s="50" t="str">
        <f t="shared" si="18"/>
        <v>Jul</v>
      </c>
      <c r="I630" s="51">
        <f t="shared" ca="1" si="19"/>
        <v>16</v>
      </c>
      <c r="J630" s="52" t="s">
        <v>283</v>
      </c>
      <c r="K630" s="53">
        <v>38540</v>
      </c>
      <c r="L630" s="54">
        <v>1</v>
      </c>
      <c r="M630" s="55"/>
    </row>
    <row r="631" spans="1:13">
      <c r="A631" s="39" t="s">
        <v>921</v>
      </c>
      <c r="B631" s="46" t="s">
        <v>245</v>
      </c>
      <c r="C631" s="39" t="s">
        <v>856</v>
      </c>
      <c r="D631" s="72">
        <v>518009092</v>
      </c>
      <c r="E631" s="73">
        <v>2528792521</v>
      </c>
      <c r="F631" s="39" t="s">
        <v>252</v>
      </c>
      <c r="G631" s="49">
        <v>36870</v>
      </c>
      <c r="H631" s="50" t="str">
        <f t="shared" si="18"/>
        <v>Dec</v>
      </c>
      <c r="I631" s="51">
        <f t="shared" ca="1" si="19"/>
        <v>15</v>
      </c>
      <c r="J631" s="52"/>
      <c r="K631" s="53">
        <v>21490</v>
      </c>
      <c r="L631" s="54">
        <v>5</v>
      </c>
      <c r="M631" s="55"/>
    </row>
    <row r="632" spans="1:13">
      <c r="A632" s="39" t="s">
        <v>922</v>
      </c>
      <c r="B632" s="46" t="s">
        <v>245</v>
      </c>
      <c r="C632" s="39" t="s">
        <v>856</v>
      </c>
      <c r="D632" s="72">
        <v>765836666</v>
      </c>
      <c r="E632" s="73">
        <v>2525013435</v>
      </c>
      <c r="F632" s="39" t="s">
        <v>256</v>
      </c>
      <c r="G632" s="49">
        <v>40154</v>
      </c>
      <c r="H632" s="50" t="str">
        <f t="shared" si="18"/>
        <v>Dec</v>
      </c>
      <c r="I632" s="51">
        <f t="shared" ca="1" si="19"/>
        <v>6</v>
      </c>
      <c r="J632" s="52" t="s">
        <v>283</v>
      </c>
      <c r="K632" s="53">
        <v>52320</v>
      </c>
      <c r="L632" s="54">
        <v>5</v>
      </c>
      <c r="M632" s="55"/>
    </row>
    <row r="633" spans="1:13">
      <c r="A633" s="39" t="s">
        <v>923</v>
      </c>
      <c r="B633" s="46" t="s">
        <v>285</v>
      </c>
      <c r="C633" s="39" t="s">
        <v>856</v>
      </c>
      <c r="D633" s="72">
        <v>647131956</v>
      </c>
      <c r="E633" s="73">
        <v>2521240785</v>
      </c>
      <c r="F633" s="39" t="s">
        <v>256</v>
      </c>
      <c r="G633" s="49">
        <v>39903</v>
      </c>
      <c r="H633" s="50" t="str">
        <f t="shared" si="18"/>
        <v>Mar</v>
      </c>
      <c r="I633" s="51">
        <f t="shared" ca="1" si="19"/>
        <v>7</v>
      </c>
      <c r="J633" s="52" t="s">
        <v>257</v>
      </c>
      <c r="K633" s="53">
        <v>88270</v>
      </c>
      <c r="L633" s="54">
        <v>3</v>
      </c>
      <c r="M633" s="55"/>
    </row>
    <row r="634" spans="1:13">
      <c r="A634" s="39" t="s">
        <v>924</v>
      </c>
      <c r="B634" s="46" t="s">
        <v>285</v>
      </c>
      <c r="C634" s="39" t="s">
        <v>856</v>
      </c>
      <c r="D634" s="72">
        <v>984881714</v>
      </c>
      <c r="E634" s="73">
        <v>9196973131</v>
      </c>
      <c r="F634" s="39" t="s">
        <v>256</v>
      </c>
      <c r="G634" s="49">
        <v>36409</v>
      </c>
      <c r="H634" s="50" t="str">
        <f t="shared" si="18"/>
        <v>Sep</v>
      </c>
      <c r="I634" s="51">
        <f t="shared" ca="1" si="19"/>
        <v>17</v>
      </c>
      <c r="J634" s="52" t="s">
        <v>283</v>
      </c>
      <c r="K634" s="53">
        <v>41200</v>
      </c>
      <c r="L634" s="54">
        <v>3</v>
      </c>
      <c r="M634" s="55"/>
    </row>
    <row r="635" spans="1:13">
      <c r="A635" s="39" t="s">
        <v>925</v>
      </c>
      <c r="B635" s="46" t="s">
        <v>271</v>
      </c>
      <c r="C635" s="39" t="s">
        <v>856</v>
      </c>
      <c r="D635" s="72">
        <v>627977314</v>
      </c>
      <c r="E635" s="73">
        <v>2521525844</v>
      </c>
      <c r="F635" s="39" t="s">
        <v>256</v>
      </c>
      <c r="G635" s="49">
        <v>34853</v>
      </c>
      <c r="H635" s="50" t="str">
        <f t="shared" si="18"/>
        <v>Jun</v>
      </c>
      <c r="I635" s="51">
        <f t="shared" ca="1" si="19"/>
        <v>21</v>
      </c>
      <c r="J635" s="52" t="s">
        <v>276</v>
      </c>
      <c r="K635" s="53">
        <v>103490</v>
      </c>
      <c r="L635" s="54">
        <v>1</v>
      </c>
      <c r="M635" s="55"/>
    </row>
    <row r="636" spans="1:13">
      <c r="A636" s="39" t="s">
        <v>926</v>
      </c>
      <c r="B636" s="46" t="s">
        <v>251</v>
      </c>
      <c r="C636" s="39" t="s">
        <v>856</v>
      </c>
      <c r="D636" s="72">
        <v>368385341</v>
      </c>
      <c r="E636" s="73">
        <v>9195526537</v>
      </c>
      <c r="F636" s="39" t="s">
        <v>247</v>
      </c>
      <c r="G636" s="49">
        <v>38083</v>
      </c>
      <c r="H636" s="50" t="str">
        <f t="shared" si="18"/>
        <v>Apr</v>
      </c>
      <c r="I636" s="51">
        <f t="shared" ca="1" si="19"/>
        <v>12</v>
      </c>
      <c r="J636" s="52"/>
      <c r="K636" s="53">
        <v>56140</v>
      </c>
      <c r="L636" s="54">
        <v>2</v>
      </c>
      <c r="M636" s="55"/>
    </row>
    <row r="637" spans="1:13">
      <c r="A637" s="39" t="s">
        <v>927</v>
      </c>
      <c r="B637" s="46" t="s">
        <v>271</v>
      </c>
      <c r="C637" s="39" t="s">
        <v>856</v>
      </c>
      <c r="D637" s="72">
        <v>668708287</v>
      </c>
      <c r="E637" s="73">
        <v>9191952821</v>
      </c>
      <c r="F637" s="39" t="s">
        <v>247</v>
      </c>
      <c r="G637" s="49">
        <v>36807</v>
      </c>
      <c r="H637" s="50" t="str">
        <f t="shared" si="18"/>
        <v>Oct</v>
      </c>
      <c r="I637" s="51">
        <f t="shared" ca="1" si="19"/>
        <v>16</v>
      </c>
      <c r="J637" s="52"/>
      <c r="K637" s="53">
        <v>103320</v>
      </c>
      <c r="L637" s="54">
        <v>4</v>
      </c>
      <c r="M637" s="55"/>
    </row>
    <row r="638" spans="1:13">
      <c r="A638" s="39" t="s">
        <v>928</v>
      </c>
      <c r="B638" s="46" t="s">
        <v>271</v>
      </c>
      <c r="C638" s="39" t="s">
        <v>856</v>
      </c>
      <c r="D638" s="72">
        <v>272659955</v>
      </c>
      <c r="E638" s="73">
        <v>9194127875</v>
      </c>
      <c r="F638" s="39" t="s">
        <v>256</v>
      </c>
      <c r="G638" s="49">
        <v>35286</v>
      </c>
      <c r="H638" s="50" t="str">
        <f t="shared" si="18"/>
        <v>Aug</v>
      </c>
      <c r="I638" s="51">
        <f t="shared" ca="1" si="19"/>
        <v>20</v>
      </c>
      <c r="J638" s="52" t="s">
        <v>267</v>
      </c>
      <c r="K638" s="53">
        <v>58190</v>
      </c>
      <c r="L638" s="54">
        <v>2</v>
      </c>
      <c r="M638" s="55"/>
    </row>
    <row r="639" spans="1:13">
      <c r="A639" s="39" t="s">
        <v>929</v>
      </c>
      <c r="B639" s="46" t="s">
        <v>285</v>
      </c>
      <c r="C639" s="39" t="s">
        <v>930</v>
      </c>
      <c r="D639" s="72">
        <v>695198896</v>
      </c>
      <c r="E639" s="73">
        <v>2523533906</v>
      </c>
      <c r="F639" s="39" t="s">
        <v>247</v>
      </c>
      <c r="G639" s="49">
        <v>36827</v>
      </c>
      <c r="H639" s="50" t="str">
        <f t="shared" si="18"/>
        <v>Oct</v>
      </c>
      <c r="I639" s="51">
        <f t="shared" ca="1" si="19"/>
        <v>16</v>
      </c>
      <c r="J639" s="52"/>
      <c r="K639" s="53">
        <v>54040</v>
      </c>
      <c r="L639" s="54">
        <v>3</v>
      </c>
      <c r="M639" s="55"/>
    </row>
    <row r="640" spans="1:13">
      <c r="A640" s="39" t="s">
        <v>931</v>
      </c>
      <c r="B640" s="46" t="s">
        <v>285</v>
      </c>
      <c r="C640" s="39" t="s">
        <v>930</v>
      </c>
      <c r="D640" s="72">
        <v>380304349</v>
      </c>
      <c r="E640" s="73">
        <v>2526129939</v>
      </c>
      <c r="F640" s="39" t="s">
        <v>256</v>
      </c>
      <c r="G640" s="49">
        <v>37550</v>
      </c>
      <c r="H640" s="50" t="str">
        <f t="shared" si="18"/>
        <v>Oct</v>
      </c>
      <c r="I640" s="51">
        <f t="shared" ca="1" si="19"/>
        <v>14</v>
      </c>
      <c r="J640" s="52" t="s">
        <v>283</v>
      </c>
      <c r="K640" s="53">
        <v>42550</v>
      </c>
      <c r="L640" s="54">
        <v>1</v>
      </c>
      <c r="M640" s="55"/>
    </row>
    <row r="641" spans="1:13">
      <c r="A641" s="39" t="s">
        <v>932</v>
      </c>
      <c r="B641" s="46" t="s">
        <v>266</v>
      </c>
      <c r="C641" s="39" t="s">
        <v>930</v>
      </c>
      <c r="D641" s="72">
        <v>758001890</v>
      </c>
      <c r="E641" s="73">
        <v>2521202348</v>
      </c>
      <c r="F641" s="39" t="s">
        <v>261</v>
      </c>
      <c r="G641" s="49">
        <v>36298</v>
      </c>
      <c r="H641" s="50" t="str">
        <f t="shared" si="18"/>
        <v>May</v>
      </c>
      <c r="I641" s="51">
        <f t="shared" ca="1" si="19"/>
        <v>17</v>
      </c>
      <c r="J641" s="52" t="s">
        <v>283</v>
      </c>
      <c r="K641" s="53">
        <v>45730</v>
      </c>
      <c r="L641" s="54">
        <v>2</v>
      </c>
      <c r="M641" s="55"/>
    </row>
    <row r="642" spans="1:13">
      <c r="A642" s="39" t="s">
        <v>933</v>
      </c>
      <c r="B642" s="46" t="s">
        <v>285</v>
      </c>
      <c r="C642" s="39" t="s">
        <v>930</v>
      </c>
      <c r="D642" s="72">
        <v>163350417</v>
      </c>
      <c r="E642" s="73">
        <v>2526466230</v>
      </c>
      <c r="F642" s="39" t="s">
        <v>256</v>
      </c>
      <c r="G642" s="49">
        <v>37673</v>
      </c>
      <c r="H642" s="50" t="str">
        <f t="shared" ref="H642:H705" si="20">CHOOSE(MONTH(G642),"Jan","Feb","Mar","Apr","May","Jun","Jul","Aug","Sep","Oct","Nov","Dec")</f>
        <v>Feb</v>
      </c>
      <c r="I642" s="51">
        <f t="shared" ref="I642:I705" ca="1" si="21">DATEDIF(G642,TODAY(),"Y")</f>
        <v>13</v>
      </c>
      <c r="J642" s="52" t="s">
        <v>262</v>
      </c>
      <c r="K642" s="53">
        <v>78380</v>
      </c>
      <c r="L642" s="54">
        <v>5</v>
      </c>
      <c r="M642" s="55"/>
    </row>
    <row r="643" spans="1:13">
      <c r="A643" s="39" t="s">
        <v>934</v>
      </c>
      <c r="B643" s="46" t="s">
        <v>245</v>
      </c>
      <c r="C643" s="39" t="s">
        <v>930</v>
      </c>
      <c r="D643" s="72">
        <v>247422007</v>
      </c>
      <c r="E643" s="73">
        <v>2528012440</v>
      </c>
      <c r="F643" s="39" t="s">
        <v>247</v>
      </c>
      <c r="G643" s="49">
        <v>37194</v>
      </c>
      <c r="H643" s="50" t="str">
        <f t="shared" si="20"/>
        <v>Oct</v>
      </c>
      <c r="I643" s="51">
        <f t="shared" ca="1" si="21"/>
        <v>15</v>
      </c>
      <c r="J643" s="52"/>
      <c r="K643" s="53">
        <v>69900</v>
      </c>
      <c r="L643" s="54">
        <v>2</v>
      </c>
      <c r="M643" s="55"/>
    </row>
    <row r="644" spans="1:13">
      <c r="A644" s="39" t="s">
        <v>935</v>
      </c>
      <c r="B644" s="46" t="s">
        <v>280</v>
      </c>
      <c r="C644" s="39" t="s">
        <v>930</v>
      </c>
      <c r="D644" s="72">
        <v>426812736</v>
      </c>
      <c r="E644" s="73">
        <v>9198399625</v>
      </c>
      <c r="F644" s="39" t="s">
        <v>247</v>
      </c>
      <c r="G644" s="49">
        <v>35160</v>
      </c>
      <c r="H644" s="50" t="str">
        <f t="shared" si="20"/>
        <v>Apr</v>
      </c>
      <c r="I644" s="51">
        <f t="shared" ca="1" si="21"/>
        <v>20</v>
      </c>
      <c r="J644" s="52"/>
      <c r="K644" s="53">
        <v>42290</v>
      </c>
      <c r="L644" s="54">
        <v>3</v>
      </c>
      <c r="M644" s="55"/>
    </row>
    <row r="645" spans="1:13">
      <c r="A645" s="39" t="s">
        <v>936</v>
      </c>
      <c r="B645" s="46" t="s">
        <v>245</v>
      </c>
      <c r="C645" s="39" t="s">
        <v>930</v>
      </c>
      <c r="D645" s="72">
        <v>741258203</v>
      </c>
      <c r="E645" s="73">
        <v>9195157707</v>
      </c>
      <c r="F645" s="39" t="s">
        <v>247</v>
      </c>
      <c r="G645" s="49">
        <v>34790</v>
      </c>
      <c r="H645" s="50" t="str">
        <f t="shared" si="20"/>
        <v>Apr</v>
      </c>
      <c r="I645" s="51">
        <f t="shared" ca="1" si="21"/>
        <v>21</v>
      </c>
      <c r="J645" s="52"/>
      <c r="K645" s="53">
        <v>70950</v>
      </c>
      <c r="L645" s="54">
        <v>4</v>
      </c>
      <c r="M645" s="55"/>
    </row>
    <row r="646" spans="1:13">
      <c r="A646" s="39" t="s">
        <v>937</v>
      </c>
      <c r="B646" s="46" t="s">
        <v>285</v>
      </c>
      <c r="C646" s="39" t="s">
        <v>930</v>
      </c>
      <c r="D646" s="72">
        <v>101829876</v>
      </c>
      <c r="E646" s="73">
        <v>2522552565</v>
      </c>
      <c r="F646" s="39" t="s">
        <v>252</v>
      </c>
      <c r="G646" s="49">
        <v>36248</v>
      </c>
      <c r="H646" s="50" t="str">
        <f t="shared" si="20"/>
        <v>Mar</v>
      </c>
      <c r="I646" s="51">
        <f t="shared" ca="1" si="21"/>
        <v>17</v>
      </c>
      <c r="J646" s="52"/>
      <c r="K646" s="53">
        <v>40500</v>
      </c>
      <c r="L646" s="54">
        <v>3</v>
      </c>
      <c r="M646" s="55"/>
    </row>
    <row r="647" spans="1:13">
      <c r="A647" s="39" t="s">
        <v>938</v>
      </c>
      <c r="B647" s="46" t="s">
        <v>285</v>
      </c>
      <c r="C647" s="39" t="s">
        <v>930</v>
      </c>
      <c r="D647" s="72">
        <v>324069262</v>
      </c>
      <c r="E647" s="73">
        <v>2525459665</v>
      </c>
      <c r="F647" s="39" t="s">
        <v>247</v>
      </c>
      <c r="G647" s="49">
        <v>35535</v>
      </c>
      <c r="H647" s="50" t="str">
        <f t="shared" si="20"/>
        <v>Apr</v>
      </c>
      <c r="I647" s="51">
        <f t="shared" ca="1" si="21"/>
        <v>19</v>
      </c>
      <c r="J647" s="52"/>
      <c r="K647" s="53">
        <v>54130</v>
      </c>
      <c r="L647" s="54">
        <v>1</v>
      </c>
      <c r="M647" s="55"/>
    </row>
    <row r="648" spans="1:13">
      <c r="A648" s="39" t="s">
        <v>939</v>
      </c>
      <c r="B648" s="46" t="s">
        <v>251</v>
      </c>
      <c r="C648" s="39" t="s">
        <v>930</v>
      </c>
      <c r="D648" s="72">
        <v>995590510</v>
      </c>
      <c r="E648" s="73">
        <v>9191838930</v>
      </c>
      <c r="F648" s="39" t="s">
        <v>247</v>
      </c>
      <c r="G648" s="49">
        <v>41639</v>
      </c>
      <c r="H648" s="50" t="str">
        <f t="shared" si="20"/>
        <v>Dec</v>
      </c>
      <c r="I648" s="51">
        <f t="shared" ca="1" si="21"/>
        <v>2</v>
      </c>
      <c r="J648" s="52"/>
      <c r="K648" s="53">
        <v>51590</v>
      </c>
      <c r="L648" s="54">
        <v>4</v>
      </c>
      <c r="M648" s="55"/>
    </row>
    <row r="649" spans="1:13">
      <c r="A649" s="39" t="s">
        <v>940</v>
      </c>
      <c r="B649" s="46" t="s">
        <v>285</v>
      </c>
      <c r="C649" s="39" t="s">
        <v>930</v>
      </c>
      <c r="D649" s="72">
        <v>771110153</v>
      </c>
      <c r="E649" s="73">
        <v>9196799516</v>
      </c>
      <c r="F649" s="39" t="s">
        <v>256</v>
      </c>
      <c r="G649" s="49">
        <v>40284</v>
      </c>
      <c r="H649" s="50" t="str">
        <f t="shared" si="20"/>
        <v>Apr</v>
      </c>
      <c r="I649" s="51">
        <f t="shared" ca="1" si="21"/>
        <v>6</v>
      </c>
      <c r="J649" s="52" t="s">
        <v>257</v>
      </c>
      <c r="K649" s="53">
        <v>29980</v>
      </c>
      <c r="L649" s="54">
        <v>3</v>
      </c>
      <c r="M649" s="55"/>
    </row>
    <row r="650" spans="1:13">
      <c r="A650" s="39" t="s">
        <v>941</v>
      </c>
      <c r="B650" s="46" t="s">
        <v>266</v>
      </c>
      <c r="C650" s="39" t="s">
        <v>930</v>
      </c>
      <c r="D650" s="72">
        <v>147683641</v>
      </c>
      <c r="E650" s="73">
        <v>9191657646</v>
      </c>
      <c r="F650" s="39" t="s">
        <v>247</v>
      </c>
      <c r="G650" s="49">
        <v>41335</v>
      </c>
      <c r="H650" s="50" t="str">
        <f t="shared" si="20"/>
        <v>Mar</v>
      </c>
      <c r="I650" s="51">
        <f t="shared" ca="1" si="21"/>
        <v>3</v>
      </c>
      <c r="J650" s="52"/>
      <c r="K650" s="53">
        <v>56740</v>
      </c>
      <c r="L650" s="54">
        <v>1</v>
      </c>
      <c r="M650" s="55"/>
    </row>
    <row r="651" spans="1:13">
      <c r="A651" s="39" t="s">
        <v>942</v>
      </c>
      <c r="B651" s="46" t="s">
        <v>271</v>
      </c>
      <c r="C651" s="39" t="s">
        <v>930</v>
      </c>
      <c r="D651" s="72">
        <v>918436287</v>
      </c>
      <c r="E651" s="73">
        <v>2528238755</v>
      </c>
      <c r="F651" s="39" t="s">
        <v>247</v>
      </c>
      <c r="G651" s="49">
        <v>34194</v>
      </c>
      <c r="H651" s="50" t="str">
        <f t="shared" si="20"/>
        <v>Aug</v>
      </c>
      <c r="I651" s="51">
        <f t="shared" ca="1" si="21"/>
        <v>23</v>
      </c>
      <c r="J651" s="52"/>
      <c r="K651" s="53">
        <v>76330</v>
      </c>
      <c r="L651" s="54">
        <v>5</v>
      </c>
      <c r="M651" s="55"/>
    </row>
    <row r="652" spans="1:13">
      <c r="A652" s="39" t="s">
        <v>943</v>
      </c>
      <c r="B652" s="46" t="s">
        <v>285</v>
      </c>
      <c r="C652" s="39" t="s">
        <v>930</v>
      </c>
      <c r="D652" s="72">
        <v>249416723</v>
      </c>
      <c r="E652" s="73">
        <v>2521628807</v>
      </c>
      <c r="F652" s="39" t="s">
        <v>256</v>
      </c>
      <c r="G652" s="49">
        <v>37026</v>
      </c>
      <c r="H652" s="50" t="str">
        <f t="shared" si="20"/>
        <v>May</v>
      </c>
      <c r="I652" s="51">
        <f t="shared" ca="1" si="21"/>
        <v>15</v>
      </c>
      <c r="J652" s="52" t="s">
        <v>262</v>
      </c>
      <c r="K652" s="53">
        <v>77360</v>
      </c>
      <c r="L652" s="54">
        <v>5</v>
      </c>
      <c r="M652" s="55"/>
    </row>
    <row r="653" spans="1:13">
      <c r="A653" s="39" t="s">
        <v>944</v>
      </c>
      <c r="B653" s="46" t="s">
        <v>280</v>
      </c>
      <c r="C653" s="39" t="s">
        <v>930</v>
      </c>
      <c r="D653" s="72">
        <v>658842625</v>
      </c>
      <c r="E653" s="73">
        <v>9193788281</v>
      </c>
      <c r="F653" s="39" t="s">
        <v>261</v>
      </c>
      <c r="G653" s="49">
        <v>37054</v>
      </c>
      <c r="H653" s="50" t="str">
        <f t="shared" si="20"/>
        <v>Jun</v>
      </c>
      <c r="I653" s="51">
        <f t="shared" ca="1" si="21"/>
        <v>15</v>
      </c>
      <c r="J653" s="52" t="s">
        <v>276</v>
      </c>
      <c r="K653" s="53">
        <v>55330</v>
      </c>
      <c r="L653" s="54">
        <v>5</v>
      </c>
      <c r="M653" s="55"/>
    </row>
    <row r="654" spans="1:13">
      <c r="A654" s="39" t="s">
        <v>945</v>
      </c>
      <c r="B654" s="46" t="s">
        <v>285</v>
      </c>
      <c r="C654" s="39" t="s">
        <v>930</v>
      </c>
      <c r="D654" s="72">
        <v>800685434</v>
      </c>
      <c r="E654" s="73">
        <v>2525821616</v>
      </c>
      <c r="F654" s="39" t="s">
        <v>256</v>
      </c>
      <c r="G654" s="49">
        <v>37957</v>
      </c>
      <c r="H654" s="50" t="str">
        <f t="shared" si="20"/>
        <v>Dec</v>
      </c>
      <c r="I654" s="51">
        <f t="shared" ca="1" si="21"/>
        <v>12</v>
      </c>
      <c r="J654" s="52" t="s">
        <v>276</v>
      </c>
      <c r="K654" s="53">
        <v>59920</v>
      </c>
      <c r="L654" s="54">
        <v>1</v>
      </c>
      <c r="M654" s="55"/>
    </row>
    <row r="655" spans="1:13">
      <c r="A655" s="39" t="s">
        <v>946</v>
      </c>
      <c r="B655" s="46" t="s">
        <v>285</v>
      </c>
      <c r="C655" s="39" t="s">
        <v>930</v>
      </c>
      <c r="D655" s="72">
        <v>177324163</v>
      </c>
      <c r="E655" s="73">
        <v>2527091949</v>
      </c>
      <c r="F655" s="39" t="s">
        <v>256</v>
      </c>
      <c r="G655" s="49">
        <v>38811</v>
      </c>
      <c r="H655" s="50" t="str">
        <f t="shared" si="20"/>
        <v>Apr</v>
      </c>
      <c r="I655" s="51">
        <f t="shared" ca="1" si="21"/>
        <v>10</v>
      </c>
      <c r="J655" s="52" t="s">
        <v>283</v>
      </c>
      <c r="K655" s="53">
        <v>57610</v>
      </c>
      <c r="L655" s="54">
        <v>3</v>
      </c>
      <c r="M655" s="55"/>
    </row>
    <row r="656" spans="1:13">
      <c r="A656" s="39" t="s">
        <v>947</v>
      </c>
      <c r="B656" s="46" t="s">
        <v>271</v>
      </c>
      <c r="C656" s="39" t="s">
        <v>930</v>
      </c>
      <c r="D656" s="72">
        <v>693214759</v>
      </c>
      <c r="E656" s="73">
        <v>9192683895</v>
      </c>
      <c r="F656" s="39" t="s">
        <v>256</v>
      </c>
      <c r="G656" s="49">
        <v>34807</v>
      </c>
      <c r="H656" s="50" t="str">
        <f t="shared" si="20"/>
        <v>Apr</v>
      </c>
      <c r="I656" s="51">
        <f t="shared" ca="1" si="21"/>
        <v>21</v>
      </c>
      <c r="J656" s="52" t="s">
        <v>262</v>
      </c>
      <c r="K656" s="53">
        <v>75340</v>
      </c>
      <c r="L656" s="54">
        <v>3</v>
      </c>
      <c r="M656" s="55"/>
    </row>
    <row r="657" spans="1:13">
      <c r="A657" s="39" t="s">
        <v>948</v>
      </c>
      <c r="B657" s="46" t="s">
        <v>285</v>
      </c>
      <c r="C657" s="39" t="s">
        <v>930</v>
      </c>
      <c r="D657" s="72">
        <v>891224981</v>
      </c>
      <c r="E657" s="73">
        <v>2526391402</v>
      </c>
      <c r="F657" s="39" t="s">
        <v>261</v>
      </c>
      <c r="G657" s="49">
        <v>35141</v>
      </c>
      <c r="H657" s="50" t="str">
        <f t="shared" si="20"/>
        <v>Mar</v>
      </c>
      <c r="I657" s="51">
        <f t="shared" ca="1" si="21"/>
        <v>20</v>
      </c>
      <c r="J657" s="52" t="s">
        <v>276</v>
      </c>
      <c r="K657" s="53">
        <v>13480</v>
      </c>
      <c r="L657" s="54">
        <v>4</v>
      </c>
      <c r="M657" s="55"/>
    </row>
    <row r="658" spans="1:13">
      <c r="A658" s="39" t="s">
        <v>949</v>
      </c>
      <c r="B658" s="46" t="s">
        <v>285</v>
      </c>
      <c r="C658" s="39" t="s">
        <v>930</v>
      </c>
      <c r="D658" s="72">
        <v>794814501</v>
      </c>
      <c r="E658" s="73">
        <v>2525604891</v>
      </c>
      <c r="F658" s="39" t="s">
        <v>247</v>
      </c>
      <c r="G658" s="49">
        <v>41236</v>
      </c>
      <c r="H658" s="50" t="str">
        <f t="shared" si="20"/>
        <v>Nov</v>
      </c>
      <c r="I658" s="51">
        <f t="shared" ca="1" si="21"/>
        <v>3</v>
      </c>
      <c r="J658" s="52"/>
      <c r="K658" s="53">
        <v>96870</v>
      </c>
      <c r="L658" s="54">
        <v>3</v>
      </c>
      <c r="M658" s="55"/>
    </row>
    <row r="659" spans="1:13">
      <c r="A659" s="39" t="s">
        <v>950</v>
      </c>
      <c r="B659" s="46" t="s">
        <v>271</v>
      </c>
      <c r="C659" s="39" t="s">
        <v>930</v>
      </c>
      <c r="D659" s="72">
        <v>595022550</v>
      </c>
      <c r="E659" s="73">
        <v>9195621928</v>
      </c>
      <c r="F659" s="39" t="s">
        <v>256</v>
      </c>
      <c r="G659" s="49">
        <v>34958</v>
      </c>
      <c r="H659" s="50" t="str">
        <f t="shared" si="20"/>
        <v>Sep</v>
      </c>
      <c r="I659" s="51">
        <f t="shared" ca="1" si="21"/>
        <v>21</v>
      </c>
      <c r="J659" s="52" t="s">
        <v>262</v>
      </c>
      <c r="K659" s="53">
        <v>71390</v>
      </c>
      <c r="L659" s="54">
        <v>3</v>
      </c>
      <c r="M659" s="55"/>
    </row>
    <row r="660" spans="1:13">
      <c r="A660" s="39" t="s">
        <v>951</v>
      </c>
      <c r="B660" s="46" t="s">
        <v>245</v>
      </c>
      <c r="C660" s="39" t="s">
        <v>930</v>
      </c>
      <c r="D660" s="72">
        <v>210491464</v>
      </c>
      <c r="E660" s="73">
        <v>9198405552</v>
      </c>
      <c r="F660" s="39" t="s">
        <v>256</v>
      </c>
      <c r="G660" s="49">
        <v>40603</v>
      </c>
      <c r="H660" s="50" t="str">
        <f t="shared" si="20"/>
        <v>Mar</v>
      </c>
      <c r="I660" s="51">
        <f t="shared" ca="1" si="21"/>
        <v>5</v>
      </c>
      <c r="J660" s="52" t="s">
        <v>257</v>
      </c>
      <c r="K660" s="53">
        <v>95260</v>
      </c>
      <c r="L660" s="54">
        <v>5</v>
      </c>
      <c r="M660" s="55"/>
    </row>
    <row r="661" spans="1:13">
      <c r="A661" s="39" t="s">
        <v>952</v>
      </c>
      <c r="B661" s="46" t="s">
        <v>285</v>
      </c>
      <c r="C661" s="39" t="s">
        <v>930</v>
      </c>
      <c r="D661" s="72">
        <v>656572514</v>
      </c>
      <c r="E661" s="73">
        <v>9193679666</v>
      </c>
      <c r="F661" s="39" t="s">
        <v>247</v>
      </c>
      <c r="G661" s="49">
        <v>34975</v>
      </c>
      <c r="H661" s="50" t="str">
        <f t="shared" si="20"/>
        <v>Oct</v>
      </c>
      <c r="I661" s="51">
        <f t="shared" ca="1" si="21"/>
        <v>21</v>
      </c>
      <c r="J661" s="52"/>
      <c r="K661" s="53">
        <v>84180</v>
      </c>
      <c r="L661" s="54">
        <v>2</v>
      </c>
      <c r="M661" s="55"/>
    </row>
    <row r="662" spans="1:13">
      <c r="A662" s="39" t="s">
        <v>953</v>
      </c>
      <c r="B662" s="46" t="s">
        <v>285</v>
      </c>
      <c r="C662" s="39" t="s">
        <v>930</v>
      </c>
      <c r="D662" s="72">
        <v>904497673</v>
      </c>
      <c r="E662" s="73">
        <v>2521277028</v>
      </c>
      <c r="F662" s="39" t="s">
        <v>247</v>
      </c>
      <c r="G662" s="49">
        <v>34145</v>
      </c>
      <c r="H662" s="50" t="str">
        <f t="shared" si="20"/>
        <v>Jun</v>
      </c>
      <c r="I662" s="51">
        <f t="shared" ca="1" si="21"/>
        <v>23</v>
      </c>
      <c r="J662" s="52"/>
      <c r="K662" s="53">
        <v>28010</v>
      </c>
      <c r="L662" s="54">
        <v>4</v>
      </c>
      <c r="M662" s="55"/>
    </row>
    <row r="663" spans="1:13">
      <c r="A663" s="39" t="s">
        <v>954</v>
      </c>
      <c r="B663" s="46" t="s">
        <v>280</v>
      </c>
      <c r="C663" s="39" t="s">
        <v>930</v>
      </c>
      <c r="D663" s="72">
        <v>364525917</v>
      </c>
      <c r="E663" s="73">
        <v>2522787318</v>
      </c>
      <c r="F663" s="39" t="s">
        <v>256</v>
      </c>
      <c r="G663" s="49">
        <v>34979</v>
      </c>
      <c r="H663" s="50" t="str">
        <f t="shared" si="20"/>
        <v>Oct</v>
      </c>
      <c r="I663" s="51">
        <f t="shared" ca="1" si="21"/>
        <v>21</v>
      </c>
      <c r="J663" s="52" t="s">
        <v>283</v>
      </c>
      <c r="K663" s="53">
        <v>55690</v>
      </c>
      <c r="L663" s="54">
        <v>2</v>
      </c>
      <c r="M663" s="55"/>
    </row>
    <row r="664" spans="1:13">
      <c r="A664" s="39" t="s">
        <v>955</v>
      </c>
      <c r="B664" s="46" t="s">
        <v>251</v>
      </c>
      <c r="C664" s="39" t="s">
        <v>930</v>
      </c>
      <c r="D664" s="72">
        <v>635240617</v>
      </c>
      <c r="E664" s="73">
        <v>9192259651</v>
      </c>
      <c r="F664" s="39" t="s">
        <v>256</v>
      </c>
      <c r="G664" s="49">
        <v>37844</v>
      </c>
      <c r="H664" s="50" t="str">
        <f t="shared" si="20"/>
        <v>Aug</v>
      </c>
      <c r="I664" s="51">
        <f t="shared" ca="1" si="21"/>
        <v>13</v>
      </c>
      <c r="J664" s="52" t="s">
        <v>283</v>
      </c>
      <c r="K664" s="53">
        <v>57160</v>
      </c>
      <c r="L664" s="54">
        <v>3</v>
      </c>
      <c r="M664" s="55"/>
    </row>
    <row r="665" spans="1:13">
      <c r="A665" s="39" t="s">
        <v>956</v>
      </c>
      <c r="B665" s="46" t="s">
        <v>285</v>
      </c>
      <c r="C665" s="39" t="s">
        <v>930</v>
      </c>
      <c r="D665" s="72">
        <v>546546374</v>
      </c>
      <c r="E665" s="73">
        <v>9192727944</v>
      </c>
      <c r="F665" s="39" t="s">
        <v>261</v>
      </c>
      <c r="G665" s="49">
        <v>37463</v>
      </c>
      <c r="H665" s="50" t="str">
        <f t="shared" si="20"/>
        <v>Jul</v>
      </c>
      <c r="I665" s="51">
        <f t="shared" ca="1" si="21"/>
        <v>14</v>
      </c>
      <c r="J665" s="52" t="s">
        <v>283</v>
      </c>
      <c r="K665" s="53">
        <v>31420</v>
      </c>
      <c r="L665" s="54">
        <v>5</v>
      </c>
      <c r="M665" s="55"/>
    </row>
    <row r="666" spans="1:13">
      <c r="A666" s="39" t="s">
        <v>957</v>
      </c>
      <c r="B666" s="46" t="s">
        <v>285</v>
      </c>
      <c r="C666" s="39" t="s">
        <v>930</v>
      </c>
      <c r="D666" s="72">
        <v>970466937</v>
      </c>
      <c r="E666" s="73">
        <v>9192042331</v>
      </c>
      <c r="F666" s="39" t="s">
        <v>247</v>
      </c>
      <c r="G666" s="49">
        <v>34496</v>
      </c>
      <c r="H666" s="50" t="str">
        <f t="shared" si="20"/>
        <v>Jun</v>
      </c>
      <c r="I666" s="51">
        <f t="shared" ca="1" si="21"/>
        <v>22</v>
      </c>
      <c r="J666" s="52"/>
      <c r="K666" s="53">
        <v>74980</v>
      </c>
      <c r="L666" s="54">
        <v>5</v>
      </c>
      <c r="M666" s="55"/>
    </row>
    <row r="667" spans="1:13">
      <c r="A667" s="39" t="s">
        <v>958</v>
      </c>
      <c r="B667" s="46" t="s">
        <v>285</v>
      </c>
      <c r="C667" s="39" t="s">
        <v>930</v>
      </c>
      <c r="D667" s="72">
        <v>212558012</v>
      </c>
      <c r="E667" s="73">
        <v>2526860208</v>
      </c>
      <c r="F667" s="39" t="s">
        <v>256</v>
      </c>
      <c r="G667" s="49">
        <v>37968</v>
      </c>
      <c r="H667" s="50" t="str">
        <f t="shared" si="20"/>
        <v>Dec</v>
      </c>
      <c r="I667" s="51">
        <f t="shared" ca="1" si="21"/>
        <v>12</v>
      </c>
      <c r="J667" s="52" t="s">
        <v>257</v>
      </c>
      <c r="K667" s="53">
        <v>75670</v>
      </c>
      <c r="L667" s="54">
        <v>4</v>
      </c>
      <c r="M667" s="55"/>
    </row>
    <row r="668" spans="1:13">
      <c r="A668" s="39" t="s">
        <v>959</v>
      </c>
      <c r="B668" s="46" t="s">
        <v>251</v>
      </c>
      <c r="C668" s="39" t="s">
        <v>930</v>
      </c>
      <c r="D668" s="72">
        <v>688769770</v>
      </c>
      <c r="E668" s="73">
        <v>9192416398</v>
      </c>
      <c r="F668" s="39" t="s">
        <v>256</v>
      </c>
      <c r="G668" s="49">
        <v>39627</v>
      </c>
      <c r="H668" s="50" t="str">
        <f t="shared" si="20"/>
        <v>Jun</v>
      </c>
      <c r="I668" s="51">
        <f t="shared" ca="1" si="21"/>
        <v>8</v>
      </c>
      <c r="J668" s="52" t="s">
        <v>257</v>
      </c>
      <c r="K668" s="53">
        <v>53440</v>
      </c>
      <c r="L668" s="54">
        <v>2</v>
      </c>
      <c r="M668" s="55"/>
    </row>
    <row r="669" spans="1:13">
      <c r="A669" s="39" t="s">
        <v>960</v>
      </c>
      <c r="B669" s="46" t="s">
        <v>285</v>
      </c>
      <c r="C669" s="39" t="s">
        <v>930</v>
      </c>
      <c r="D669" s="72">
        <v>471064761</v>
      </c>
      <c r="E669" s="73">
        <v>9191800673</v>
      </c>
      <c r="F669" s="39" t="s">
        <v>252</v>
      </c>
      <c r="G669" s="49">
        <v>35826</v>
      </c>
      <c r="H669" s="50" t="str">
        <f t="shared" si="20"/>
        <v>Jan</v>
      </c>
      <c r="I669" s="51">
        <f t="shared" ca="1" si="21"/>
        <v>18</v>
      </c>
      <c r="J669" s="52"/>
      <c r="K669" s="53">
        <v>32330</v>
      </c>
      <c r="L669" s="54">
        <v>4</v>
      </c>
      <c r="M669" s="55"/>
    </row>
    <row r="670" spans="1:13">
      <c r="A670" s="39" t="s">
        <v>961</v>
      </c>
      <c r="B670" s="46" t="s">
        <v>280</v>
      </c>
      <c r="C670" s="39" t="s">
        <v>930</v>
      </c>
      <c r="D670" s="72">
        <v>733358713</v>
      </c>
      <c r="E670" s="73">
        <v>9196648050</v>
      </c>
      <c r="F670" s="39" t="s">
        <v>247</v>
      </c>
      <c r="G670" s="49">
        <v>36339</v>
      </c>
      <c r="H670" s="50" t="str">
        <f t="shared" si="20"/>
        <v>Jun</v>
      </c>
      <c r="I670" s="51">
        <f t="shared" ca="1" si="21"/>
        <v>17</v>
      </c>
      <c r="J670" s="52"/>
      <c r="K670" s="53">
        <v>105400</v>
      </c>
      <c r="L670" s="54">
        <v>2</v>
      </c>
      <c r="M670" s="55"/>
    </row>
    <row r="671" spans="1:13">
      <c r="A671" s="39" t="s">
        <v>962</v>
      </c>
      <c r="B671" s="46" t="s">
        <v>285</v>
      </c>
      <c r="C671" s="39" t="s">
        <v>930</v>
      </c>
      <c r="D671" s="72">
        <v>277423593</v>
      </c>
      <c r="E671" s="73">
        <v>9195790921</v>
      </c>
      <c r="F671" s="39" t="s">
        <v>261</v>
      </c>
      <c r="G671" s="49">
        <v>34392</v>
      </c>
      <c r="H671" s="50" t="str">
        <f t="shared" si="20"/>
        <v>Feb</v>
      </c>
      <c r="I671" s="51">
        <f t="shared" ca="1" si="21"/>
        <v>22</v>
      </c>
      <c r="J671" s="52" t="s">
        <v>283</v>
      </c>
      <c r="K671" s="53">
        <v>16150</v>
      </c>
      <c r="L671" s="54">
        <v>2</v>
      </c>
      <c r="M671" s="55"/>
    </row>
    <row r="672" spans="1:13">
      <c r="A672" s="39" t="s">
        <v>963</v>
      </c>
      <c r="B672" s="46" t="s">
        <v>266</v>
      </c>
      <c r="C672" s="39" t="s">
        <v>930</v>
      </c>
      <c r="D672" s="72">
        <v>941937371</v>
      </c>
      <c r="E672" s="73">
        <v>9195060466</v>
      </c>
      <c r="F672" s="39" t="s">
        <v>256</v>
      </c>
      <c r="G672" s="49">
        <v>36777</v>
      </c>
      <c r="H672" s="50" t="str">
        <f t="shared" si="20"/>
        <v>Sep</v>
      </c>
      <c r="I672" s="51">
        <f t="shared" ca="1" si="21"/>
        <v>16</v>
      </c>
      <c r="J672" s="52" t="s">
        <v>257</v>
      </c>
      <c r="K672" s="53">
        <v>103580</v>
      </c>
      <c r="L672" s="54">
        <v>4</v>
      </c>
      <c r="M672" s="55"/>
    </row>
    <row r="673" spans="1:13">
      <c r="A673" s="39" t="s">
        <v>964</v>
      </c>
      <c r="B673" s="46" t="s">
        <v>285</v>
      </c>
      <c r="C673" s="39" t="s">
        <v>930</v>
      </c>
      <c r="D673" s="72">
        <v>627494412</v>
      </c>
      <c r="E673" s="73">
        <v>2528249735</v>
      </c>
      <c r="F673" s="39" t="s">
        <v>256</v>
      </c>
      <c r="G673" s="49">
        <v>36277</v>
      </c>
      <c r="H673" s="50" t="str">
        <f t="shared" si="20"/>
        <v>Apr</v>
      </c>
      <c r="I673" s="51">
        <f t="shared" ca="1" si="21"/>
        <v>17</v>
      </c>
      <c r="J673" s="52" t="s">
        <v>257</v>
      </c>
      <c r="K673" s="53">
        <v>70040</v>
      </c>
      <c r="L673" s="54">
        <v>5</v>
      </c>
      <c r="M673" s="55"/>
    </row>
    <row r="674" spans="1:13">
      <c r="A674" s="39" t="s">
        <v>965</v>
      </c>
      <c r="B674" s="46" t="s">
        <v>280</v>
      </c>
      <c r="C674" s="39" t="s">
        <v>930</v>
      </c>
      <c r="D674" s="72">
        <v>230192897</v>
      </c>
      <c r="E674" s="73">
        <v>2525261239</v>
      </c>
      <c r="F674" s="39" t="s">
        <v>256</v>
      </c>
      <c r="G674" s="49">
        <v>40442</v>
      </c>
      <c r="H674" s="50" t="str">
        <f t="shared" si="20"/>
        <v>Sep</v>
      </c>
      <c r="I674" s="51">
        <f t="shared" ca="1" si="21"/>
        <v>6</v>
      </c>
      <c r="J674" s="52" t="s">
        <v>262</v>
      </c>
      <c r="K674" s="53">
        <v>82630</v>
      </c>
      <c r="L674" s="54">
        <v>2</v>
      </c>
      <c r="M674" s="55"/>
    </row>
    <row r="675" spans="1:13">
      <c r="A675" s="39" t="s">
        <v>966</v>
      </c>
      <c r="B675" s="46" t="s">
        <v>285</v>
      </c>
      <c r="C675" s="39" t="s">
        <v>930</v>
      </c>
      <c r="D675" s="72">
        <v>894855096</v>
      </c>
      <c r="E675" s="73">
        <v>9193936198</v>
      </c>
      <c r="F675" s="39" t="s">
        <v>261</v>
      </c>
      <c r="G675" s="49">
        <v>36467</v>
      </c>
      <c r="H675" s="50" t="str">
        <f t="shared" si="20"/>
        <v>Nov</v>
      </c>
      <c r="I675" s="51">
        <f t="shared" ca="1" si="21"/>
        <v>17</v>
      </c>
      <c r="J675" s="52" t="s">
        <v>262</v>
      </c>
      <c r="K675" s="53">
        <v>45190</v>
      </c>
      <c r="L675" s="54">
        <v>4</v>
      </c>
      <c r="M675" s="55"/>
    </row>
    <row r="676" spans="1:13">
      <c r="A676" s="39" t="s">
        <v>967</v>
      </c>
      <c r="B676" s="46" t="s">
        <v>280</v>
      </c>
      <c r="C676" s="39" t="s">
        <v>930</v>
      </c>
      <c r="D676" s="72">
        <v>723066626</v>
      </c>
      <c r="E676" s="73">
        <v>2525399385</v>
      </c>
      <c r="F676" s="39" t="s">
        <v>247</v>
      </c>
      <c r="G676" s="49">
        <v>39439</v>
      </c>
      <c r="H676" s="50" t="str">
        <f t="shared" si="20"/>
        <v>Dec</v>
      </c>
      <c r="I676" s="51">
        <f t="shared" ca="1" si="21"/>
        <v>8</v>
      </c>
      <c r="J676" s="52"/>
      <c r="K676" s="53">
        <v>39460</v>
      </c>
      <c r="L676" s="54">
        <v>3</v>
      </c>
      <c r="M676" s="55"/>
    </row>
    <row r="677" spans="1:13">
      <c r="A677" s="39" t="s">
        <v>968</v>
      </c>
      <c r="B677" s="46" t="s">
        <v>285</v>
      </c>
      <c r="C677" s="39" t="s">
        <v>930</v>
      </c>
      <c r="D677" s="72">
        <v>144722757</v>
      </c>
      <c r="E677" s="73">
        <v>9196060038</v>
      </c>
      <c r="F677" s="39" t="s">
        <v>247</v>
      </c>
      <c r="G677" s="49">
        <v>34563</v>
      </c>
      <c r="H677" s="50" t="str">
        <f t="shared" si="20"/>
        <v>Aug</v>
      </c>
      <c r="I677" s="51">
        <f t="shared" ca="1" si="21"/>
        <v>22</v>
      </c>
      <c r="J677" s="52"/>
      <c r="K677" s="53">
        <v>69000</v>
      </c>
      <c r="L677" s="54">
        <v>1</v>
      </c>
      <c r="M677" s="55"/>
    </row>
    <row r="678" spans="1:13">
      <c r="A678" s="39" t="s">
        <v>969</v>
      </c>
      <c r="B678" s="46" t="s">
        <v>271</v>
      </c>
      <c r="C678" s="39" t="s">
        <v>930</v>
      </c>
      <c r="D678" s="72">
        <v>418701946</v>
      </c>
      <c r="E678" s="73">
        <v>2524141191</v>
      </c>
      <c r="F678" s="39" t="s">
        <v>261</v>
      </c>
      <c r="G678" s="49">
        <v>35155</v>
      </c>
      <c r="H678" s="50" t="str">
        <f t="shared" si="20"/>
        <v>Mar</v>
      </c>
      <c r="I678" s="51">
        <f t="shared" ca="1" si="21"/>
        <v>20</v>
      </c>
      <c r="J678" s="52" t="s">
        <v>257</v>
      </c>
      <c r="K678" s="53">
        <v>59450</v>
      </c>
      <c r="L678" s="54">
        <v>2</v>
      </c>
      <c r="M678" s="55"/>
    </row>
    <row r="679" spans="1:13">
      <c r="A679" s="39" t="s">
        <v>970</v>
      </c>
      <c r="B679" s="46" t="s">
        <v>271</v>
      </c>
      <c r="C679" s="39" t="s">
        <v>930</v>
      </c>
      <c r="D679" s="72">
        <v>671823263</v>
      </c>
      <c r="E679" s="73">
        <v>2526718651</v>
      </c>
      <c r="F679" s="39" t="s">
        <v>256</v>
      </c>
      <c r="G679" s="49">
        <v>41638</v>
      </c>
      <c r="H679" s="50" t="str">
        <f t="shared" si="20"/>
        <v>Dec</v>
      </c>
      <c r="I679" s="51">
        <f t="shared" ca="1" si="21"/>
        <v>2</v>
      </c>
      <c r="J679" s="52" t="s">
        <v>257</v>
      </c>
      <c r="K679" s="53">
        <v>103970</v>
      </c>
      <c r="L679" s="54">
        <v>3</v>
      </c>
      <c r="M679" s="55"/>
    </row>
    <row r="680" spans="1:13">
      <c r="A680" s="39" t="s">
        <v>971</v>
      </c>
      <c r="B680" s="46" t="s">
        <v>266</v>
      </c>
      <c r="C680" s="39" t="s">
        <v>930</v>
      </c>
      <c r="D680" s="72">
        <v>971128623</v>
      </c>
      <c r="E680" s="73">
        <v>9194375399</v>
      </c>
      <c r="F680" s="39" t="s">
        <v>247</v>
      </c>
      <c r="G680" s="49">
        <v>38142</v>
      </c>
      <c r="H680" s="50" t="str">
        <f t="shared" si="20"/>
        <v>Jun</v>
      </c>
      <c r="I680" s="51">
        <f t="shared" ca="1" si="21"/>
        <v>12</v>
      </c>
      <c r="J680" s="52"/>
      <c r="K680" s="53">
        <v>30640</v>
      </c>
      <c r="L680" s="54">
        <v>3</v>
      </c>
      <c r="M680" s="55"/>
    </row>
    <row r="681" spans="1:13">
      <c r="A681" s="39" t="s">
        <v>972</v>
      </c>
      <c r="B681" s="46" t="s">
        <v>266</v>
      </c>
      <c r="C681" s="39" t="s">
        <v>930</v>
      </c>
      <c r="D681" s="72">
        <v>592709648</v>
      </c>
      <c r="E681" s="73">
        <v>9191797370</v>
      </c>
      <c r="F681" s="39" t="s">
        <v>247</v>
      </c>
      <c r="G681" s="49">
        <v>38066</v>
      </c>
      <c r="H681" s="50" t="str">
        <f t="shared" si="20"/>
        <v>Mar</v>
      </c>
      <c r="I681" s="51">
        <f t="shared" ca="1" si="21"/>
        <v>12</v>
      </c>
      <c r="J681" s="52"/>
      <c r="K681" s="53">
        <v>92560</v>
      </c>
      <c r="L681" s="54">
        <v>5</v>
      </c>
      <c r="M681" s="55"/>
    </row>
    <row r="682" spans="1:13">
      <c r="A682" s="39" t="s">
        <v>973</v>
      </c>
      <c r="B682" s="46" t="s">
        <v>285</v>
      </c>
      <c r="C682" s="39" t="s">
        <v>930</v>
      </c>
      <c r="D682" s="72">
        <v>151532569</v>
      </c>
      <c r="E682" s="73">
        <v>2525202015</v>
      </c>
      <c r="F682" s="39" t="s">
        <v>247</v>
      </c>
      <c r="G682" s="49">
        <v>41564</v>
      </c>
      <c r="H682" s="50" t="str">
        <f t="shared" si="20"/>
        <v>Oct</v>
      </c>
      <c r="I682" s="51">
        <f t="shared" ca="1" si="21"/>
        <v>3</v>
      </c>
      <c r="J682" s="52"/>
      <c r="K682" s="53">
        <v>66610</v>
      </c>
      <c r="L682" s="54">
        <v>3</v>
      </c>
      <c r="M682" s="55"/>
    </row>
    <row r="683" spans="1:13">
      <c r="A683" s="39" t="s">
        <v>974</v>
      </c>
      <c r="B683" s="46" t="s">
        <v>271</v>
      </c>
      <c r="C683" s="39" t="s">
        <v>930</v>
      </c>
      <c r="D683" s="72">
        <v>375875723</v>
      </c>
      <c r="E683" s="73">
        <v>2526026842</v>
      </c>
      <c r="F683" s="39" t="s">
        <v>247</v>
      </c>
      <c r="G683" s="49">
        <v>35724</v>
      </c>
      <c r="H683" s="50" t="str">
        <f t="shared" si="20"/>
        <v>Oct</v>
      </c>
      <c r="I683" s="51">
        <f t="shared" ca="1" si="21"/>
        <v>19</v>
      </c>
      <c r="J683" s="52"/>
      <c r="K683" s="53">
        <v>77120</v>
      </c>
      <c r="L683" s="54">
        <v>3</v>
      </c>
      <c r="M683" s="55"/>
    </row>
    <row r="684" spans="1:13">
      <c r="A684" s="39" t="s">
        <v>975</v>
      </c>
      <c r="B684" s="46" t="s">
        <v>271</v>
      </c>
      <c r="C684" s="39" t="s">
        <v>930</v>
      </c>
      <c r="D684" s="72">
        <v>916944119</v>
      </c>
      <c r="E684" s="73">
        <v>2524907564</v>
      </c>
      <c r="F684" s="39" t="s">
        <v>247</v>
      </c>
      <c r="G684" s="49">
        <v>38100</v>
      </c>
      <c r="H684" s="50" t="str">
        <f t="shared" si="20"/>
        <v>Apr</v>
      </c>
      <c r="I684" s="51">
        <f t="shared" ca="1" si="21"/>
        <v>12</v>
      </c>
      <c r="J684" s="52"/>
      <c r="K684" s="53">
        <v>33920</v>
      </c>
      <c r="L684" s="54">
        <v>5</v>
      </c>
      <c r="M684" s="55"/>
    </row>
    <row r="685" spans="1:13">
      <c r="A685" s="39" t="s">
        <v>976</v>
      </c>
      <c r="B685" s="46" t="s">
        <v>271</v>
      </c>
      <c r="C685" s="39" t="s">
        <v>930</v>
      </c>
      <c r="D685" s="72">
        <v>855663308</v>
      </c>
      <c r="E685" s="73">
        <v>9195797109</v>
      </c>
      <c r="F685" s="39" t="s">
        <v>256</v>
      </c>
      <c r="G685" s="49">
        <v>35671</v>
      </c>
      <c r="H685" s="50" t="str">
        <f t="shared" si="20"/>
        <v>Aug</v>
      </c>
      <c r="I685" s="51">
        <f t="shared" ca="1" si="21"/>
        <v>19</v>
      </c>
      <c r="J685" s="52" t="s">
        <v>257</v>
      </c>
      <c r="K685" s="53">
        <v>83410</v>
      </c>
      <c r="L685" s="54">
        <v>5</v>
      </c>
      <c r="M685" s="55"/>
    </row>
    <row r="686" spans="1:13">
      <c r="A686" s="39" t="s">
        <v>977</v>
      </c>
      <c r="B686" s="46" t="s">
        <v>245</v>
      </c>
      <c r="C686" s="39" t="s">
        <v>930</v>
      </c>
      <c r="D686" s="72">
        <v>262585858</v>
      </c>
      <c r="E686" s="73">
        <v>2528566597</v>
      </c>
      <c r="F686" s="39" t="s">
        <v>261</v>
      </c>
      <c r="G686" s="49">
        <v>36519</v>
      </c>
      <c r="H686" s="50" t="str">
        <f t="shared" si="20"/>
        <v>Dec</v>
      </c>
      <c r="I686" s="51">
        <f t="shared" ca="1" si="21"/>
        <v>16</v>
      </c>
      <c r="J686" s="52" t="s">
        <v>262</v>
      </c>
      <c r="K686" s="53">
        <v>16430</v>
      </c>
      <c r="L686" s="54">
        <v>5</v>
      </c>
      <c r="M686" s="55"/>
    </row>
    <row r="687" spans="1:13">
      <c r="A687" s="39" t="s">
        <v>978</v>
      </c>
      <c r="B687" s="46" t="s">
        <v>271</v>
      </c>
      <c r="C687" s="39" t="s">
        <v>930</v>
      </c>
      <c r="D687" s="72">
        <v>657835603</v>
      </c>
      <c r="E687" s="73">
        <v>2526609693</v>
      </c>
      <c r="F687" s="39" t="s">
        <v>256</v>
      </c>
      <c r="G687" s="49">
        <v>34280</v>
      </c>
      <c r="H687" s="50" t="str">
        <f t="shared" si="20"/>
        <v>Nov</v>
      </c>
      <c r="I687" s="51">
        <f t="shared" ca="1" si="21"/>
        <v>23</v>
      </c>
      <c r="J687" s="52" t="s">
        <v>257</v>
      </c>
      <c r="K687" s="53">
        <v>29040</v>
      </c>
      <c r="L687" s="54">
        <v>5</v>
      </c>
      <c r="M687" s="55"/>
    </row>
    <row r="688" spans="1:13">
      <c r="A688" s="39" t="s">
        <v>979</v>
      </c>
      <c r="B688" s="46" t="s">
        <v>266</v>
      </c>
      <c r="C688" s="39" t="s">
        <v>930</v>
      </c>
      <c r="D688" s="72">
        <v>120224342</v>
      </c>
      <c r="E688" s="73">
        <v>9198986390</v>
      </c>
      <c r="F688" s="39" t="s">
        <v>252</v>
      </c>
      <c r="G688" s="49">
        <v>37459</v>
      </c>
      <c r="H688" s="50" t="str">
        <f t="shared" si="20"/>
        <v>Jul</v>
      </c>
      <c r="I688" s="51">
        <f t="shared" ca="1" si="21"/>
        <v>14</v>
      </c>
      <c r="J688" s="52"/>
      <c r="K688" s="53">
        <v>39040</v>
      </c>
      <c r="L688" s="54">
        <v>2</v>
      </c>
      <c r="M688" s="55"/>
    </row>
    <row r="689" spans="1:13">
      <c r="A689" s="39" t="s">
        <v>980</v>
      </c>
      <c r="B689" s="46" t="s">
        <v>285</v>
      </c>
      <c r="C689" s="39" t="s">
        <v>930</v>
      </c>
      <c r="D689" s="72">
        <v>283476654</v>
      </c>
      <c r="E689" s="73">
        <v>9197049910</v>
      </c>
      <c r="F689" s="39" t="s">
        <v>256</v>
      </c>
      <c r="G689" s="49">
        <v>34682</v>
      </c>
      <c r="H689" s="50" t="str">
        <f t="shared" si="20"/>
        <v>Dec</v>
      </c>
      <c r="I689" s="51">
        <f t="shared" ca="1" si="21"/>
        <v>21</v>
      </c>
      <c r="J689" s="52" t="s">
        <v>262</v>
      </c>
      <c r="K689" s="53">
        <v>55860</v>
      </c>
      <c r="L689" s="54">
        <v>4</v>
      </c>
      <c r="M689" s="55"/>
    </row>
    <row r="690" spans="1:13">
      <c r="A690" s="39" t="s">
        <v>981</v>
      </c>
      <c r="B690" s="46" t="s">
        <v>285</v>
      </c>
      <c r="C690" s="39" t="s">
        <v>930</v>
      </c>
      <c r="D690" s="72">
        <v>717503282</v>
      </c>
      <c r="E690" s="73">
        <v>2522400087</v>
      </c>
      <c r="F690" s="39" t="s">
        <v>247</v>
      </c>
      <c r="G690" s="49">
        <v>41524</v>
      </c>
      <c r="H690" s="50" t="str">
        <f t="shared" si="20"/>
        <v>Sep</v>
      </c>
      <c r="I690" s="51">
        <f t="shared" ca="1" si="21"/>
        <v>3</v>
      </c>
      <c r="J690" s="52"/>
      <c r="K690" s="53">
        <v>55880</v>
      </c>
      <c r="L690" s="54">
        <v>4</v>
      </c>
      <c r="M690" s="55"/>
    </row>
    <row r="691" spans="1:13">
      <c r="A691" s="39" t="s">
        <v>982</v>
      </c>
      <c r="B691" s="46" t="s">
        <v>245</v>
      </c>
      <c r="C691" s="39" t="s">
        <v>930</v>
      </c>
      <c r="D691" s="72">
        <v>683670378</v>
      </c>
      <c r="E691" s="73">
        <v>9196259106</v>
      </c>
      <c r="F691" s="39" t="s">
        <v>256</v>
      </c>
      <c r="G691" s="49">
        <v>39348</v>
      </c>
      <c r="H691" s="50" t="str">
        <f t="shared" si="20"/>
        <v>Sep</v>
      </c>
      <c r="I691" s="51">
        <f t="shared" ca="1" si="21"/>
        <v>9</v>
      </c>
      <c r="J691" s="52" t="s">
        <v>283</v>
      </c>
      <c r="K691" s="53">
        <v>97610</v>
      </c>
      <c r="L691" s="54">
        <v>2</v>
      </c>
      <c r="M691" s="55"/>
    </row>
    <row r="692" spans="1:13">
      <c r="A692" s="39" t="s">
        <v>983</v>
      </c>
      <c r="B692" s="46" t="s">
        <v>271</v>
      </c>
      <c r="C692" s="39" t="s">
        <v>930</v>
      </c>
      <c r="D692" s="72">
        <v>111616346</v>
      </c>
      <c r="E692" s="73">
        <v>2525717431</v>
      </c>
      <c r="F692" s="39" t="s">
        <v>247</v>
      </c>
      <c r="G692" s="49">
        <v>34507</v>
      </c>
      <c r="H692" s="50" t="str">
        <f t="shared" si="20"/>
        <v>Jun</v>
      </c>
      <c r="I692" s="51">
        <f t="shared" ca="1" si="21"/>
        <v>22</v>
      </c>
      <c r="J692" s="52"/>
      <c r="K692" s="53">
        <v>73360</v>
      </c>
      <c r="L692" s="54">
        <v>4</v>
      </c>
      <c r="M692" s="55"/>
    </row>
    <row r="693" spans="1:13">
      <c r="A693" s="39" t="s">
        <v>984</v>
      </c>
      <c r="B693" s="46" t="s">
        <v>285</v>
      </c>
      <c r="C693" s="39" t="s">
        <v>930</v>
      </c>
      <c r="D693" s="72">
        <v>458734969</v>
      </c>
      <c r="E693" s="73">
        <v>9196354278</v>
      </c>
      <c r="F693" s="39" t="s">
        <v>256</v>
      </c>
      <c r="G693" s="49">
        <v>40729</v>
      </c>
      <c r="H693" s="50" t="str">
        <f t="shared" si="20"/>
        <v>Jul</v>
      </c>
      <c r="I693" s="51">
        <f t="shared" ca="1" si="21"/>
        <v>5</v>
      </c>
      <c r="J693" s="52" t="s">
        <v>257</v>
      </c>
      <c r="K693" s="53">
        <v>98840</v>
      </c>
      <c r="L693" s="54">
        <v>5</v>
      </c>
      <c r="M693" s="55"/>
    </row>
    <row r="694" spans="1:13">
      <c r="A694" s="39" t="s">
        <v>985</v>
      </c>
      <c r="B694" s="46" t="s">
        <v>245</v>
      </c>
      <c r="C694" s="39" t="s">
        <v>930</v>
      </c>
      <c r="D694" s="72">
        <v>667745362</v>
      </c>
      <c r="E694" s="73">
        <v>2522952173</v>
      </c>
      <c r="F694" s="39" t="s">
        <v>247</v>
      </c>
      <c r="G694" s="49">
        <v>40729</v>
      </c>
      <c r="H694" s="50" t="str">
        <f t="shared" si="20"/>
        <v>Jul</v>
      </c>
      <c r="I694" s="51">
        <f t="shared" ca="1" si="21"/>
        <v>5</v>
      </c>
      <c r="J694" s="52"/>
      <c r="K694" s="53">
        <v>103250</v>
      </c>
      <c r="L694" s="54">
        <v>5</v>
      </c>
      <c r="M694" s="55"/>
    </row>
    <row r="695" spans="1:13">
      <c r="A695" s="39" t="s">
        <v>986</v>
      </c>
      <c r="B695" s="46" t="s">
        <v>285</v>
      </c>
      <c r="C695" s="39" t="s">
        <v>930</v>
      </c>
      <c r="D695" s="72">
        <v>862698919</v>
      </c>
      <c r="E695" s="73">
        <v>2522780847</v>
      </c>
      <c r="F695" s="39" t="s">
        <v>256</v>
      </c>
      <c r="G695" s="49">
        <v>39329</v>
      </c>
      <c r="H695" s="50" t="str">
        <f t="shared" si="20"/>
        <v>Sep</v>
      </c>
      <c r="I695" s="51">
        <f t="shared" ca="1" si="21"/>
        <v>9</v>
      </c>
      <c r="J695" s="52" t="s">
        <v>262</v>
      </c>
      <c r="K695" s="53">
        <v>57940</v>
      </c>
      <c r="L695" s="54">
        <v>4</v>
      </c>
      <c r="M695" s="55"/>
    </row>
    <row r="696" spans="1:13">
      <c r="A696" s="39" t="s">
        <v>987</v>
      </c>
      <c r="B696" s="46" t="s">
        <v>271</v>
      </c>
      <c r="C696" s="39" t="s">
        <v>930</v>
      </c>
      <c r="D696" s="72">
        <v>750006979</v>
      </c>
      <c r="E696" s="73">
        <v>2528444054</v>
      </c>
      <c r="F696" s="39" t="s">
        <v>261</v>
      </c>
      <c r="G696" s="49">
        <v>35043</v>
      </c>
      <c r="H696" s="50" t="str">
        <f t="shared" si="20"/>
        <v>Dec</v>
      </c>
      <c r="I696" s="51">
        <f t="shared" ca="1" si="21"/>
        <v>20</v>
      </c>
      <c r="J696" s="52" t="s">
        <v>267</v>
      </c>
      <c r="K696" s="53">
        <v>33250</v>
      </c>
      <c r="L696" s="54">
        <v>3</v>
      </c>
      <c r="M696" s="55"/>
    </row>
    <row r="697" spans="1:13">
      <c r="A697" s="39" t="s">
        <v>988</v>
      </c>
      <c r="B697" s="46" t="s">
        <v>285</v>
      </c>
      <c r="C697" s="39" t="s">
        <v>930</v>
      </c>
      <c r="D697" s="72">
        <v>763182349</v>
      </c>
      <c r="E697" s="73">
        <v>2527780776</v>
      </c>
      <c r="F697" s="39" t="s">
        <v>247</v>
      </c>
      <c r="G697" s="49">
        <v>35127</v>
      </c>
      <c r="H697" s="50" t="str">
        <f t="shared" si="20"/>
        <v>Mar</v>
      </c>
      <c r="I697" s="51">
        <f t="shared" ca="1" si="21"/>
        <v>20</v>
      </c>
      <c r="J697" s="52"/>
      <c r="K697" s="53">
        <v>90660</v>
      </c>
      <c r="L697" s="54">
        <v>3</v>
      </c>
      <c r="M697" s="55"/>
    </row>
    <row r="698" spans="1:13">
      <c r="A698" s="39" t="s">
        <v>989</v>
      </c>
      <c r="B698" s="46" t="s">
        <v>245</v>
      </c>
      <c r="C698" s="39" t="s">
        <v>930</v>
      </c>
      <c r="D698" s="72">
        <v>877574472</v>
      </c>
      <c r="E698" s="73">
        <v>2524100997</v>
      </c>
      <c r="F698" s="39" t="s">
        <v>247</v>
      </c>
      <c r="G698" s="49">
        <v>34402</v>
      </c>
      <c r="H698" s="50" t="str">
        <f t="shared" si="20"/>
        <v>Mar</v>
      </c>
      <c r="I698" s="51">
        <f t="shared" ca="1" si="21"/>
        <v>22</v>
      </c>
      <c r="J698" s="52"/>
      <c r="K698" s="53">
        <v>41620</v>
      </c>
      <c r="L698" s="54">
        <v>5</v>
      </c>
      <c r="M698" s="55"/>
    </row>
    <row r="699" spans="1:13">
      <c r="A699" s="39" t="s">
        <v>990</v>
      </c>
      <c r="B699" s="46" t="s">
        <v>271</v>
      </c>
      <c r="C699" s="39" t="s">
        <v>930</v>
      </c>
      <c r="D699" s="72">
        <v>308317457</v>
      </c>
      <c r="E699" s="73">
        <v>9192729524</v>
      </c>
      <c r="F699" s="39" t="s">
        <v>256</v>
      </c>
      <c r="G699" s="49">
        <v>41681</v>
      </c>
      <c r="H699" s="50" t="str">
        <f t="shared" si="20"/>
        <v>Feb</v>
      </c>
      <c r="I699" s="51">
        <f t="shared" ca="1" si="21"/>
        <v>2</v>
      </c>
      <c r="J699" s="52" t="s">
        <v>257</v>
      </c>
      <c r="K699" s="53">
        <v>27640</v>
      </c>
      <c r="L699" s="54">
        <v>4</v>
      </c>
      <c r="M699" s="55"/>
    </row>
    <row r="700" spans="1:13">
      <c r="A700" s="39" t="s">
        <v>991</v>
      </c>
      <c r="B700" s="46" t="s">
        <v>251</v>
      </c>
      <c r="C700" s="39" t="s">
        <v>930</v>
      </c>
      <c r="D700" s="72">
        <v>120361975</v>
      </c>
      <c r="E700" s="73">
        <v>2521789943</v>
      </c>
      <c r="F700" s="39" t="s">
        <v>256</v>
      </c>
      <c r="G700" s="49">
        <v>38496</v>
      </c>
      <c r="H700" s="50" t="str">
        <f t="shared" si="20"/>
        <v>May</v>
      </c>
      <c r="I700" s="51">
        <f t="shared" ca="1" si="21"/>
        <v>11</v>
      </c>
      <c r="J700" s="52" t="s">
        <v>276</v>
      </c>
      <c r="K700" s="53">
        <v>72360</v>
      </c>
      <c r="L700" s="54">
        <v>2</v>
      </c>
      <c r="M700" s="55"/>
    </row>
    <row r="701" spans="1:13">
      <c r="A701" s="39" t="s">
        <v>992</v>
      </c>
      <c r="B701" s="46" t="s">
        <v>280</v>
      </c>
      <c r="C701" s="39" t="s">
        <v>930</v>
      </c>
      <c r="D701" s="72">
        <v>749768847</v>
      </c>
      <c r="E701" s="73">
        <v>2528552110</v>
      </c>
      <c r="F701" s="39" t="s">
        <v>247</v>
      </c>
      <c r="G701" s="49">
        <v>36281</v>
      </c>
      <c r="H701" s="50" t="str">
        <f t="shared" si="20"/>
        <v>May</v>
      </c>
      <c r="I701" s="51">
        <f t="shared" ca="1" si="21"/>
        <v>17</v>
      </c>
      <c r="J701" s="52"/>
      <c r="K701" s="53">
        <v>50120</v>
      </c>
      <c r="L701" s="54">
        <v>5</v>
      </c>
      <c r="M701" s="55"/>
    </row>
    <row r="702" spans="1:13">
      <c r="A702" s="39" t="s">
        <v>993</v>
      </c>
      <c r="B702" s="46" t="s">
        <v>280</v>
      </c>
      <c r="C702" s="39" t="s">
        <v>930</v>
      </c>
      <c r="D702" s="72">
        <v>276873359</v>
      </c>
      <c r="E702" s="73">
        <v>2522304625</v>
      </c>
      <c r="F702" s="39" t="s">
        <v>256</v>
      </c>
      <c r="G702" s="49">
        <v>40172</v>
      </c>
      <c r="H702" s="50" t="str">
        <f t="shared" si="20"/>
        <v>Dec</v>
      </c>
      <c r="I702" s="51">
        <f t="shared" ca="1" si="21"/>
        <v>6</v>
      </c>
      <c r="J702" s="52" t="s">
        <v>267</v>
      </c>
      <c r="K702" s="53">
        <v>30830</v>
      </c>
      <c r="L702" s="54">
        <v>2</v>
      </c>
      <c r="M702" s="55"/>
    </row>
    <row r="703" spans="1:13">
      <c r="A703" s="39" t="s">
        <v>994</v>
      </c>
      <c r="B703" s="46" t="s">
        <v>280</v>
      </c>
      <c r="C703" s="39" t="s">
        <v>930</v>
      </c>
      <c r="D703" s="72">
        <v>643984096</v>
      </c>
      <c r="E703" s="73">
        <v>9191630739</v>
      </c>
      <c r="F703" s="39" t="s">
        <v>247</v>
      </c>
      <c r="G703" s="49">
        <v>34414</v>
      </c>
      <c r="H703" s="50" t="str">
        <f t="shared" si="20"/>
        <v>Mar</v>
      </c>
      <c r="I703" s="51">
        <f t="shared" ca="1" si="21"/>
        <v>22</v>
      </c>
      <c r="J703" s="52"/>
      <c r="K703" s="53">
        <v>31220</v>
      </c>
      <c r="L703" s="54">
        <v>5</v>
      </c>
      <c r="M703" s="55"/>
    </row>
    <row r="704" spans="1:13">
      <c r="A704" s="39" t="s">
        <v>995</v>
      </c>
      <c r="B704" s="46" t="s">
        <v>245</v>
      </c>
      <c r="C704" s="39" t="s">
        <v>930</v>
      </c>
      <c r="D704" s="72">
        <v>145495793</v>
      </c>
      <c r="E704" s="73">
        <v>2521603964</v>
      </c>
      <c r="F704" s="39" t="s">
        <v>261</v>
      </c>
      <c r="G704" s="49">
        <v>35961</v>
      </c>
      <c r="H704" s="50" t="str">
        <f t="shared" si="20"/>
        <v>Jun</v>
      </c>
      <c r="I704" s="51">
        <f t="shared" ca="1" si="21"/>
        <v>18</v>
      </c>
      <c r="J704" s="52" t="s">
        <v>276</v>
      </c>
      <c r="K704" s="53">
        <v>27600</v>
      </c>
      <c r="L704" s="54">
        <v>4</v>
      </c>
      <c r="M704" s="55"/>
    </row>
    <row r="705" spans="1:13">
      <c r="A705" s="39" t="s">
        <v>996</v>
      </c>
      <c r="B705" s="46" t="s">
        <v>280</v>
      </c>
      <c r="C705" s="39" t="s">
        <v>930</v>
      </c>
      <c r="D705" s="72">
        <v>311309049</v>
      </c>
      <c r="E705" s="73">
        <v>2527560634</v>
      </c>
      <c r="F705" s="39" t="s">
        <v>256</v>
      </c>
      <c r="G705" s="49">
        <v>37244</v>
      </c>
      <c r="H705" s="50" t="str">
        <f t="shared" si="20"/>
        <v>Dec</v>
      </c>
      <c r="I705" s="51">
        <f t="shared" ca="1" si="21"/>
        <v>14</v>
      </c>
      <c r="J705" s="52" t="s">
        <v>276</v>
      </c>
      <c r="K705" s="53">
        <v>93220</v>
      </c>
      <c r="L705" s="54">
        <v>3</v>
      </c>
      <c r="M705" s="55"/>
    </row>
    <row r="706" spans="1:13">
      <c r="A706" s="39" t="s">
        <v>997</v>
      </c>
      <c r="B706" s="46" t="s">
        <v>251</v>
      </c>
      <c r="C706" s="39" t="s">
        <v>930</v>
      </c>
      <c r="D706" s="72">
        <v>900160539</v>
      </c>
      <c r="E706" s="73">
        <v>2522749909</v>
      </c>
      <c r="F706" s="39" t="s">
        <v>261</v>
      </c>
      <c r="G706" s="49">
        <v>37366</v>
      </c>
      <c r="H706" s="50" t="str">
        <f t="shared" ref="H706:H742" si="22">CHOOSE(MONTH(G706),"Jan","Feb","Mar","Apr","May","Jun","Jul","Aug","Sep","Oct","Nov","Dec")</f>
        <v>Apr</v>
      </c>
      <c r="I706" s="51">
        <f t="shared" ref="I706:I742" ca="1" si="23">DATEDIF(G706,TODAY(),"Y")</f>
        <v>14</v>
      </c>
      <c r="J706" s="52" t="s">
        <v>267</v>
      </c>
      <c r="K706" s="53">
        <v>23790</v>
      </c>
      <c r="L706" s="54">
        <v>2</v>
      </c>
      <c r="M706" s="55"/>
    </row>
    <row r="707" spans="1:13">
      <c r="A707" s="39" t="s">
        <v>998</v>
      </c>
      <c r="B707" s="46" t="s">
        <v>251</v>
      </c>
      <c r="C707" s="39" t="s">
        <v>930</v>
      </c>
      <c r="D707" s="72">
        <v>759471070</v>
      </c>
      <c r="E707" s="73">
        <v>2525402828</v>
      </c>
      <c r="F707" s="39" t="s">
        <v>256</v>
      </c>
      <c r="G707" s="49">
        <v>38010</v>
      </c>
      <c r="H707" s="50" t="str">
        <f t="shared" si="22"/>
        <v>Jan</v>
      </c>
      <c r="I707" s="51">
        <f t="shared" ca="1" si="23"/>
        <v>12</v>
      </c>
      <c r="J707" s="52" t="s">
        <v>283</v>
      </c>
      <c r="K707" s="53">
        <v>94450</v>
      </c>
      <c r="L707" s="54">
        <v>2</v>
      </c>
      <c r="M707" s="55"/>
    </row>
    <row r="708" spans="1:13">
      <c r="A708" s="39" t="s">
        <v>999</v>
      </c>
      <c r="B708" s="46" t="s">
        <v>285</v>
      </c>
      <c r="C708" s="39" t="s">
        <v>930</v>
      </c>
      <c r="D708" s="72">
        <v>879114558</v>
      </c>
      <c r="E708" s="73">
        <v>9194557504</v>
      </c>
      <c r="F708" s="39" t="s">
        <v>261</v>
      </c>
      <c r="G708" s="49">
        <v>37919</v>
      </c>
      <c r="H708" s="50" t="str">
        <f t="shared" si="22"/>
        <v>Oct</v>
      </c>
      <c r="I708" s="51">
        <f t="shared" ca="1" si="23"/>
        <v>13</v>
      </c>
      <c r="J708" s="52" t="s">
        <v>257</v>
      </c>
      <c r="K708" s="53">
        <v>20650</v>
      </c>
      <c r="L708" s="54">
        <v>5</v>
      </c>
      <c r="M708" s="55"/>
    </row>
    <row r="709" spans="1:13">
      <c r="A709" s="39" t="s">
        <v>1000</v>
      </c>
      <c r="B709" s="46" t="s">
        <v>285</v>
      </c>
      <c r="C709" s="39" t="s">
        <v>930</v>
      </c>
      <c r="D709" s="72">
        <v>483483618</v>
      </c>
      <c r="E709" s="73">
        <v>2526459263</v>
      </c>
      <c r="F709" s="39" t="s">
        <v>256</v>
      </c>
      <c r="G709" s="49">
        <v>36138</v>
      </c>
      <c r="H709" s="50" t="str">
        <f t="shared" si="22"/>
        <v>Dec</v>
      </c>
      <c r="I709" s="51">
        <f t="shared" ca="1" si="23"/>
        <v>17</v>
      </c>
      <c r="J709" s="52" t="s">
        <v>283</v>
      </c>
      <c r="K709" s="53">
        <v>40310</v>
      </c>
      <c r="L709" s="54">
        <v>5</v>
      </c>
      <c r="M709" s="55"/>
    </row>
    <row r="710" spans="1:13">
      <c r="A710" s="39" t="s">
        <v>1001</v>
      </c>
      <c r="B710" s="46" t="s">
        <v>280</v>
      </c>
      <c r="C710" s="39" t="s">
        <v>930</v>
      </c>
      <c r="D710" s="72">
        <v>651999482</v>
      </c>
      <c r="E710" s="73">
        <v>2523014821</v>
      </c>
      <c r="F710" s="39" t="s">
        <v>256</v>
      </c>
      <c r="G710" s="49">
        <v>40680</v>
      </c>
      <c r="H710" s="50" t="str">
        <f t="shared" si="22"/>
        <v>May</v>
      </c>
      <c r="I710" s="51">
        <f t="shared" ca="1" si="23"/>
        <v>5</v>
      </c>
      <c r="J710" s="52" t="s">
        <v>257</v>
      </c>
      <c r="K710" s="53">
        <v>27380</v>
      </c>
      <c r="L710" s="54">
        <v>5</v>
      </c>
      <c r="M710" s="55"/>
    </row>
    <row r="711" spans="1:13">
      <c r="A711" s="39" t="s">
        <v>1002</v>
      </c>
      <c r="B711" s="46" t="s">
        <v>271</v>
      </c>
      <c r="C711" s="39" t="s">
        <v>930</v>
      </c>
      <c r="D711" s="72">
        <v>317749924</v>
      </c>
      <c r="E711" s="73">
        <v>9193441810</v>
      </c>
      <c r="F711" s="39" t="s">
        <v>247</v>
      </c>
      <c r="G711" s="49">
        <v>34978</v>
      </c>
      <c r="H711" s="50" t="str">
        <f t="shared" si="22"/>
        <v>Oct</v>
      </c>
      <c r="I711" s="51">
        <f t="shared" ca="1" si="23"/>
        <v>21</v>
      </c>
      <c r="J711" s="52"/>
      <c r="K711" s="53">
        <v>75950</v>
      </c>
      <c r="L711" s="54">
        <v>5</v>
      </c>
      <c r="M711" s="55"/>
    </row>
    <row r="712" spans="1:13">
      <c r="A712" s="39" t="s">
        <v>1003</v>
      </c>
      <c r="B712" s="46" t="s">
        <v>266</v>
      </c>
      <c r="C712" s="39" t="s">
        <v>930</v>
      </c>
      <c r="D712" s="72">
        <v>616055292</v>
      </c>
      <c r="E712" s="73">
        <v>9192913490</v>
      </c>
      <c r="F712" s="39" t="s">
        <v>256</v>
      </c>
      <c r="G712" s="49">
        <v>34922</v>
      </c>
      <c r="H712" s="50" t="str">
        <f t="shared" si="22"/>
        <v>Aug</v>
      </c>
      <c r="I712" s="51">
        <f t="shared" ca="1" si="23"/>
        <v>21</v>
      </c>
      <c r="J712" s="52" t="s">
        <v>267</v>
      </c>
      <c r="K712" s="53">
        <v>38590</v>
      </c>
      <c r="L712" s="54">
        <v>3</v>
      </c>
      <c r="M712" s="55"/>
    </row>
    <row r="713" spans="1:13">
      <c r="A713" s="39" t="s">
        <v>1004</v>
      </c>
      <c r="B713" s="46" t="s">
        <v>271</v>
      </c>
      <c r="C713" s="39" t="s">
        <v>930</v>
      </c>
      <c r="D713" s="72">
        <v>318723704</v>
      </c>
      <c r="E713" s="73">
        <v>9196526117</v>
      </c>
      <c r="F713" s="39" t="s">
        <v>256</v>
      </c>
      <c r="G713" s="49">
        <v>35426</v>
      </c>
      <c r="H713" s="50" t="str">
        <f t="shared" si="22"/>
        <v>Dec</v>
      </c>
      <c r="I713" s="51">
        <f t="shared" ca="1" si="23"/>
        <v>19</v>
      </c>
      <c r="J713" s="52" t="s">
        <v>283</v>
      </c>
      <c r="K713" s="53">
        <v>88620</v>
      </c>
      <c r="L713" s="54">
        <v>2</v>
      </c>
      <c r="M713" s="55"/>
    </row>
    <row r="714" spans="1:13">
      <c r="A714" s="39" t="s">
        <v>1005</v>
      </c>
      <c r="B714" s="46" t="s">
        <v>266</v>
      </c>
      <c r="C714" s="39" t="s">
        <v>930</v>
      </c>
      <c r="D714" s="72">
        <v>626648632</v>
      </c>
      <c r="E714" s="73">
        <v>2526412482</v>
      </c>
      <c r="F714" s="39" t="s">
        <v>247</v>
      </c>
      <c r="G714" s="49">
        <v>38454</v>
      </c>
      <c r="H714" s="50" t="str">
        <f t="shared" si="22"/>
        <v>Apr</v>
      </c>
      <c r="I714" s="51">
        <f t="shared" ca="1" si="23"/>
        <v>11</v>
      </c>
      <c r="J714" s="52"/>
      <c r="K714" s="53">
        <v>58910</v>
      </c>
      <c r="L714" s="54">
        <v>4</v>
      </c>
      <c r="M714" s="55"/>
    </row>
    <row r="715" spans="1:13">
      <c r="A715" s="39" t="s">
        <v>1006</v>
      </c>
      <c r="B715" s="46" t="s">
        <v>285</v>
      </c>
      <c r="C715" s="39" t="s">
        <v>930</v>
      </c>
      <c r="D715" s="72">
        <v>892040187</v>
      </c>
      <c r="E715" s="73">
        <v>2524877123</v>
      </c>
      <c r="F715" s="39" t="s">
        <v>256</v>
      </c>
      <c r="G715" s="49">
        <v>35287</v>
      </c>
      <c r="H715" s="50" t="str">
        <f t="shared" si="22"/>
        <v>Aug</v>
      </c>
      <c r="I715" s="51">
        <f t="shared" ca="1" si="23"/>
        <v>20</v>
      </c>
      <c r="J715" s="52" t="s">
        <v>283</v>
      </c>
      <c r="K715" s="53">
        <v>104660</v>
      </c>
      <c r="L715" s="54">
        <v>1</v>
      </c>
      <c r="M715" s="55"/>
    </row>
    <row r="716" spans="1:13">
      <c r="A716" s="39" t="s">
        <v>1007</v>
      </c>
      <c r="B716" s="46" t="s">
        <v>271</v>
      </c>
      <c r="C716" s="39" t="s">
        <v>930</v>
      </c>
      <c r="D716" s="72">
        <v>793256568</v>
      </c>
      <c r="E716" s="73">
        <v>9196999991</v>
      </c>
      <c r="F716" s="39" t="s">
        <v>256</v>
      </c>
      <c r="G716" s="49">
        <v>36365</v>
      </c>
      <c r="H716" s="50" t="str">
        <f t="shared" si="22"/>
        <v>Jul</v>
      </c>
      <c r="I716" s="51">
        <f t="shared" ca="1" si="23"/>
        <v>17</v>
      </c>
      <c r="J716" s="52" t="s">
        <v>257</v>
      </c>
      <c r="K716" s="53">
        <v>32560</v>
      </c>
      <c r="L716" s="54">
        <v>5</v>
      </c>
      <c r="M716" s="55"/>
    </row>
    <row r="717" spans="1:13">
      <c r="A717" s="39" t="s">
        <v>1008</v>
      </c>
      <c r="B717" s="46" t="s">
        <v>285</v>
      </c>
      <c r="C717" s="39" t="s">
        <v>930</v>
      </c>
      <c r="D717" s="72">
        <v>240241467</v>
      </c>
      <c r="E717" s="73">
        <v>2524914916</v>
      </c>
      <c r="F717" s="39" t="s">
        <v>252</v>
      </c>
      <c r="G717" s="49">
        <v>36577</v>
      </c>
      <c r="H717" s="50" t="str">
        <f t="shared" si="22"/>
        <v>Feb</v>
      </c>
      <c r="I717" s="51">
        <f t="shared" ca="1" si="23"/>
        <v>16</v>
      </c>
      <c r="J717" s="52"/>
      <c r="K717" s="53">
        <v>34520</v>
      </c>
      <c r="L717" s="54">
        <v>3</v>
      </c>
      <c r="M717" s="55"/>
    </row>
    <row r="718" spans="1:13">
      <c r="A718" s="39" t="s">
        <v>1009</v>
      </c>
      <c r="B718" s="46" t="s">
        <v>271</v>
      </c>
      <c r="C718" s="39" t="s">
        <v>930</v>
      </c>
      <c r="D718" s="72">
        <v>159594851</v>
      </c>
      <c r="E718" s="73">
        <v>9194084456</v>
      </c>
      <c r="F718" s="39" t="s">
        <v>256</v>
      </c>
      <c r="G718" s="49">
        <v>41681</v>
      </c>
      <c r="H718" s="50" t="str">
        <f t="shared" si="22"/>
        <v>Feb</v>
      </c>
      <c r="I718" s="51">
        <f t="shared" ca="1" si="23"/>
        <v>2</v>
      </c>
      <c r="J718" s="52" t="s">
        <v>276</v>
      </c>
      <c r="K718" s="53">
        <v>48310</v>
      </c>
      <c r="L718" s="54">
        <v>5</v>
      </c>
      <c r="M718" s="55"/>
    </row>
    <row r="719" spans="1:13">
      <c r="A719" s="39" t="s">
        <v>1010</v>
      </c>
      <c r="B719" s="46" t="s">
        <v>271</v>
      </c>
      <c r="C719" s="39" t="s">
        <v>930</v>
      </c>
      <c r="D719" s="72">
        <v>876082195</v>
      </c>
      <c r="E719" s="73">
        <v>2526049607</v>
      </c>
      <c r="F719" s="39" t="s">
        <v>256</v>
      </c>
      <c r="G719" s="49">
        <v>37331</v>
      </c>
      <c r="H719" s="50" t="str">
        <f t="shared" si="22"/>
        <v>Mar</v>
      </c>
      <c r="I719" s="51">
        <f t="shared" ca="1" si="23"/>
        <v>14</v>
      </c>
      <c r="J719" s="52" t="s">
        <v>276</v>
      </c>
      <c r="K719" s="53">
        <v>74220</v>
      </c>
      <c r="L719" s="54">
        <v>2</v>
      </c>
      <c r="M719" s="55"/>
    </row>
    <row r="720" spans="1:13">
      <c r="A720" s="39" t="s">
        <v>1011</v>
      </c>
      <c r="B720" s="46" t="s">
        <v>245</v>
      </c>
      <c r="C720" s="39" t="s">
        <v>930</v>
      </c>
      <c r="D720" s="72">
        <v>502580266</v>
      </c>
      <c r="E720" s="73">
        <v>9197103200</v>
      </c>
      <c r="F720" s="39" t="s">
        <v>252</v>
      </c>
      <c r="G720" s="49">
        <v>39647</v>
      </c>
      <c r="H720" s="50" t="str">
        <f t="shared" si="22"/>
        <v>Jul</v>
      </c>
      <c r="I720" s="51">
        <f t="shared" ca="1" si="23"/>
        <v>8</v>
      </c>
      <c r="J720" s="52"/>
      <c r="K720" s="53">
        <v>44810</v>
      </c>
      <c r="L720" s="54">
        <v>2</v>
      </c>
      <c r="M720" s="55"/>
    </row>
    <row r="721" spans="1:13">
      <c r="A721" s="39" t="s">
        <v>1012</v>
      </c>
      <c r="B721" s="46" t="s">
        <v>285</v>
      </c>
      <c r="C721" s="39" t="s">
        <v>930</v>
      </c>
      <c r="D721" s="72">
        <v>287476507</v>
      </c>
      <c r="E721" s="73">
        <v>9191509619</v>
      </c>
      <c r="F721" s="39" t="s">
        <v>261</v>
      </c>
      <c r="G721" s="49">
        <v>35006</v>
      </c>
      <c r="H721" s="50" t="str">
        <f t="shared" si="22"/>
        <v>Nov</v>
      </c>
      <c r="I721" s="51">
        <f t="shared" ca="1" si="23"/>
        <v>21</v>
      </c>
      <c r="J721" s="52" t="s">
        <v>257</v>
      </c>
      <c r="K721" s="53">
        <v>23920</v>
      </c>
      <c r="L721" s="54">
        <v>1</v>
      </c>
      <c r="M721" s="55"/>
    </row>
    <row r="722" spans="1:13">
      <c r="A722" s="39" t="s">
        <v>1013</v>
      </c>
      <c r="B722" s="46" t="s">
        <v>245</v>
      </c>
      <c r="C722" s="39" t="s">
        <v>930</v>
      </c>
      <c r="D722" s="72">
        <v>610340294</v>
      </c>
      <c r="E722" s="73">
        <v>9198443818</v>
      </c>
      <c r="F722" s="39" t="s">
        <v>247</v>
      </c>
      <c r="G722" s="49">
        <v>34821</v>
      </c>
      <c r="H722" s="50" t="str">
        <f t="shared" si="22"/>
        <v>May</v>
      </c>
      <c r="I722" s="51">
        <f t="shared" ca="1" si="23"/>
        <v>21</v>
      </c>
      <c r="J722" s="52"/>
      <c r="K722" s="53">
        <v>84360</v>
      </c>
      <c r="L722" s="54">
        <v>3</v>
      </c>
      <c r="M722" s="55"/>
    </row>
    <row r="723" spans="1:13">
      <c r="A723" s="39" t="s">
        <v>1014</v>
      </c>
      <c r="B723" s="46" t="s">
        <v>285</v>
      </c>
      <c r="C723" s="39" t="s">
        <v>930</v>
      </c>
      <c r="D723" s="72">
        <v>121173068</v>
      </c>
      <c r="E723" s="73">
        <v>9196778600</v>
      </c>
      <c r="F723" s="39" t="s">
        <v>256</v>
      </c>
      <c r="G723" s="49">
        <v>41569</v>
      </c>
      <c r="H723" s="50" t="str">
        <f t="shared" si="22"/>
        <v>Oct</v>
      </c>
      <c r="I723" s="51">
        <f t="shared" ca="1" si="23"/>
        <v>3</v>
      </c>
      <c r="J723" s="52" t="s">
        <v>257</v>
      </c>
      <c r="K723" s="53">
        <v>55670</v>
      </c>
      <c r="L723" s="54">
        <v>5</v>
      </c>
      <c r="M723" s="55"/>
    </row>
    <row r="724" spans="1:13">
      <c r="A724" s="39" t="s">
        <v>1015</v>
      </c>
      <c r="B724" s="46" t="s">
        <v>280</v>
      </c>
      <c r="C724" s="39" t="s">
        <v>930</v>
      </c>
      <c r="D724" s="72">
        <v>641962645</v>
      </c>
      <c r="E724" s="73">
        <v>9196965088</v>
      </c>
      <c r="F724" s="39" t="s">
        <v>247</v>
      </c>
      <c r="G724" s="49">
        <v>35136</v>
      </c>
      <c r="H724" s="50" t="str">
        <f t="shared" si="22"/>
        <v>Mar</v>
      </c>
      <c r="I724" s="51">
        <f t="shared" ca="1" si="23"/>
        <v>20</v>
      </c>
      <c r="J724" s="52"/>
      <c r="K724" s="53">
        <v>94310</v>
      </c>
      <c r="L724" s="54">
        <v>1</v>
      </c>
      <c r="M724" s="55"/>
    </row>
    <row r="725" spans="1:13">
      <c r="A725" s="39" t="s">
        <v>1016</v>
      </c>
      <c r="B725" s="46" t="s">
        <v>285</v>
      </c>
      <c r="C725" s="39" t="s">
        <v>930</v>
      </c>
      <c r="D725" s="72">
        <v>992674973</v>
      </c>
      <c r="E725" s="73">
        <v>2526088101</v>
      </c>
      <c r="F725" s="39" t="s">
        <v>256</v>
      </c>
      <c r="G725" s="49">
        <v>36053</v>
      </c>
      <c r="H725" s="50" t="str">
        <f t="shared" si="22"/>
        <v>Sep</v>
      </c>
      <c r="I725" s="51">
        <f t="shared" ca="1" si="23"/>
        <v>18</v>
      </c>
      <c r="J725" s="52" t="s">
        <v>267</v>
      </c>
      <c r="K725" s="53">
        <v>77740</v>
      </c>
      <c r="L725" s="54">
        <v>5</v>
      </c>
      <c r="M725" s="55"/>
    </row>
    <row r="726" spans="1:13">
      <c r="A726" s="39" t="s">
        <v>1017</v>
      </c>
      <c r="B726" s="46" t="s">
        <v>251</v>
      </c>
      <c r="C726" s="39" t="s">
        <v>930</v>
      </c>
      <c r="D726" s="72">
        <v>332494481</v>
      </c>
      <c r="E726" s="73">
        <v>9192094386</v>
      </c>
      <c r="F726" s="39" t="s">
        <v>256</v>
      </c>
      <c r="G726" s="49">
        <v>37081</v>
      </c>
      <c r="H726" s="50" t="str">
        <f t="shared" si="22"/>
        <v>Jul</v>
      </c>
      <c r="I726" s="51">
        <f t="shared" ca="1" si="23"/>
        <v>15</v>
      </c>
      <c r="J726" s="52" t="s">
        <v>283</v>
      </c>
      <c r="K726" s="53">
        <v>58090</v>
      </c>
      <c r="L726" s="54">
        <v>5</v>
      </c>
      <c r="M726" s="55"/>
    </row>
    <row r="727" spans="1:13">
      <c r="A727" s="39" t="s">
        <v>1018</v>
      </c>
      <c r="B727" s="46" t="s">
        <v>285</v>
      </c>
      <c r="C727" s="39" t="s">
        <v>930</v>
      </c>
      <c r="D727" s="72">
        <v>296641985</v>
      </c>
      <c r="E727" s="73">
        <v>2528217409</v>
      </c>
      <c r="F727" s="39" t="s">
        <v>256</v>
      </c>
      <c r="G727" s="49">
        <v>36628</v>
      </c>
      <c r="H727" s="50" t="str">
        <f t="shared" si="22"/>
        <v>Apr</v>
      </c>
      <c r="I727" s="51">
        <f t="shared" ca="1" si="23"/>
        <v>16</v>
      </c>
      <c r="J727" s="52" t="s">
        <v>283</v>
      </c>
      <c r="K727" s="53">
        <v>49660</v>
      </c>
      <c r="L727" s="54">
        <v>2</v>
      </c>
      <c r="M727" s="55"/>
    </row>
    <row r="728" spans="1:13">
      <c r="A728" s="39" t="s">
        <v>1019</v>
      </c>
      <c r="B728" s="46" t="s">
        <v>266</v>
      </c>
      <c r="C728" s="39" t="s">
        <v>930</v>
      </c>
      <c r="D728" s="72">
        <v>929694686</v>
      </c>
      <c r="E728" s="73">
        <v>9194483888</v>
      </c>
      <c r="F728" s="39" t="s">
        <v>256</v>
      </c>
      <c r="G728" s="49">
        <v>41537</v>
      </c>
      <c r="H728" s="50" t="str">
        <f t="shared" si="22"/>
        <v>Sep</v>
      </c>
      <c r="I728" s="51">
        <f t="shared" ca="1" si="23"/>
        <v>3</v>
      </c>
      <c r="J728" s="52" t="s">
        <v>283</v>
      </c>
      <c r="K728" s="53">
        <v>84880</v>
      </c>
      <c r="L728" s="54">
        <v>1</v>
      </c>
      <c r="M728" s="55"/>
    </row>
    <row r="729" spans="1:13">
      <c r="A729" s="39" t="s">
        <v>1020</v>
      </c>
      <c r="B729" s="46" t="s">
        <v>285</v>
      </c>
      <c r="C729" s="39" t="s">
        <v>930</v>
      </c>
      <c r="D729" s="72">
        <v>186346711</v>
      </c>
      <c r="E729" s="73">
        <v>9194900514</v>
      </c>
      <c r="F729" s="39" t="s">
        <v>256</v>
      </c>
      <c r="G729" s="49">
        <v>37620</v>
      </c>
      <c r="H729" s="50" t="str">
        <f t="shared" si="22"/>
        <v>Dec</v>
      </c>
      <c r="I729" s="51">
        <f t="shared" ca="1" si="23"/>
        <v>13</v>
      </c>
      <c r="J729" s="52" t="s">
        <v>262</v>
      </c>
      <c r="K729" s="53">
        <v>86360</v>
      </c>
      <c r="L729" s="54">
        <v>4</v>
      </c>
      <c r="M729" s="55"/>
    </row>
    <row r="730" spans="1:13">
      <c r="A730" s="39" t="s">
        <v>1021</v>
      </c>
      <c r="B730" s="46" t="s">
        <v>271</v>
      </c>
      <c r="C730" s="39" t="s">
        <v>930</v>
      </c>
      <c r="D730" s="72">
        <v>964255290</v>
      </c>
      <c r="E730" s="73">
        <v>9197446192</v>
      </c>
      <c r="F730" s="39" t="s">
        <v>256</v>
      </c>
      <c r="G730" s="49">
        <v>41019</v>
      </c>
      <c r="H730" s="50" t="str">
        <f t="shared" si="22"/>
        <v>Apr</v>
      </c>
      <c r="I730" s="51">
        <f t="shared" ca="1" si="23"/>
        <v>4</v>
      </c>
      <c r="J730" s="52" t="s">
        <v>283</v>
      </c>
      <c r="K730" s="53">
        <v>41990</v>
      </c>
      <c r="L730" s="54">
        <v>3</v>
      </c>
      <c r="M730" s="55"/>
    </row>
    <row r="731" spans="1:13">
      <c r="A731" s="39" t="s">
        <v>1022</v>
      </c>
      <c r="B731" s="46" t="s">
        <v>251</v>
      </c>
      <c r="C731" s="39" t="s">
        <v>930</v>
      </c>
      <c r="D731" s="72">
        <v>799754905</v>
      </c>
      <c r="E731" s="73">
        <v>2526757210</v>
      </c>
      <c r="F731" s="39" t="s">
        <v>256</v>
      </c>
      <c r="G731" s="49">
        <v>36308</v>
      </c>
      <c r="H731" s="50" t="str">
        <f t="shared" si="22"/>
        <v>May</v>
      </c>
      <c r="I731" s="51">
        <f t="shared" ca="1" si="23"/>
        <v>17</v>
      </c>
      <c r="J731" s="52" t="s">
        <v>257</v>
      </c>
      <c r="K731" s="53">
        <v>38030</v>
      </c>
      <c r="L731" s="54">
        <v>4</v>
      </c>
      <c r="M731" s="55"/>
    </row>
    <row r="732" spans="1:13">
      <c r="A732" s="39" t="s">
        <v>1023</v>
      </c>
      <c r="B732" s="46" t="s">
        <v>280</v>
      </c>
      <c r="C732" s="39" t="s">
        <v>930</v>
      </c>
      <c r="D732" s="72">
        <v>843299208</v>
      </c>
      <c r="E732" s="73">
        <v>9198631557</v>
      </c>
      <c r="F732" s="39" t="s">
        <v>261</v>
      </c>
      <c r="G732" s="49">
        <v>40536</v>
      </c>
      <c r="H732" s="50" t="str">
        <f t="shared" si="22"/>
        <v>Dec</v>
      </c>
      <c r="I732" s="51">
        <f t="shared" ca="1" si="23"/>
        <v>5</v>
      </c>
      <c r="J732" s="52" t="s">
        <v>276</v>
      </c>
      <c r="K732" s="53">
        <v>58900</v>
      </c>
      <c r="L732" s="54">
        <v>5</v>
      </c>
      <c r="M732" s="55"/>
    </row>
    <row r="733" spans="1:13">
      <c r="A733" s="39" t="s">
        <v>1024</v>
      </c>
      <c r="B733" s="46" t="s">
        <v>266</v>
      </c>
      <c r="C733" s="39" t="s">
        <v>1025</v>
      </c>
      <c r="D733" s="72">
        <v>443926890</v>
      </c>
      <c r="E733" s="73">
        <v>2524411859</v>
      </c>
      <c r="F733" s="39" t="s">
        <v>256</v>
      </c>
      <c r="G733" s="49">
        <v>38685</v>
      </c>
      <c r="H733" s="50" t="str">
        <f t="shared" si="22"/>
        <v>Nov</v>
      </c>
      <c r="I733" s="51">
        <f t="shared" ca="1" si="23"/>
        <v>10</v>
      </c>
      <c r="J733" s="52" t="s">
        <v>283</v>
      </c>
      <c r="K733" s="53">
        <v>51360</v>
      </c>
      <c r="L733" s="54">
        <v>5</v>
      </c>
      <c r="M733" s="55"/>
    </row>
    <row r="734" spans="1:13">
      <c r="A734" s="39" t="s">
        <v>1026</v>
      </c>
      <c r="B734" s="46" t="s">
        <v>245</v>
      </c>
      <c r="C734" s="39" t="s">
        <v>1025</v>
      </c>
      <c r="D734" s="72">
        <v>776823797</v>
      </c>
      <c r="E734" s="73">
        <v>9193482736</v>
      </c>
      <c r="F734" s="39" t="s">
        <v>247</v>
      </c>
      <c r="G734" s="49">
        <v>34388</v>
      </c>
      <c r="H734" s="50" t="str">
        <f t="shared" si="22"/>
        <v>Feb</v>
      </c>
      <c r="I734" s="51">
        <f t="shared" ca="1" si="23"/>
        <v>22</v>
      </c>
      <c r="J734" s="52"/>
      <c r="K734" s="53">
        <v>102610</v>
      </c>
      <c r="L734" s="54">
        <v>4</v>
      </c>
      <c r="M734" s="55"/>
    </row>
    <row r="735" spans="1:13">
      <c r="A735" s="39" t="s">
        <v>1027</v>
      </c>
      <c r="B735" s="46" t="s">
        <v>245</v>
      </c>
      <c r="C735" s="39" t="s">
        <v>1025</v>
      </c>
      <c r="D735" s="72">
        <v>797985708</v>
      </c>
      <c r="E735" s="73">
        <v>9193578185</v>
      </c>
      <c r="F735" s="39" t="s">
        <v>256</v>
      </c>
      <c r="G735" s="49">
        <v>38074</v>
      </c>
      <c r="H735" s="50" t="str">
        <f t="shared" si="22"/>
        <v>Mar</v>
      </c>
      <c r="I735" s="51">
        <f t="shared" ca="1" si="23"/>
        <v>12</v>
      </c>
      <c r="J735" s="52" t="s">
        <v>276</v>
      </c>
      <c r="K735" s="53">
        <v>48820</v>
      </c>
      <c r="L735" s="54">
        <v>5</v>
      </c>
      <c r="M735" s="55"/>
    </row>
    <row r="736" spans="1:13">
      <c r="A736" s="39" t="s">
        <v>1028</v>
      </c>
      <c r="B736" s="46" t="s">
        <v>271</v>
      </c>
      <c r="C736" s="39" t="s">
        <v>1025</v>
      </c>
      <c r="D736" s="72">
        <v>510700395</v>
      </c>
      <c r="E736" s="73">
        <v>9196690862</v>
      </c>
      <c r="F736" s="39" t="s">
        <v>256</v>
      </c>
      <c r="G736" s="49">
        <v>37992</v>
      </c>
      <c r="H736" s="50" t="str">
        <f t="shared" si="22"/>
        <v>Jan</v>
      </c>
      <c r="I736" s="51">
        <f t="shared" ca="1" si="23"/>
        <v>12</v>
      </c>
      <c r="J736" s="52" t="s">
        <v>257</v>
      </c>
      <c r="K736" s="53">
        <v>76400</v>
      </c>
      <c r="L736" s="54">
        <v>5</v>
      </c>
      <c r="M736" s="55"/>
    </row>
    <row r="737" spans="1:15">
      <c r="A737" s="39" t="s">
        <v>1029</v>
      </c>
      <c r="B737" s="46" t="s">
        <v>271</v>
      </c>
      <c r="C737" s="39" t="s">
        <v>1025</v>
      </c>
      <c r="D737" s="72">
        <v>106099892</v>
      </c>
      <c r="E737" s="73">
        <v>9194436681</v>
      </c>
      <c r="F737" s="39" t="s">
        <v>247</v>
      </c>
      <c r="G737" s="49">
        <v>41720</v>
      </c>
      <c r="H737" s="50" t="str">
        <f t="shared" si="22"/>
        <v>Mar</v>
      </c>
      <c r="I737" s="51">
        <f t="shared" ca="1" si="23"/>
        <v>2</v>
      </c>
      <c r="J737" s="52"/>
      <c r="K737" s="53">
        <v>79360</v>
      </c>
      <c r="L737" s="54">
        <v>4</v>
      </c>
      <c r="M737" s="55"/>
    </row>
    <row r="738" spans="1:15">
      <c r="A738" s="39" t="s">
        <v>1030</v>
      </c>
      <c r="B738" s="46" t="s">
        <v>285</v>
      </c>
      <c r="C738" s="39" t="s">
        <v>1031</v>
      </c>
      <c r="D738" s="72">
        <v>978092408</v>
      </c>
      <c r="E738" s="73">
        <v>9191888279</v>
      </c>
      <c r="F738" s="39" t="s">
        <v>247</v>
      </c>
      <c r="G738" s="49">
        <v>35526</v>
      </c>
      <c r="H738" s="50" t="str">
        <f t="shared" si="22"/>
        <v>Apr</v>
      </c>
      <c r="I738" s="51">
        <f t="shared" ca="1" si="23"/>
        <v>19</v>
      </c>
      <c r="J738" s="52"/>
      <c r="K738" s="53">
        <v>77660</v>
      </c>
      <c r="L738" s="54">
        <v>5</v>
      </c>
      <c r="M738" s="55"/>
    </row>
    <row r="739" spans="1:15">
      <c r="A739" s="39" t="s">
        <v>1032</v>
      </c>
      <c r="B739" s="46" t="s">
        <v>266</v>
      </c>
      <c r="C739" s="39" t="s">
        <v>1031</v>
      </c>
      <c r="D739" s="72">
        <v>827277063</v>
      </c>
      <c r="E739" s="73">
        <v>2528873234</v>
      </c>
      <c r="F739" s="39" t="s">
        <v>252</v>
      </c>
      <c r="G739" s="49">
        <v>41544</v>
      </c>
      <c r="H739" s="50" t="str">
        <f t="shared" si="22"/>
        <v>Sep</v>
      </c>
      <c r="I739" s="51">
        <f t="shared" ca="1" si="23"/>
        <v>3</v>
      </c>
      <c r="J739" s="52"/>
      <c r="K739" s="53">
        <v>22850</v>
      </c>
      <c r="L739" s="54">
        <v>1</v>
      </c>
      <c r="M739" s="55"/>
      <c r="O739" s="75"/>
    </row>
    <row r="740" spans="1:15">
      <c r="A740" s="39" t="s">
        <v>1033</v>
      </c>
      <c r="B740" s="46" t="s">
        <v>266</v>
      </c>
      <c r="C740" s="39" t="s">
        <v>1031</v>
      </c>
      <c r="D740" s="72">
        <v>495372474</v>
      </c>
      <c r="E740" s="73">
        <v>9194137278</v>
      </c>
      <c r="F740" s="39" t="s">
        <v>261</v>
      </c>
      <c r="G740" s="49">
        <v>37558</v>
      </c>
      <c r="H740" s="50" t="str">
        <f t="shared" si="22"/>
        <v>Oct</v>
      </c>
      <c r="I740" s="51">
        <f t="shared" ca="1" si="23"/>
        <v>14</v>
      </c>
      <c r="J740" s="52" t="s">
        <v>257</v>
      </c>
      <c r="K740" s="53">
        <v>37500</v>
      </c>
      <c r="L740" s="54">
        <v>2</v>
      </c>
      <c r="M740" s="55"/>
    </row>
    <row r="741" spans="1:15">
      <c r="A741" s="39" t="s">
        <v>1034</v>
      </c>
      <c r="B741" s="46" t="s">
        <v>285</v>
      </c>
      <c r="C741" s="39" t="s">
        <v>1031</v>
      </c>
      <c r="D741" s="72">
        <v>183135788</v>
      </c>
      <c r="E741" s="73">
        <v>2521198851</v>
      </c>
      <c r="F741" s="39" t="s">
        <v>247</v>
      </c>
      <c r="G741" s="49">
        <v>35004</v>
      </c>
      <c r="H741" s="50" t="str">
        <f t="shared" si="22"/>
        <v>Nov</v>
      </c>
      <c r="I741" s="51">
        <f t="shared" ca="1" si="23"/>
        <v>21</v>
      </c>
      <c r="J741" s="52"/>
      <c r="K741" s="53">
        <v>72910</v>
      </c>
      <c r="L741" s="54">
        <v>2</v>
      </c>
      <c r="M741" s="55"/>
      <c r="O741" s="75"/>
    </row>
    <row r="742" spans="1:15">
      <c r="A742" s="39" t="s">
        <v>1035</v>
      </c>
      <c r="B742" s="46" t="s">
        <v>251</v>
      </c>
      <c r="C742" s="39" t="s">
        <v>1031</v>
      </c>
      <c r="D742" s="72">
        <v>383616821</v>
      </c>
      <c r="E742" s="73">
        <v>2524989537</v>
      </c>
      <c r="F742" s="39" t="s">
        <v>256</v>
      </c>
      <c r="G742" s="49">
        <v>41385</v>
      </c>
      <c r="H742" s="50" t="str">
        <f t="shared" si="22"/>
        <v>Apr</v>
      </c>
      <c r="I742" s="51">
        <f t="shared" ca="1" si="23"/>
        <v>3</v>
      </c>
      <c r="J742" s="52" t="s">
        <v>257</v>
      </c>
      <c r="K742" s="53">
        <v>56020</v>
      </c>
      <c r="L742" s="54">
        <v>1</v>
      </c>
      <c r="M742" s="55"/>
    </row>
  </sheetData>
  <dataConsolidate/>
  <dataValidations count="1">
    <dataValidation type="whole" allowBlank="1" showInputMessage="1" showErrorMessage="1" sqref="K1:K1048576">
      <formula1>40000</formula1>
      <formula2>60000</formula2>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I785"/>
  <sheetViews>
    <sheetView zoomScale="145" zoomScaleNormal="145" workbookViewId="0">
      <selection activeCell="B35" sqref="B35"/>
    </sheetView>
  </sheetViews>
  <sheetFormatPr defaultRowHeight="12.75"/>
  <cols>
    <col min="1" max="1" width="3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c r="A1" s="85" t="s">
        <v>229</v>
      </c>
      <c r="B1" s="86" t="s">
        <v>230</v>
      </c>
      <c r="C1" s="87" t="s">
        <v>231</v>
      </c>
      <c r="D1" s="87" t="s">
        <v>234</v>
      </c>
      <c r="E1" s="88" t="s">
        <v>235</v>
      </c>
      <c r="F1" s="88" t="s">
        <v>237</v>
      </c>
      <c r="G1" s="87" t="s">
        <v>238</v>
      </c>
      <c r="H1" s="89" t="s">
        <v>239</v>
      </c>
      <c r="I1" s="86" t="s">
        <v>240</v>
      </c>
    </row>
    <row r="2" spans="1:9" ht="13.5">
      <c r="A2" s="91" t="s">
        <v>766</v>
      </c>
      <c r="B2" s="92" t="s">
        <v>245</v>
      </c>
      <c r="C2" s="91" t="s">
        <v>246</v>
      </c>
      <c r="D2" s="91" t="s">
        <v>256</v>
      </c>
      <c r="E2" s="93">
        <v>34861</v>
      </c>
      <c r="F2" s="94">
        <f t="shared" ref="F2:F7" ca="1" si="0">DATEDIF(E2,TODAY(),"Y")</f>
        <v>21</v>
      </c>
      <c r="G2" s="95" t="s">
        <v>257</v>
      </c>
      <c r="H2" s="96">
        <v>24550</v>
      </c>
      <c r="I2" s="97">
        <v>1</v>
      </c>
    </row>
    <row r="3" spans="1:9" ht="13.5">
      <c r="A3" s="91" t="s">
        <v>1024</v>
      </c>
      <c r="B3" s="92" t="s">
        <v>245</v>
      </c>
      <c r="C3" s="91" t="s">
        <v>246</v>
      </c>
      <c r="D3" s="91" t="s">
        <v>247</v>
      </c>
      <c r="E3" s="93">
        <v>37107</v>
      </c>
      <c r="F3" s="94">
        <f t="shared" ca="1" si="0"/>
        <v>15</v>
      </c>
      <c r="G3" s="95"/>
      <c r="H3" s="96">
        <v>42540</v>
      </c>
      <c r="I3" s="97">
        <v>5</v>
      </c>
    </row>
    <row r="4" spans="1:9" ht="13.5">
      <c r="A4" s="91" t="s">
        <v>627</v>
      </c>
      <c r="B4" s="92" t="s">
        <v>266</v>
      </c>
      <c r="C4" s="91" t="s">
        <v>246</v>
      </c>
      <c r="D4" s="91" t="s">
        <v>256</v>
      </c>
      <c r="E4" s="93">
        <v>38137</v>
      </c>
      <c r="F4" s="94">
        <f t="shared" ca="1" si="0"/>
        <v>12</v>
      </c>
      <c r="G4" s="95" t="s">
        <v>267</v>
      </c>
      <c r="H4" s="96">
        <v>72830</v>
      </c>
      <c r="I4" s="97">
        <v>2</v>
      </c>
    </row>
    <row r="5" spans="1:9" ht="13.5">
      <c r="A5" s="91" t="s">
        <v>627</v>
      </c>
      <c r="B5" s="92" t="s">
        <v>266</v>
      </c>
      <c r="C5" s="91" t="s">
        <v>246</v>
      </c>
      <c r="D5" s="91" t="s">
        <v>256</v>
      </c>
      <c r="E5" s="93">
        <v>38137</v>
      </c>
      <c r="F5" s="94">
        <f t="shared" ca="1" si="0"/>
        <v>12</v>
      </c>
      <c r="G5" s="95" t="s">
        <v>267</v>
      </c>
      <c r="H5" s="96">
        <v>72830</v>
      </c>
      <c r="I5" s="97">
        <v>2</v>
      </c>
    </row>
    <row r="6" spans="1:9" ht="13.5">
      <c r="A6" s="91" t="s">
        <v>619</v>
      </c>
      <c r="B6" s="92" t="s">
        <v>245</v>
      </c>
      <c r="C6" s="91" t="s">
        <v>246</v>
      </c>
      <c r="D6" s="91" t="s">
        <v>261</v>
      </c>
      <c r="E6" s="93">
        <v>31980</v>
      </c>
      <c r="F6" s="94">
        <f t="shared" ca="1" si="0"/>
        <v>29</v>
      </c>
      <c r="G6" s="95" t="s">
        <v>262</v>
      </c>
      <c r="H6" s="96">
        <v>26795</v>
      </c>
      <c r="I6" s="97">
        <v>4</v>
      </c>
    </row>
    <row r="7" spans="1:9" ht="13.5">
      <c r="A7" s="91" t="s">
        <v>430</v>
      </c>
      <c r="B7" s="92" t="s">
        <v>251</v>
      </c>
      <c r="C7" s="91" t="s">
        <v>246</v>
      </c>
      <c r="D7" s="91" t="s">
        <v>252</v>
      </c>
      <c r="E7" s="93">
        <v>32536</v>
      </c>
      <c r="F7" s="94">
        <f t="shared" ca="1" si="0"/>
        <v>27</v>
      </c>
      <c r="G7" s="95"/>
      <c r="H7" s="96">
        <v>35680</v>
      </c>
      <c r="I7" s="97">
        <v>2</v>
      </c>
    </row>
    <row r="8" spans="1:9" ht="13.5">
      <c r="A8" s="98" t="s">
        <v>1036</v>
      </c>
      <c r="B8" s="92"/>
      <c r="C8" s="98"/>
      <c r="D8" s="91"/>
      <c r="E8" s="93"/>
      <c r="F8" s="94"/>
      <c r="G8" s="95"/>
      <c r="H8" s="96"/>
      <c r="I8" s="97"/>
    </row>
    <row r="9" spans="1:9" ht="13.5">
      <c r="A9" s="91" t="s">
        <v>272</v>
      </c>
      <c r="B9" s="92" t="s">
        <v>271</v>
      </c>
      <c r="C9" s="91" t="s">
        <v>272</v>
      </c>
      <c r="D9" s="91" t="s">
        <v>261</v>
      </c>
      <c r="E9" s="93">
        <v>32164</v>
      </c>
      <c r="F9" s="94">
        <f t="shared" ref="F9:F25" ca="1" si="1">DATEDIF(E9,TODAY(),"Y")</f>
        <v>28</v>
      </c>
      <c r="G9" s="95" t="s">
        <v>262</v>
      </c>
      <c r="H9" s="96">
        <v>30445</v>
      </c>
      <c r="I9" s="97">
        <v>1</v>
      </c>
    </row>
    <row r="10" spans="1:9" ht="13.5">
      <c r="A10" s="91" t="s">
        <v>272</v>
      </c>
      <c r="B10" s="92" t="s">
        <v>280</v>
      </c>
      <c r="C10" s="91" t="s">
        <v>272</v>
      </c>
      <c r="D10" s="91" t="s">
        <v>252</v>
      </c>
      <c r="E10" s="93">
        <v>32172</v>
      </c>
      <c r="F10" s="94">
        <f t="shared" ca="1" si="1"/>
        <v>28</v>
      </c>
      <c r="G10" s="95" t="s">
        <v>257</v>
      </c>
      <c r="H10" s="96">
        <v>29070</v>
      </c>
      <c r="I10" s="97">
        <v>3</v>
      </c>
    </row>
    <row r="11" spans="1:9" ht="13.5">
      <c r="A11" s="91" t="s">
        <v>272</v>
      </c>
      <c r="B11" s="92" t="s">
        <v>285</v>
      </c>
      <c r="C11" s="91" t="s">
        <v>272</v>
      </c>
      <c r="D11" s="91" t="s">
        <v>256</v>
      </c>
      <c r="E11" s="93">
        <v>32521</v>
      </c>
      <c r="F11" s="94">
        <f t="shared" ca="1" si="1"/>
        <v>27</v>
      </c>
      <c r="G11" s="95" t="s">
        <v>257</v>
      </c>
      <c r="H11" s="96">
        <v>79760</v>
      </c>
      <c r="I11" s="97">
        <v>5</v>
      </c>
    </row>
    <row r="12" spans="1:9" ht="13.5">
      <c r="A12" s="91" t="s">
        <v>272</v>
      </c>
      <c r="B12" s="92" t="s">
        <v>271</v>
      </c>
      <c r="C12" s="91" t="s">
        <v>272</v>
      </c>
      <c r="D12" s="91" t="s">
        <v>247</v>
      </c>
      <c r="E12" s="93">
        <v>32766</v>
      </c>
      <c r="F12" s="94">
        <f t="shared" ca="1" si="1"/>
        <v>27</v>
      </c>
      <c r="G12" s="95"/>
      <c r="H12" s="96">
        <v>66580</v>
      </c>
      <c r="I12" s="97">
        <v>5</v>
      </c>
    </row>
    <row r="13" spans="1:9" ht="13.5">
      <c r="A13" s="91" t="s">
        <v>272</v>
      </c>
      <c r="B13" s="92" t="s">
        <v>285</v>
      </c>
      <c r="C13" s="91" t="s">
        <v>272</v>
      </c>
      <c r="D13" s="91" t="s">
        <v>256</v>
      </c>
      <c r="E13" s="93">
        <v>34154</v>
      </c>
      <c r="F13" s="94">
        <f t="shared" ca="1" si="1"/>
        <v>23</v>
      </c>
      <c r="G13" s="95" t="s">
        <v>257</v>
      </c>
      <c r="H13" s="96">
        <v>60830</v>
      </c>
      <c r="I13" s="97">
        <v>1</v>
      </c>
    </row>
    <row r="14" spans="1:9" ht="13.5">
      <c r="A14" s="91" t="s">
        <v>272</v>
      </c>
      <c r="B14" s="92" t="s">
        <v>280</v>
      </c>
      <c r="C14" s="91" t="s">
        <v>272</v>
      </c>
      <c r="D14" s="91" t="s">
        <v>256</v>
      </c>
      <c r="E14" s="93">
        <v>34432</v>
      </c>
      <c r="F14" s="94">
        <f t="shared" ca="1" si="1"/>
        <v>22</v>
      </c>
      <c r="G14" s="95" t="s">
        <v>283</v>
      </c>
      <c r="H14" s="96">
        <v>85300</v>
      </c>
      <c r="I14" s="97">
        <v>2</v>
      </c>
    </row>
    <row r="15" spans="1:9" ht="13.5">
      <c r="A15" s="91" t="s">
        <v>272</v>
      </c>
      <c r="B15" s="92" t="s">
        <v>251</v>
      </c>
      <c r="C15" s="91" t="s">
        <v>272</v>
      </c>
      <c r="D15" s="91" t="s">
        <v>256</v>
      </c>
      <c r="E15" s="93">
        <v>34833</v>
      </c>
      <c r="F15" s="94">
        <f t="shared" ca="1" si="1"/>
        <v>21</v>
      </c>
      <c r="G15" s="95" t="s">
        <v>283</v>
      </c>
      <c r="H15" s="96">
        <v>72090</v>
      </c>
      <c r="I15" s="97">
        <v>5</v>
      </c>
    </row>
    <row r="16" spans="1:9" ht="13.5">
      <c r="A16" s="91" t="s">
        <v>272</v>
      </c>
      <c r="B16" s="92" t="s">
        <v>251</v>
      </c>
      <c r="C16" s="91" t="s">
        <v>272</v>
      </c>
      <c r="D16" s="91" t="s">
        <v>261</v>
      </c>
      <c r="E16" s="93">
        <v>34907</v>
      </c>
      <c r="F16" s="94">
        <f t="shared" ca="1" si="1"/>
        <v>21</v>
      </c>
      <c r="G16" s="95" t="s">
        <v>257</v>
      </c>
      <c r="H16" s="96">
        <v>15240</v>
      </c>
      <c r="I16" s="97">
        <v>1</v>
      </c>
    </row>
    <row r="17" spans="1:9" ht="13.5">
      <c r="A17" s="91" t="s">
        <v>272</v>
      </c>
      <c r="B17" s="92" t="s">
        <v>285</v>
      </c>
      <c r="C17" s="91" t="s">
        <v>272</v>
      </c>
      <c r="D17" s="91" t="s">
        <v>256</v>
      </c>
      <c r="E17" s="93">
        <v>34950</v>
      </c>
      <c r="F17" s="94">
        <f t="shared" ca="1" si="1"/>
        <v>21</v>
      </c>
      <c r="G17" s="95" t="s">
        <v>257</v>
      </c>
      <c r="H17" s="96">
        <v>75150</v>
      </c>
      <c r="I17" s="97">
        <v>1</v>
      </c>
    </row>
    <row r="18" spans="1:9" ht="13.5">
      <c r="A18" s="91" t="s">
        <v>272</v>
      </c>
      <c r="B18" s="92" t="s">
        <v>266</v>
      </c>
      <c r="C18" s="91" t="s">
        <v>272</v>
      </c>
      <c r="D18" s="91" t="s">
        <v>256</v>
      </c>
      <c r="E18" s="93">
        <v>35454</v>
      </c>
      <c r="F18" s="94">
        <f t="shared" ca="1" si="1"/>
        <v>19</v>
      </c>
      <c r="G18" s="95" t="s">
        <v>276</v>
      </c>
      <c r="H18" s="96">
        <v>74840</v>
      </c>
      <c r="I18" s="97">
        <v>4</v>
      </c>
    </row>
    <row r="19" spans="1:9" ht="13.5">
      <c r="A19" s="91" t="s">
        <v>272</v>
      </c>
      <c r="B19" s="92" t="s">
        <v>245</v>
      </c>
      <c r="C19" s="91" t="s">
        <v>272</v>
      </c>
      <c r="D19" s="91" t="s">
        <v>247</v>
      </c>
      <c r="E19" s="93">
        <v>35467</v>
      </c>
      <c r="F19" s="94">
        <f t="shared" ca="1" si="1"/>
        <v>19</v>
      </c>
      <c r="G19" s="95"/>
      <c r="H19" s="96">
        <v>76690</v>
      </c>
      <c r="I19" s="97">
        <v>3</v>
      </c>
    </row>
    <row r="20" spans="1:9" ht="13.5">
      <c r="A20" s="91" t="s">
        <v>272</v>
      </c>
      <c r="B20" s="92" t="s">
        <v>251</v>
      </c>
      <c r="C20" s="91" t="s">
        <v>272</v>
      </c>
      <c r="D20" s="91" t="s">
        <v>256</v>
      </c>
      <c r="E20" s="93">
        <v>36094</v>
      </c>
      <c r="F20" s="94">
        <f t="shared" ca="1" si="1"/>
        <v>18</v>
      </c>
      <c r="G20" s="95" t="s">
        <v>257</v>
      </c>
      <c r="H20" s="96">
        <v>30780</v>
      </c>
      <c r="I20" s="97">
        <v>4</v>
      </c>
    </row>
    <row r="21" spans="1:9" ht="13.5">
      <c r="A21" s="91" t="s">
        <v>272</v>
      </c>
      <c r="B21" s="92" t="s">
        <v>271</v>
      </c>
      <c r="C21" s="91" t="s">
        <v>272</v>
      </c>
      <c r="D21" s="91" t="s">
        <v>261</v>
      </c>
      <c r="E21" s="93">
        <v>36472</v>
      </c>
      <c r="F21" s="94">
        <f t="shared" ca="1" si="1"/>
        <v>17</v>
      </c>
      <c r="G21" s="95" t="s">
        <v>276</v>
      </c>
      <c r="H21" s="96">
        <v>17735</v>
      </c>
      <c r="I21" s="97">
        <v>3</v>
      </c>
    </row>
    <row r="22" spans="1:9" ht="13.5">
      <c r="A22" s="91" t="s">
        <v>272</v>
      </c>
      <c r="B22" s="92" t="s">
        <v>271</v>
      </c>
      <c r="C22" s="91" t="s">
        <v>272</v>
      </c>
      <c r="D22" s="91" t="s">
        <v>256</v>
      </c>
      <c r="E22" s="93">
        <v>36832</v>
      </c>
      <c r="F22" s="94">
        <f t="shared" ca="1" si="1"/>
        <v>16</v>
      </c>
      <c r="G22" s="95" t="s">
        <v>257</v>
      </c>
      <c r="H22" s="96">
        <v>49350</v>
      </c>
      <c r="I22" s="97">
        <v>4</v>
      </c>
    </row>
    <row r="23" spans="1:9" ht="13.5">
      <c r="A23" s="91" t="s">
        <v>272</v>
      </c>
      <c r="B23" s="92" t="s">
        <v>266</v>
      </c>
      <c r="C23" s="91" t="s">
        <v>272</v>
      </c>
      <c r="D23" s="91" t="s">
        <v>256</v>
      </c>
      <c r="E23" s="93">
        <v>37759</v>
      </c>
      <c r="F23" s="94">
        <f t="shared" ca="1" si="1"/>
        <v>13</v>
      </c>
      <c r="G23" s="95" t="s">
        <v>267</v>
      </c>
      <c r="H23" s="96">
        <v>37670</v>
      </c>
      <c r="I23" s="97">
        <v>3</v>
      </c>
    </row>
    <row r="24" spans="1:9" ht="13.5">
      <c r="A24" s="91" t="s">
        <v>272</v>
      </c>
      <c r="B24" s="92" t="s">
        <v>245</v>
      </c>
      <c r="C24" s="91" t="s">
        <v>272</v>
      </c>
      <c r="D24" s="91" t="s">
        <v>256</v>
      </c>
      <c r="E24" s="93">
        <v>38394</v>
      </c>
      <c r="F24" s="94">
        <f t="shared" ca="1" si="1"/>
        <v>11</v>
      </c>
      <c r="G24" s="95" t="s">
        <v>276</v>
      </c>
      <c r="H24" s="96">
        <v>58290</v>
      </c>
      <c r="I24" s="97">
        <v>5</v>
      </c>
    </row>
    <row r="25" spans="1:9" ht="13.5">
      <c r="A25" s="91" t="s">
        <v>272</v>
      </c>
      <c r="B25" s="92" t="s">
        <v>245</v>
      </c>
      <c r="C25" s="91" t="s">
        <v>272</v>
      </c>
      <c r="D25" s="91" t="s">
        <v>252</v>
      </c>
      <c r="E25" s="93">
        <v>38816</v>
      </c>
      <c r="F25" s="94">
        <f t="shared" ca="1" si="1"/>
        <v>10</v>
      </c>
      <c r="G25" s="95"/>
      <c r="H25" s="96">
        <v>10636</v>
      </c>
      <c r="I25" s="97">
        <v>4</v>
      </c>
    </row>
    <row r="26" spans="1:9" ht="13.5">
      <c r="A26" s="98" t="s">
        <v>1037</v>
      </c>
      <c r="B26" s="92"/>
      <c r="C26" s="98"/>
      <c r="D26" s="91"/>
      <c r="E26" s="93"/>
      <c r="F26" s="94"/>
      <c r="G26" s="95"/>
      <c r="H26" s="96"/>
      <c r="I26" s="97"/>
    </row>
    <row r="27" spans="1:9" ht="13.5">
      <c r="A27" s="91" t="s">
        <v>296</v>
      </c>
      <c r="B27" s="92" t="s">
        <v>245</v>
      </c>
      <c r="C27" s="91" t="s">
        <v>296</v>
      </c>
      <c r="D27" s="91" t="s">
        <v>256</v>
      </c>
      <c r="E27" s="93">
        <v>32241</v>
      </c>
      <c r="F27" s="94">
        <f t="shared" ref="F27:F36" ca="1" si="2">DATEDIF(E27,TODAY(),"Y")</f>
        <v>28</v>
      </c>
      <c r="G27" s="95" t="s">
        <v>262</v>
      </c>
      <c r="H27" s="96">
        <v>41350</v>
      </c>
      <c r="I27" s="97">
        <v>2</v>
      </c>
    </row>
    <row r="28" spans="1:9" ht="13.5">
      <c r="A28" s="91" t="s">
        <v>296</v>
      </c>
      <c r="B28" s="92" t="s">
        <v>285</v>
      </c>
      <c r="C28" s="91" t="s">
        <v>296</v>
      </c>
      <c r="D28" s="91" t="s">
        <v>256</v>
      </c>
      <c r="E28" s="93">
        <v>32991</v>
      </c>
      <c r="F28" s="94">
        <f t="shared" ca="1" si="2"/>
        <v>26</v>
      </c>
      <c r="G28" s="95" t="s">
        <v>257</v>
      </c>
      <c r="H28" s="96">
        <v>73440</v>
      </c>
      <c r="I28" s="97">
        <v>1</v>
      </c>
    </row>
    <row r="29" spans="1:9" ht="13.5">
      <c r="A29" s="91" t="s">
        <v>296</v>
      </c>
      <c r="B29" s="92" t="s">
        <v>271</v>
      </c>
      <c r="C29" s="91" t="s">
        <v>296</v>
      </c>
      <c r="D29" s="91" t="s">
        <v>256</v>
      </c>
      <c r="E29" s="93">
        <v>34149</v>
      </c>
      <c r="F29" s="94">
        <f t="shared" ca="1" si="2"/>
        <v>23</v>
      </c>
      <c r="G29" s="95" t="s">
        <v>283</v>
      </c>
      <c r="H29" s="96">
        <v>49360</v>
      </c>
      <c r="I29" s="97">
        <v>2</v>
      </c>
    </row>
    <row r="30" spans="1:9" ht="13.5">
      <c r="A30" s="91" t="s">
        <v>296</v>
      </c>
      <c r="B30" s="92" t="s">
        <v>245</v>
      </c>
      <c r="C30" s="91" t="s">
        <v>296</v>
      </c>
      <c r="D30" s="91" t="s">
        <v>261</v>
      </c>
      <c r="E30" s="93">
        <v>34254</v>
      </c>
      <c r="F30" s="94">
        <f t="shared" ca="1" si="2"/>
        <v>23</v>
      </c>
      <c r="G30" s="95" t="s">
        <v>257</v>
      </c>
      <c r="H30" s="96">
        <v>11025</v>
      </c>
      <c r="I30" s="97">
        <v>1</v>
      </c>
    </row>
    <row r="31" spans="1:9" ht="13.5">
      <c r="A31" s="91" t="s">
        <v>296</v>
      </c>
      <c r="B31" s="92" t="s">
        <v>271</v>
      </c>
      <c r="C31" s="91" t="s">
        <v>296</v>
      </c>
      <c r="D31" s="91" t="s">
        <v>252</v>
      </c>
      <c r="E31" s="93">
        <v>34364</v>
      </c>
      <c r="F31" s="94">
        <f t="shared" ca="1" si="2"/>
        <v>22</v>
      </c>
      <c r="G31" s="95"/>
      <c r="H31" s="96">
        <v>20028</v>
      </c>
      <c r="I31" s="97">
        <v>4</v>
      </c>
    </row>
    <row r="32" spans="1:9" ht="13.5">
      <c r="A32" s="91" t="s">
        <v>296</v>
      </c>
      <c r="B32" s="92" t="s">
        <v>285</v>
      </c>
      <c r="C32" s="91" t="s">
        <v>296</v>
      </c>
      <c r="D32" s="91" t="s">
        <v>256</v>
      </c>
      <c r="E32" s="93">
        <v>34904</v>
      </c>
      <c r="F32" s="94">
        <f t="shared" ca="1" si="2"/>
        <v>21</v>
      </c>
      <c r="G32" s="95" t="s">
        <v>276</v>
      </c>
      <c r="H32" s="96">
        <v>47850</v>
      </c>
      <c r="I32" s="97">
        <v>1</v>
      </c>
    </row>
    <row r="33" spans="1:9" ht="13.5">
      <c r="A33" s="91" t="s">
        <v>296</v>
      </c>
      <c r="B33" s="92" t="s">
        <v>245</v>
      </c>
      <c r="C33" s="91" t="s">
        <v>296</v>
      </c>
      <c r="D33" s="91" t="s">
        <v>256</v>
      </c>
      <c r="E33" s="93">
        <v>35309</v>
      </c>
      <c r="F33" s="94">
        <f t="shared" ca="1" si="2"/>
        <v>20</v>
      </c>
      <c r="G33" s="95" t="s">
        <v>267</v>
      </c>
      <c r="H33" s="96">
        <v>56440</v>
      </c>
      <c r="I33" s="97">
        <v>1</v>
      </c>
    </row>
    <row r="34" spans="1:9" ht="13.5">
      <c r="A34" s="91" t="s">
        <v>296</v>
      </c>
      <c r="B34" s="92" t="s">
        <v>245</v>
      </c>
      <c r="C34" s="91" t="s">
        <v>296</v>
      </c>
      <c r="D34" s="91" t="s">
        <v>256</v>
      </c>
      <c r="E34" s="93">
        <v>35583</v>
      </c>
      <c r="F34" s="94">
        <f t="shared" ca="1" si="2"/>
        <v>19</v>
      </c>
      <c r="G34" s="95" t="s">
        <v>283</v>
      </c>
      <c r="H34" s="96">
        <v>33640</v>
      </c>
      <c r="I34" s="97">
        <v>3</v>
      </c>
    </row>
    <row r="35" spans="1:9" ht="13.5">
      <c r="A35" s="91" t="s">
        <v>296</v>
      </c>
      <c r="B35" s="92" t="s">
        <v>251</v>
      </c>
      <c r="C35" s="91" t="s">
        <v>296</v>
      </c>
      <c r="D35" s="91" t="s">
        <v>256</v>
      </c>
      <c r="E35" s="93">
        <v>36741</v>
      </c>
      <c r="F35" s="94">
        <f t="shared" ca="1" si="2"/>
        <v>16</v>
      </c>
      <c r="G35" s="95" t="s">
        <v>257</v>
      </c>
      <c r="H35" s="96">
        <v>30350</v>
      </c>
      <c r="I35" s="97">
        <v>1</v>
      </c>
    </row>
    <row r="36" spans="1:9" ht="13.5">
      <c r="A36" s="91" t="s">
        <v>296</v>
      </c>
      <c r="B36" s="92" t="s">
        <v>245</v>
      </c>
      <c r="C36" s="91" t="s">
        <v>296</v>
      </c>
      <c r="D36" s="91" t="s">
        <v>256</v>
      </c>
      <c r="E36" s="93">
        <v>38796</v>
      </c>
      <c r="F36" s="94">
        <f t="shared" ca="1" si="2"/>
        <v>10</v>
      </c>
      <c r="G36" s="95" t="s">
        <v>262</v>
      </c>
      <c r="H36" s="96">
        <v>51180</v>
      </c>
      <c r="I36" s="97">
        <v>3</v>
      </c>
    </row>
    <row r="37" spans="1:9" ht="13.5">
      <c r="A37" s="98" t="s">
        <v>1038</v>
      </c>
      <c r="B37" s="92"/>
      <c r="C37" s="98"/>
      <c r="D37" s="91"/>
      <c r="E37" s="93"/>
      <c r="F37" s="94"/>
      <c r="G37" s="95"/>
      <c r="H37" s="96"/>
      <c r="I37" s="97"/>
    </row>
    <row r="38" spans="1:9" ht="13.5">
      <c r="A38" s="91" t="s">
        <v>307</v>
      </c>
      <c r="B38" s="92" t="s">
        <v>285</v>
      </c>
      <c r="C38" s="91" t="s">
        <v>307</v>
      </c>
      <c r="D38" s="91" t="s">
        <v>256</v>
      </c>
      <c r="E38" s="93">
        <v>32403</v>
      </c>
      <c r="F38" s="94">
        <f ca="1">DATEDIF(E38,TODAY(),"Y")</f>
        <v>28</v>
      </c>
      <c r="G38" s="95" t="s">
        <v>257</v>
      </c>
      <c r="H38" s="96">
        <v>46220</v>
      </c>
      <c r="I38" s="97">
        <v>3</v>
      </c>
    </row>
    <row r="39" spans="1:9" ht="13.5">
      <c r="A39" s="91" t="s">
        <v>307</v>
      </c>
      <c r="B39" s="92" t="s">
        <v>280</v>
      </c>
      <c r="C39" s="91" t="s">
        <v>307</v>
      </c>
      <c r="D39" s="91" t="s">
        <v>247</v>
      </c>
      <c r="E39" s="93">
        <v>34085</v>
      </c>
      <c r="F39" s="94">
        <f ca="1">DATEDIF(E39,TODAY(),"Y")</f>
        <v>23</v>
      </c>
      <c r="G39" s="95"/>
      <c r="H39" s="96">
        <v>58130</v>
      </c>
      <c r="I39" s="97">
        <v>2</v>
      </c>
    </row>
    <row r="40" spans="1:9" ht="13.5">
      <c r="A40" s="91" t="s">
        <v>307</v>
      </c>
      <c r="B40" s="92" t="s">
        <v>285</v>
      </c>
      <c r="C40" s="91" t="s">
        <v>307</v>
      </c>
      <c r="D40" s="91" t="s">
        <v>261</v>
      </c>
      <c r="E40" s="93">
        <v>38107</v>
      </c>
      <c r="F40" s="94">
        <f ca="1">DATEDIF(E40,TODAY(),"Y")</f>
        <v>12</v>
      </c>
      <c r="G40" s="95" t="s">
        <v>267</v>
      </c>
      <c r="H40" s="96">
        <v>46095</v>
      </c>
      <c r="I40" s="97">
        <v>3</v>
      </c>
    </row>
    <row r="41" spans="1:9" ht="13.5">
      <c r="A41" s="91" t="s">
        <v>307</v>
      </c>
      <c r="B41" s="92" t="s">
        <v>271</v>
      </c>
      <c r="C41" s="91" t="s">
        <v>307</v>
      </c>
      <c r="D41" s="91" t="s">
        <v>261</v>
      </c>
      <c r="E41" s="93">
        <v>38842</v>
      </c>
      <c r="F41" s="94">
        <f ca="1">DATEDIF(E41,TODAY(),"Y")</f>
        <v>10</v>
      </c>
      <c r="G41" s="95" t="s">
        <v>283</v>
      </c>
      <c r="H41" s="96">
        <v>28680</v>
      </c>
      <c r="I41" s="97">
        <v>1</v>
      </c>
    </row>
    <row r="42" spans="1:9" ht="13.5">
      <c r="A42" s="98" t="s">
        <v>1039</v>
      </c>
      <c r="B42" s="92"/>
      <c r="C42" s="98"/>
      <c r="D42" s="91"/>
      <c r="E42" s="93"/>
      <c r="F42" s="94"/>
      <c r="G42" s="95"/>
      <c r="H42" s="96"/>
      <c r="I42" s="97"/>
    </row>
    <row r="43" spans="1:9" ht="13.5">
      <c r="A43" s="91" t="s">
        <v>312</v>
      </c>
      <c r="B43" s="92" t="s">
        <v>271</v>
      </c>
      <c r="C43" s="91" t="s">
        <v>312</v>
      </c>
      <c r="D43" s="91" t="s">
        <v>247</v>
      </c>
      <c r="E43" s="93">
        <v>31918</v>
      </c>
      <c r="F43" s="94">
        <f t="shared" ref="F43:F102" ca="1" si="3">DATEDIF(E43,TODAY(),"Y")</f>
        <v>29</v>
      </c>
      <c r="G43" s="95"/>
      <c r="H43" s="96">
        <v>42940</v>
      </c>
      <c r="I43" s="97">
        <v>1</v>
      </c>
    </row>
    <row r="44" spans="1:9" ht="13.5">
      <c r="A44" s="91" t="s">
        <v>312</v>
      </c>
      <c r="B44" s="92" t="s">
        <v>245</v>
      </c>
      <c r="C44" s="91" t="s">
        <v>312</v>
      </c>
      <c r="D44" s="91" t="s">
        <v>256</v>
      </c>
      <c r="E44" s="93">
        <v>32038</v>
      </c>
      <c r="F44" s="94">
        <f t="shared" ca="1" si="3"/>
        <v>29</v>
      </c>
      <c r="G44" s="95" t="s">
        <v>276</v>
      </c>
      <c r="H44" s="96">
        <v>49810</v>
      </c>
      <c r="I44" s="97">
        <v>2</v>
      </c>
    </row>
    <row r="45" spans="1:9" ht="13.5">
      <c r="A45" s="91" t="s">
        <v>312</v>
      </c>
      <c r="B45" s="92" t="s">
        <v>285</v>
      </c>
      <c r="C45" s="91" t="s">
        <v>312</v>
      </c>
      <c r="D45" s="91" t="s">
        <v>261</v>
      </c>
      <c r="E45" s="93">
        <v>32162</v>
      </c>
      <c r="F45" s="94">
        <f t="shared" ca="1" si="3"/>
        <v>28</v>
      </c>
      <c r="G45" s="95" t="s">
        <v>262</v>
      </c>
      <c r="H45" s="96">
        <v>13800</v>
      </c>
      <c r="I45" s="97">
        <v>3</v>
      </c>
    </row>
    <row r="46" spans="1:9" ht="13.5">
      <c r="A46" s="91" t="s">
        <v>312</v>
      </c>
      <c r="B46" s="92" t="s">
        <v>271</v>
      </c>
      <c r="C46" s="91" t="s">
        <v>312</v>
      </c>
      <c r="D46" s="91" t="s">
        <v>256</v>
      </c>
      <c r="E46" s="93">
        <v>32217</v>
      </c>
      <c r="F46" s="94">
        <f t="shared" ca="1" si="3"/>
        <v>28</v>
      </c>
      <c r="G46" s="95" t="s">
        <v>283</v>
      </c>
      <c r="H46" s="96">
        <v>85920</v>
      </c>
      <c r="I46" s="97">
        <v>4</v>
      </c>
    </row>
    <row r="47" spans="1:9" ht="13.5">
      <c r="A47" s="91" t="s">
        <v>312</v>
      </c>
      <c r="B47" s="92" t="s">
        <v>271</v>
      </c>
      <c r="C47" s="91" t="s">
        <v>312</v>
      </c>
      <c r="D47" s="91" t="s">
        <v>256</v>
      </c>
      <c r="E47" s="93">
        <v>32265</v>
      </c>
      <c r="F47" s="94">
        <f t="shared" ca="1" si="3"/>
        <v>28</v>
      </c>
      <c r="G47" s="95" t="s">
        <v>262</v>
      </c>
      <c r="H47" s="96">
        <v>61400</v>
      </c>
      <c r="I47" s="97">
        <v>5</v>
      </c>
    </row>
    <row r="48" spans="1:9" ht="13.5">
      <c r="A48" s="91" t="s">
        <v>312</v>
      </c>
      <c r="B48" s="92" t="s">
        <v>285</v>
      </c>
      <c r="C48" s="91" t="s">
        <v>312</v>
      </c>
      <c r="D48" s="91" t="s">
        <v>252</v>
      </c>
      <c r="E48" s="93">
        <v>32310</v>
      </c>
      <c r="F48" s="94">
        <f t="shared" ca="1" si="3"/>
        <v>28</v>
      </c>
      <c r="G48" s="95"/>
      <c r="H48" s="96">
        <v>14568</v>
      </c>
      <c r="I48" s="97">
        <v>3</v>
      </c>
    </row>
    <row r="49" spans="1:9" ht="13.5">
      <c r="A49" s="91" t="s">
        <v>312</v>
      </c>
      <c r="B49" s="92" t="s">
        <v>251</v>
      </c>
      <c r="C49" s="91" t="s">
        <v>312</v>
      </c>
      <c r="D49" s="91" t="s">
        <v>247</v>
      </c>
      <c r="E49" s="93">
        <v>32368</v>
      </c>
      <c r="F49" s="94">
        <f t="shared" ca="1" si="3"/>
        <v>28</v>
      </c>
      <c r="G49" s="95"/>
      <c r="H49" s="96">
        <v>64460</v>
      </c>
      <c r="I49" s="97">
        <v>1</v>
      </c>
    </row>
    <row r="50" spans="1:9" ht="13.5">
      <c r="A50" s="91" t="s">
        <v>312</v>
      </c>
      <c r="B50" s="92" t="s">
        <v>285</v>
      </c>
      <c r="C50" s="91" t="s">
        <v>312</v>
      </c>
      <c r="D50" s="91" t="s">
        <v>256</v>
      </c>
      <c r="E50" s="93">
        <v>32436</v>
      </c>
      <c r="F50" s="94">
        <f t="shared" ca="1" si="3"/>
        <v>28</v>
      </c>
      <c r="G50" s="95" t="s">
        <v>262</v>
      </c>
      <c r="H50" s="96">
        <v>31830</v>
      </c>
      <c r="I50" s="97">
        <v>3</v>
      </c>
    </row>
    <row r="51" spans="1:9" ht="13.5">
      <c r="A51" s="91" t="s">
        <v>312</v>
      </c>
      <c r="B51" s="92" t="s">
        <v>245</v>
      </c>
      <c r="C51" s="91" t="s">
        <v>312</v>
      </c>
      <c r="D51" s="91" t="s">
        <v>256</v>
      </c>
      <c r="E51" s="93">
        <v>32476</v>
      </c>
      <c r="F51" s="94">
        <f t="shared" ca="1" si="3"/>
        <v>27</v>
      </c>
      <c r="G51" s="95" t="s">
        <v>257</v>
      </c>
      <c r="H51" s="96">
        <v>71150</v>
      </c>
      <c r="I51" s="97">
        <v>2</v>
      </c>
    </row>
    <row r="52" spans="1:9" ht="13.5">
      <c r="A52" s="91" t="s">
        <v>312</v>
      </c>
      <c r="B52" s="92" t="s">
        <v>285</v>
      </c>
      <c r="C52" s="91" t="s">
        <v>312</v>
      </c>
      <c r="D52" s="91" t="s">
        <v>256</v>
      </c>
      <c r="E52" s="93">
        <v>32585</v>
      </c>
      <c r="F52" s="94">
        <f t="shared" ca="1" si="3"/>
        <v>27</v>
      </c>
      <c r="G52" s="95" t="s">
        <v>283</v>
      </c>
      <c r="H52" s="96">
        <v>71670</v>
      </c>
      <c r="I52" s="97">
        <v>4</v>
      </c>
    </row>
    <row r="53" spans="1:9" ht="13.5">
      <c r="A53" s="91" t="s">
        <v>312</v>
      </c>
      <c r="B53" s="92" t="s">
        <v>245</v>
      </c>
      <c r="C53" s="91" t="s">
        <v>312</v>
      </c>
      <c r="D53" s="91" t="s">
        <v>247</v>
      </c>
      <c r="E53" s="93">
        <v>32671</v>
      </c>
      <c r="F53" s="94">
        <f t="shared" ca="1" si="3"/>
        <v>27</v>
      </c>
      <c r="G53" s="95"/>
      <c r="H53" s="96">
        <v>83020</v>
      </c>
      <c r="I53" s="97">
        <v>4</v>
      </c>
    </row>
    <row r="54" spans="1:9" ht="13.5">
      <c r="A54" s="91" t="s">
        <v>312</v>
      </c>
      <c r="B54" s="92" t="s">
        <v>271</v>
      </c>
      <c r="C54" s="91" t="s">
        <v>312</v>
      </c>
      <c r="D54" s="91" t="s">
        <v>261</v>
      </c>
      <c r="E54" s="93">
        <v>32856</v>
      </c>
      <c r="F54" s="94">
        <f t="shared" ca="1" si="3"/>
        <v>26</v>
      </c>
      <c r="G54" s="95" t="s">
        <v>257</v>
      </c>
      <c r="H54" s="96">
        <v>26890</v>
      </c>
      <c r="I54" s="97">
        <v>3</v>
      </c>
    </row>
    <row r="55" spans="1:9" ht="13.5">
      <c r="A55" s="91" t="s">
        <v>312</v>
      </c>
      <c r="B55" s="92" t="s">
        <v>285</v>
      </c>
      <c r="C55" s="91" t="s">
        <v>312</v>
      </c>
      <c r="D55" s="91" t="s">
        <v>256</v>
      </c>
      <c r="E55" s="93">
        <v>33164</v>
      </c>
      <c r="F55" s="94">
        <f t="shared" ca="1" si="3"/>
        <v>26</v>
      </c>
      <c r="G55" s="95" t="s">
        <v>262</v>
      </c>
      <c r="H55" s="96">
        <v>74670</v>
      </c>
      <c r="I55" s="97">
        <v>5</v>
      </c>
    </row>
    <row r="56" spans="1:9" ht="13.5">
      <c r="A56" s="91" t="s">
        <v>312</v>
      </c>
      <c r="B56" s="92" t="s">
        <v>285</v>
      </c>
      <c r="C56" s="91" t="s">
        <v>312</v>
      </c>
      <c r="D56" s="91" t="s">
        <v>261</v>
      </c>
      <c r="E56" s="93">
        <v>33238</v>
      </c>
      <c r="F56" s="94">
        <f t="shared" ca="1" si="3"/>
        <v>25</v>
      </c>
      <c r="G56" s="95" t="s">
        <v>276</v>
      </c>
      <c r="H56" s="96">
        <v>38920</v>
      </c>
      <c r="I56" s="97">
        <v>4</v>
      </c>
    </row>
    <row r="57" spans="1:9" ht="13.5">
      <c r="A57" s="91" t="s">
        <v>312</v>
      </c>
      <c r="B57" s="92" t="s">
        <v>285</v>
      </c>
      <c r="C57" s="91" t="s">
        <v>312</v>
      </c>
      <c r="D57" s="91" t="s">
        <v>247</v>
      </c>
      <c r="E57" s="93">
        <v>33341</v>
      </c>
      <c r="F57" s="94">
        <f t="shared" ca="1" si="3"/>
        <v>25</v>
      </c>
      <c r="G57" s="95"/>
      <c r="H57" s="96">
        <v>46670</v>
      </c>
      <c r="I57" s="97">
        <v>3</v>
      </c>
    </row>
    <row r="58" spans="1:9" ht="13.5">
      <c r="A58" s="91" t="s">
        <v>312</v>
      </c>
      <c r="B58" s="92" t="s">
        <v>271</v>
      </c>
      <c r="C58" s="91" t="s">
        <v>312</v>
      </c>
      <c r="D58" s="91" t="s">
        <v>256</v>
      </c>
      <c r="E58" s="93">
        <v>33522</v>
      </c>
      <c r="F58" s="94">
        <f t="shared" ca="1" si="3"/>
        <v>25</v>
      </c>
      <c r="G58" s="95" t="s">
        <v>257</v>
      </c>
      <c r="H58" s="96">
        <v>31910</v>
      </c>
      <c r="I58" s="97">
        <v>5</v>
      </c>
    </row>
    <row r="59" spans="1:9" ht="13.5">
      <c r="A59" s="91" t="s">
        <v>312</v>
      </c>
      <c r="B59" s="92" t="s">
        <v>266</v>
      </c>
      <c r="C59" s="91" t="s">
        <v>312</v>
      </c>
      <c r="D59" s="91" t="s">
        <v>256</v>
      </c>
      <c r="E59" s="93">
        <v>33686</v>
      </c>
      <c r="F59" s="94">
        <f t="shared" ca="1" si="3"/>
        <v>24</v>
      </c>
      <c r="G59" s="95" t="s">
        <v>257</v>
      </c>
      <c r="H59" s="96">
        <v>67890</v>
      </c>
      <c r="I59" s="97">
        <v>5</v>
      </c>
    </row>
    <row r="60" spans="1:9" ht="13.5">
      <c r="A60" s="91" t="s">
        <v>312</v>
      </c>
      <c r="B60" s="92" t="s">
        <v>271</v>
      </c>
      <c r="C60" s="91" t="s">
        <v>312</v>
      </c>
      <c r="D60" s="91" t="s">
        <v>256</v>
      </c>
      <c r="E60" s="93">
        <v>33776</v>
      </c>
      <c r="F60" s="94">
        <f t="shared" ca="1" si="3"/>
        <v>24</v>
      </c>
      <c r="G60" s="95" t="s">
        <v>267</v>
      </c>
      <c r="H60" s="96">
        <v>77350</v>
      </c>
      <c r="I60" s="97">
        <v>5</v>
      </c>
    </row>
    <row r="61" spans="1:9" ht="13.5">
      <c r="A61" s="91" t="s">
        <v>312</v>
      </c>
      <c r="B61" s="92" t="s">
        <v>280</v>
      </c>
      <c r="C61" s="91" t="s">
        <v>312</v>
      </c>
      <c r="D61" s="91" t="s">
        <v>247</v>
      </c>
      <c r="E61" s="93">
        <v>33809</v>
      </c>
      <c r="F61" s="94">
        <f t="shared" ca="1" si="3"/>
        <v>24</v>
      </c>
      <c r="G61" s="95"/>
      <c r="H61" s="96">
        <v>64390</v>
      </c>
      <c r="I61" s="97">
        <v>2</v>
      </c>
    </row>
    <row r="62" spans="1:9" ht="13.5">
      <c r="A62" s="91" t="s">
        <v>312</v>
      </c>
      <c r="B62" s="92" t="s">
        <v>245</v>
      </c>
      <c r="C62" s="91" t="s">
        <v>312</v>
      </c>
      <c r="D62" s="91" t="s">
        <v>247</v>
      </c>
      <c r="E62" s="93">
        <v>33850</v>
      </c>
      <c r="F62" s="94">
        <f t="shared" ca="1" si="3"/>
        <v>24</v>
      </c>
      <c r="G62" s="95"/>
      <c r="H62" s="96">
        <v>50550</v>
      </c>
      <c r="I62" s="97">
        <v>2</v>
      </c>
    </row>
    <row r="63" spans="1:9" ht="13.5">
      <c r="A63" s="91" t="s">
        <v>312</v>
      </c>
      <c r="B63" s="92" t="s">
        <v>251</v>
      </c>
      <c r="C63" s="91" t="s">
        <v>312</v>
      </c>
      <c r="D63" s="91" t="s">
        <v>256</v>
      </c>
      <c r="E63" s="93">
        <v>33887</v>
      </c>
      <c r="F63" s="94">
        <f t="shared" ca="1" si="3"/>
        <v>24</v>
      </c>
      <c r="G63" s="95" t="s">
        <v>276</v>
      </c>
      <c r="H63" s="96">
        <v>82120</v>
      </c>
      <c r="I63" s="97">
        <v>5</v>
      </c>
    </row>
    <row r="64" spans="1:9" ht="13.5">
      <c r="A64" s="91" t="s">
        <v>312</v>
      </c>
      <c r="B64" s="92" t="s">
        <v>285</v>
      </c>
      <c r="C64" s="91" t="s">
        <v>312</v>
      </c>
      <c r="D64" s="91" t="s">
        <v>256</v>
      </c>
      <c r="E64" s="93">
        <v>33897</v>
      </c>
      <c r="F64" s="94">
        <f t="shared" ca="1" si="3"/>
        <v>24</v>
      </c>
      <c r="G64" s="95" t="s">
        <v>267</v>
      </c>
      <c r="H64" s="96">
        <v>77580</v>
      </c>
      <c r="I64" s="97">
        <v>3</v>
      </c>
    </row>
    <row r="65" spans="1:9" ht="13.5">
      <c r="A65" s="91" t="s">
        <v>312</v>
      </c>
      <c r="B65" s="92" t="s">
        <v>285</v>
      </c>
      <c r="C65" s="91" t="s">
        <v>312</v>
      </c>
      <c r="D65" s="91" t="s">
        <v>247</v>
      </c>
      <c r="E65" s="93">
        <v>33945</v>
      </c>
      <c r="F65" s="94">
        <f t="shared" ca="1" si="3"/>
        <v>23</v>
      </c>
      <c r="G65" s="95"/>
      <c r="H65" s="96">
        <v>89310</v>
      </c>
      <c r="I65" s="97">
        <v>5</v>
      </c>
    </row>
    <row r="66" spans="1:9" ht="13.5">
      <c r="A66" s="91" t="s">
        <v>312</v>
      </c>
      <c r="B66" s="92" t="s">
        <v>271</v>
      </c>
      <c r="C66" s="91" t="s">
        <v>312</v>
      </c>
      <c r="D66" s="91" t="s">
        <v>247</v>
      </c>
      <c r="E66" s="93">
        <v>34195</v>
      </c>
      <c r="F66" s="94">
        <f t="shared" ca="1" si="3"/>
        <v>23</v>
      </c>
      <c r="G66" s="95"/>
      <c r="H66" s="96">
        <v>74740</v>
      </c>
      <c r="I66" s="97">
        <v>5</v>
      </c>
    </row>
    <row r="67" spans="1:9" ht="13.5">
      <c r="A67" s="91" t="s">
        <v>312</v>
      </c>
      <c r="B67" s="92" t="s">
        <v>245</v>
      </c>
      <c r="C67" s="91" t="s">
        <v>312</v>
      </c>
      <c r="D67" s="91" t="s">
        <v>261</v>
      </c>
      <c r="E67" s="93">
        <v>34207</v>
      </c>
      <c r="F67" s="94">
        <f t="shared" ca="1" si="3"/>
        <v>23</v>
      </c>
      <c r="G67" s="95" t="s">
        <v>267</v>
      </c>
      <c r="H67" s="96">
        <v>48415</v>
      </c>
      <c r="I67" s="97">
        <v>4</v>
      </c>
    </row>
    <row r="68" spans="1:9" ht="13.5">
      <c r="A68" s="91" t="s">
        <v>312</v>
      </c>
      <c r="B68" s="92" t="s">
        <v>285</v>
      </c>
      <c r="C68" s="91" t="s">
        <v>312</v>
      </c>
      <c r="D68" s="91" t="s">
        <v>247</v>
      </c>
      <c r="E68" s="93">
        <v>34259</v>
      </c>
      <c r="F68" s="94">
        <f t="shared" ca="1" si="3"/>
        <v>23</v>
      </c>
      <c r="G68" s="95"/>
      <c r="H68" s="96">
        <v>84200</v>
      </c>
      <c r="I68" s="97">
        <v>2</v>
      </c>
    </row>
    <row r="69" spans="1:9" ht="13.5">
      <c r="A69" s="91" t="s">
        <v>312</v>
      </c>
      <c r="B69" s="92" t="s">
        <v>245</v>
      </c>
      <c r="C69" s="91" t="s">
        <v>312</v>
      </c>
      <c r="D69" s="91" t="s">
        <v>256</v>
      </c>
      <c r="E69" s="93">
        <v>34357</v>
      </c>
      <c r="F69" s="94">
        <f t="shared" ca="1" si="3"/>
        <v>22</v>
      </c>
      <c r="G69" s="95" t="s">
        <v>257</v>
      </c>
      <c r="H69" s="96">
        <v>40920</v>
      </c>
      <c r="I69" s="97">
        <v>4</v>
      </c>
    </row>
    <row r="70" spans="1:9" ht="13.5">
      <c r="A70" s="91" t="s">
        <v>312</v>
      </c>
      <c r="B70" s="92" t="s">
        <v>285</v>
      </c>
      <c r="C70" s="91" t="s">
        <v>312</v>
      </c>
      <c r="D70" s="91" t="s">
        <v>256</v>
      </c>
      <c r="E70" s="93">
        <v>34519</v>
      </c>
      <c r="F70" s="94">
        <f t="shared" ca="1" si="3"/>
        <v>22</v>
      </c>
      <c r="G70" s="95" t="s">
        <v>257</v>
      </c>
      <c r="H70" s="96">
        <v>61030</v>
      </c>
      <c r="I70" s="97">
        <v>3</v>
      </c>
    </row>
    <row r="71" spans="1:9" ht="13.5">
      <c r="A71" s="91" t="s">
        <v>312</v>
      </c>
      <c r="B71" s="92" t="s">
        <v>271</v>
      </c>
      <c r="C71" s="91" t="s">
        <v>312</v>
      </c>
      <c r="D71" s="91" t="s">
        <v>261</v>
      </c>
      <c r="E71" s="93">
        <v>34532</v>
      </c>
      <c r="F71" s="94">
        <f t="shared" ca="1" si="3"/>
        <v>22</v>
      </c>
      <c r="G71" s="95" t="s">
        <v>276</v>
      </c>
      <c r="H71" s="96">
        <v>23380</v>
      </c>
      <c r="I71" s="97">
        <v>4</v>
      </c>
    </row>
    <row r="72" spans="1:9" ht="13.5">
      <c r="A72" s="91" t="s">
        <v>312</v>
      </c>
      <c r="B72" s="92" t="s">
        <v>271</v>
      </c>
      <c r="C72" s="91" t="s">
        <v>312</v>
      </c>
      <c r="D72" s="91" t="s">
        <v>247</v>
      </c>
      <c r="E72" s="93">
        <v>34538</v>
      </c>
      <c r="F72" s="94">
        <f t="shared" ca="1" si="3"/>
        <v>22</v>
      </c>
      <c r="G72" s="95"/>
      <c r="H72" s="96">
        <v>85480</v>
      </c>
      <c r="I72" s="97">
        <v>5</v>
      </c>
    </row>
    <row r="73" spans="1:9" ht="13.5">
      <c r="A73" s="91" t="s">
        <v>312</v>
      </c>
      <c r="B73" s="92" t="s">
        <v>271</v>
      </c>
      <c r="C73" s="91" t="s">
        <v>312</v>
      </c>
      <c r="D73" s="91" t="s">
        <v>247</v>
      </c>
      <c r="E73" s="93">
        <v>34538</v>
      </c>
      <c r="F73" s="94">
        <f t="shared" ca="1" si="3"/>
        <v>22</v>
      </c>
      <c r="G73" s="95"/>
      <c r="H73" s="96">
        <v>85480</v>
      </c>
      <c r="I73" s="97">
        <v>5</v>
      </c>
    </row>
    <row r="74" spans="1:9" ht="13.5">
      <c r="A74" s="91" t="s">
        <v>312</v>
      </c>
      <c r="B74" s="92" t="s">
        <v>271</v>
      </c>
      <c r="C74" s="91" t="s">
        <v>312</v>
      </c>
      <c r="D74" s="91" t="s">
        <v>247</v>
      </c>
      <c r="E74" s="93">
        <v>34592</v>
      </c>
      <c r="F74" s="94">
        <f t="shared" ca="1" si="3"/>
        <v>22</v>
      </c>
      <c r="G74" s="95"/>
      <c r="H74" s="96">
        <v>63340</v>
      </c>
      <c r="I74" s="97">
        <v>3</v>
      </c>
    </row>
    <row r="75" spans="1:9" ht="13.5">
      <c r="A75" s="91" t="s">
        <v>312</v>
      </c>
      <c r="B75" s="92" t="s">
        <v>266</v>
      </c>
      <c r="C75" s="91" t="s">
        <v>312</v>
      </c>
      <c r="D75" s="91" t="s">
        <v>247</v>
      </c>
      <c r="E75" s="93">
        <v>34630</v>
      </c>
      <c r="F75" s="94">
        <f t="shared" ca="1" si="3"/>
        <v>22</v>
      </c>
      <c r="G75" s="95"/>
      <c r="H75" s="96">
        <v>88000</v>
      </c>
      <c r="I75" s="97">
        <v>5</v>
      </c>
    </row>
    <row r="76" spans="1:9" ht="13.5">
      <c r="A76" s="91" t="s">
        <v>312</v>
      </c>
      <c r="B76" s="92" t="s">
        <v>245</v>
      </c>
      <c r="C76" s="91" t="s">
        <v>312</v>
      </c>
      <c r="D76" s="91" t="s">
        <v>256</v>
      </c>
      <c r="E76" s="93">
        <v>34655</v>
      </c>
      <c r="F76" s="94">
        <f t="shared" ca="1" si="3"/>
        <v>21</v>
      </c>
      <c r="G76" s="95" t="s">
        <v>267</v>
      </c>
      <c r="H76" s="96">
        <v>34780</v>
      </c>
      <c r="I76" s="97">
        <v>4</v>
      </c>
    </row>
    <row r="77" spans="1:9" ht="13.5">
      <c r="A77" s="91" t="s">
        <v>312</v>
      </c>
      <c r="B77" s="92" t="s">
        <v>280</v>
      </c>
      <c r="C77" s="91" t="s">
        <v>312</v>
      </c>
      <c r="D77" s="91" t="s">
        <v>247</v>
      </c>
      <c r="E77" s="93">
        <v>34728</v>
      </c>
      <c r="F77" s="94">
        <f t="shared" ca="1" si="3"/>
        <v>21</v>
      </c>
      <c r="G77" s="95"/>
      <c r="H77" s="96">
        <v>30340</v>
      </c>
      <c r="I77" s="97">
        <v>3</v>
      </c>
    </row>
    <row r="78" spans="1:9" ht="13.5">
      <c r="A78" s="91" t="s">
        <v>312</v>
      </c>
      <c r="B78" s="92" t="s">
        <v>245</v>
      </c>
      <c r="C78" s="91" t="s">
        <v>312</v>
      </c>
      <c r="D78" s="91" t="s">
        <v>252</v>
      </c>
      <c r="E78" s="93">
        <v>34749</v>
      </c>
      <c r="F78" s="94">
        <f t="shared" ca="1" si="3"/>
        <v>21</v>
      </c>
      <c r="G78" s="95"/>
      <c r="H78" s="96">
        <v>18500</v>
      </c>
      <c r="I78" s="97">
        <v>5</v>
      </c>
    </row>
    <row r="79" spans="1:9" ht="13.5">
      <c r="A79" s="91" t="s">
        <v>312</v>
      </c>
      <c r="B79" s="92" t="s">
        <v>245</v>
      </c>
      <c r="C79" s="91" t="s">
        <v>312</v>
      </c>
      <c r="D79" s="91" t="s">
        <v>247</v>
      </c>
      <c r="E79" s="93">
        <v>34777</v>
      </c>
      <c r="F79" s="94">
        <f t="shared" ca="1" si="3"/>
        <v>21</v>
      </c>
      <c r="G79" s="95"/>
      <c r="H79" s="96">
        <v>76930</v>
      </c>
      <c r="I79" s="97">
        <v>1</v>
      </c>
    </row>
    <row r="80" spans="1:9" ht="13.5">
      <c r="A80" s="91" t="s">
        <v>312</v>
      </c>
      <c r="B80" s="92" t="s">
        <v>245</v>
      </c>
      <c r="C80" s="91" t="s">
        <v>312</v>
      </c>
      <c r="D80" s="91" t="s">
        <v>247</v>
      </c>
      <c r="E80" s="93">
        <v>35160</v>
      </c>
      <c r="F80" s="94">
        <f t="shared" ca="1" si="3"/>
        <v>20</v>
      </c>
      <c r="G80" s="95"/>
      <c r="H80" s="96">
        <v>23560</v>
      </c>
      <c r="I80" s="97">
        <v>3</v>
      </c>
    </row>
    <row r="81" spans="1:9" ht="13.5">
      <c r="A81" s="91" t="s">
        <v>312</v>
      </c>
      <c r="B81" s="92" t="s">
        <v>245</v>
      </c>
      <c r="C81" s="91" t="s">
        <v>312</v>
      </c>
      <c r="D81" s="91" t="s">
        <v>252</v>
      </c>
      <c r="E81" s="93">
        <v>35177</v>
      </c>
      <c r="F81" s="94">
        <f t="shared" ca="1" si="3"/>
        <v>20</v>
      </c>
      <c r="G81" s="95"/>
      <c r="H81" s="96">
        <v>33056</v>
      </c>
      <c r="I81" s="97">
        <v>5</v>
      </c>
    </row>
    <row r="82" spans="1:9" ht="13.5">
      <c r="A82" s="91" t="s">
        <v>312</v>
      </c>
      <c r="B82" s="92" t="s">
        <v>285</v>
      </c>
      <c r="C82" s="91" t="s">
        <v>312</v>
      </c>
      <c r="D82" s="91" t="s">
        <v>256</v>
      </c>
      <c r="E82" s="93">
        <v>35196</v>
      </c>
      <c r="F82" s="94">
        <f t="shared" ca="1" si="3"/>
        <v>20</v>
      </c>
      <c r="G82" s="95" t="s">
        <v>283</v>
      </c>
      <c r="H82" s="96">
        <v>32100</v>
      </c>
      <c r="I82" s="97">
        <v>1</v>
      </c>
    </row>
    <row r="83" spans="1:9" ht="13.5">
      <c r="A83" s="91" t="s">
        <v>312</v>
      </c>
      <c r="B83" s="92" t="s">
        <v>285</v>
      </c>
      <c r="C83" s="91" t="s">
        <v>312</v>
      </c>
      <c r="D83" s="91" t="s">
        <v>252</v>
      </c>
      <c r="E83" s="93">
        <v>35292</v>
      </c>
      <c r="F83" s="94">
        <f t="shared" ca="1" si="3"/>
        <v>20</v>
      </c>
      <c r="G83" s="95"/>
      <c r="H83" s="96">
        <v>30080</v>
      </c>
      <c r="I83" s="97">
        <v>3</v>
      </c>
    </row>
    <row r="84" spans="1:9" ht="13.5">
      <c r="A84" s="91" t="s">
        <v>312</v>
      </c>
      <c r="B84" s="92" t="s">
        <v>266</v>
      </c>
      <c r="C84" s="91" t="s">
        <v>312</v>
      </c>
      <c r="D84" s="91" t="s">
        <v>261</v>
      </c>
      <c r="E84" s="93">
        <v>35586</v>
      </c>
      <c r="F84" s="94">
        <f t="shared" ca="1" si="3"/>
        <v>19</v>
      </c>
      <c r="G84" s="95" t="s">
        <v>257</v>
      </c>
      <c r="H84" s="96">
        <v>35280</v>
      </c>
      <c r="I84" s="97">
        <v>3</v>
      </c>
    </row>
    <row r="85" spans="1:9" ht="13.5">
      <c r="A85" s="91" t="s">
        <v>312</v>
      </c>
      <c r="B85" s="92" t="s">
        <v>285</v>
      </c>
      <c r="C85" s="91" t="s">
        <v>312</v>
      </c>
      <c r="D85" s="91" t="s">
        <v>256</v>
      </c>
      <c r="E85" s="93">
        <v>35698</v>
      </c>
      <c r="F85" s="94">
        <f t="shared" ca="1" si="3"/>
        <v>19</v>
      </c>
      <c r="G85" s="95" t="s">
        <v>257</v>
      </c>
      <c r="H85" s="96">
        <v>27180</v>
      </c>
      <c r="I85" s="97">
        <v>4</v>
      </c>
    </row>
    <row r="86" spans="1:9" ht="13.5">
      <c r="A86" s="91" t="s">
        <v>312</v>
      </c>
      <c r="B86" s="92" t="s">
        <v>285</v>
      </c>
      <c r="C86" s="91" t="s">
        <v>312</v>
      </c>
      <c r="D86" s="91" t="s">
        <v>256</v>
      </c>
      <c r="E86" s="93">
        <v>35708</v>
      </c>
      <c r="F86" s="94">
        <f t="shared" ca="1" si="3"/>
        <v>19</v>
      </c>
      <c r="G86" s="95" t="s">
        <v>283</v>
      </c>
      <c r="H86" s="96">
        <v>28650</v>
      </c>
      <c r="I86" s="97">
        <v>4</v>
      </c>
    </row>
    <row r="87" spans="1:9" ht="13.5">
      <c r="A87" s="91" t="s">
        <v>312</v>
      </c>
      <c r="B87" s="92" t="s">
        <v>271</v>
      </c>
      <c r="C87" s="91" t="s">
        <v>312</v>
      </c>
      <c r="D87" s="91" t="s">
        <v>256</v>
      </c>
      <c r="E87" s="93">
        <v>35866</v>
      </c>
      <c r="F87" s="94">
        <f t="shared" ca="1" si="3"/>
        <v>18</v>
      </c>
      <c r="G87" s="95" t="s">
        <v>267</v>
      </c>
      <c r="H87" s="96">
        <v>62790</v>
      </c>
      <c r="I87" s="97">
        <v>2</v>
      </c>
    </row>
    <row r="88" spans="1:9" ht="13.5">
      <c r="A88" s="91" t="s">
        <v>312</v>
      </c>
      <c r="B88" s="92" t="s">
        <v>271</v>
      </c>
      <c r="C88" s="91" t="s">
        <v>312</v>
      </c>
      <c r="D88" s="91" t="s">
        <v>256</v>
      </c>
      <c r="E88" s="93">
        <v>35931</v>
      </c>
      <c r="F88" s="94">
        <f t="shared" ca="1" si="3"/>
        <v>18</v>
      </c>
      <c r="G88" s="95" t="s">
        <v>257</v>
      </c>
      <c r="H88" s="96">
        <v>71950</v>
      </c>
      <c r="I88" s="97">
        <v>5</v>
      </c>
    </row>
    <row r="89" spans="1:9" ht="13.5">
      <c r="A89" s="91" t="s">
        <v>312</v>
      </c>
      <c r="B89" s="92" t="s">
        <v>285</v>
      </c>
      <c r="C89" s="91" t="s">
        <v>312</v>
      </c>
      <c r="D89" s="91" t="s">
        <v>256</v>
      </c>
      <c r="E89" s="93">
        <v>36038</v>
      </c>
      <c r="F89" s="94">
        <f t="shared" ca="1" si="3"/>
        <v>18</v>
      </c>
      <c r="G89" s="95" t="s">
        <v>262</v>
      </c>
      <c r="H89" s="96">
        <v>85880</v>
      </c>
      <c r="I89" s="97">
        <v>3</v>
      </c>
    </row>
    <row r="90" spans="1:9" ht="13.5">
      <c r="A90" s="91" t="s">
        <v>312</v>
      </c>
      <c r="B90" s="92" t="s">
        <v>285</v>
      </c>
      <c r="C90" s="91" t="s">
        <v>312</v>
      </c>
      <c r="D90" s="91" t="s">
        <v>256</v>
      </c>
      <c r="E90" s="93">
        <v>36475</v>
      </c>
      <c r="F90" s="94">
        <f t="shared" ca="1" si="3"/>
        <v>16</v>
      </c>
      <c r="G90" s="95" t="s">
        <v>283</v>
      </c>
      <c r="H90" s="96">
        <v>87280</v>
      </c>
      <c r="I90" s="97">
        <v>4</v>
      </c>
    </row>
    <row r="91" spans="1:9" ht="13.5">
      <c r="A91" s="91" t="s">
        <v>312</v>
      </c>
      <c r="B91" s="92" t="s">
        <v>245</v>
      </c>
      <c r="C91" s="91" t="s">
        <v>312</v>
      </c>
      <c r="D91" s="91" t="s">
        <v>256</v>
      </c>
      <c r="E91" s="93">
        <v>36650</v>
      </c>
      <c r="F91" s="94">
        <f t="shared" ca="1" si="3"/>
        <v>16</v>
      </c>
      <c r="G91" s="95" t="s">
        <v>257</v>
      </c>
      <c r="H91" s="96">
        <v>66890</v>
      </c>
      <c r="I91" s="97">
        <v>5</v>
      </c>
    </row>
    <row r="92" spans="1:9" ht="13.5">
      <c r="A92" s="91" t="s">
        <v>312</v>
      </c>
      <c r="B92" s="92" t="s">
        <v>245</v>
      </c>
      <c r="C92" s="91" t="s">
        <v>312</v>
      </c>
      <c r="D92" s="91" t="s">
        <v>247</v>
      </c>
      <c r="E92" s="93">
        <v>37660</v>
      </c>
      <c r="F92" s="94">
        <f t="shared" ca="1" si="3"/>
        <v>13</v>
      </c>
      <c r="G92" s="95"/>
      <c r="H92" s="96">
        <v>83070</v>
      </c>
      <c r="I92" s="97">
        <v>3</v>
      </c>
    </row>
    <row r="93" spans="1:9" ht="13.5">
      <c r="A93" s="91" t="s">
        <v>312</v>
      </c>
      <c r="B93" s="92" t="s">
        <v>245</v>
      </c>
      <c r="C93" s="91" t="s">
        <v>312</v>
      </c>
      <c r="D93" s="91" t="s">
        <v>247</v>
      </c>
      <c r="E93" s="93">
        <v>37730</v>
      </c>
      <c r="F93" s="94">
        <f t="shared" ca="1" si="3"/>
        <v>13</v>
      </c>
      <c r="G93" s="95"/>
      <c r="H93" s="96">
        <v>62150</v>
      </c>
      <c r="I93" s="97">
        <v>4</v>
      </c>
    </row>
    <row r="94" spans="1:9" ht="13.5">
      <c r="A94" s="91" t="s">
        <v>312</v>
      </c>
      <c r="B94" s="92" t="s">
        <v>266</v>
      </c>
      <c r="C94" s="91" t="s">
        <v>312</v>
      </c>
      <c r="D94" s="91" t="s">
        <v>261</v>
      </c>
      <c r="E94" s="93">
        <v>38492</v>
      </c>
      <c r="F94" s="94">
        <f t="shared" ca="1" si="3"/>
        <v>11</v>
      </c>
      <c r="G94" s="95" t="s">
        <v>276</v>
      </c>
      <c r="H94" s="96">
        <v>22535</v>
      </c>
      <c r="I94" s="97">
        <v>3</v>
      </c>
    </row>
    <row r="95" spans="1:9" ht="13.5">
      <c r="A95" s="91" t="s">
        <v>312</v>
      </c>
      <c r="B95" s="92" t="s">
        <v>280</v>
      </c>
      <c r="C95" s="91" t="s">
        <v>312</v>
      </c>
      <c r="D95" s="91" t="s">
        <v>247</v>
      </c>
      <c r="E95" s="93">
        <v>38612</v>
      </c>
      <c r="F95" s="94">
        <f t="shared" ca="1" si="3"/>
        <v>11</v>
      </c>
      <c r="G95" s="95"/>
      <c r="H95" s="96">
        <v>25790</v>
      </c>
      <c r="I95" s="97">
        <v>3</v>
      </c>
    </row>
    <row r="96" spans="1:9" ht="13.5">
      <c r="A96" s="91" t="s">
        <v>312</v>
      </c>
      <c r="B96" s="92" t="s">
        <v>285</v>
      </c>
      <c r="C96" s="91" t="s">
        <v>312</v>
      </c>
      <c r="D96" s="91" t="s">
        <v>247</v>
      </c>
      <c r="E96" s="93">
        <v>38649</v>
      </c>
      <c r="F96" s="94">
        <f t="shared" ca="1" si="3"/>
        <v>11</v>
      </c>
      <c r="G96" s="95"/>
      <c r="H96" s="96">
        <v>79460</v>
      </c>
      <c r="I96" s="97">
        <v>5</v>
      </c>
    </row>
    <row r="97" spans="1:9" ht="13.5">
      <c r="A97" s="91" t="s">
        <v>312</v>
      </c>
      <c r="B97" s="92" t="s">
        <v>271</v>
      </c>
      <c r="C97" s="91" t="s">
        <v>312</v>
      </c>
      <c r="D97" s="91" t="s">
        <v>256</v>
      </c>
      <c r="E97" s="93">
        <v>38775</v>
      </c>
      <c r="F97" s="94">
        <f t="shared" ca="1" si="3"/>
        <v>10</v>
      </c>
      <c r="G97" s="95" t="s">
        <v>257</v>
      </c>
      <c r="H97" s="96">
        <v>41490</v>
      </c>
      <c r="I97" s="97">
        <v>5</v>
      </c>
    </row>
    <row r="98" spans="1:9" ht="13.5">
      <c r="A98" s="91" t="s">
        <v>312</v>
      </c>
      <c r="B98" s="92" t="s">
        <v>271</v>
      </c>
      <c r="C98" s="91" t="s">
        <v>312</v>
      </c>
      <c r="D98" s="91" t="s">
        <v>256</v>
      </c>
      <c r="E98" s="93">
        <v>38964</v>
      </c>
      <c r="F98" s="94">
        <f t="shared" ca="1" si="3"/>
        <v>10</v>
      </c>
      <c r="G98" s="95" t="s">
        <v>262</v>
      </c>
      <c r="H98" s="96">
        <v>38730</v>
      </c>
      <c r="I98" s="97">
        <v>1</v>
      </c>
    </row>
    <row r="99" spans="1:9" ht="13.5">
      <c r="A99" s="91" t="s">
        <v>312</v>
      </c>
      <c r="B99" s="92" t="s">
        <v>245</v>
      </c>
      <c r="C99" s="91" t="s">
        <v>312</v>
      </c>
      <c r="D99" s="91" t="s">
        <v>256</v>
      </c>
      <c r="E99" s="99">
        <v>38982</v>
      </c>
      <c r="F99" s="94">
        <f t="shared" ca="1" si="3"/>
        <v>10</v>
      </c>
      <c r="G99" s="95" t="s">
        <v>257</v>
      </c>
      <c r="H99" s="96">
        <v>23280</v>
      </c>
      <c r="I99" s="97">
        <v>1</v>
      </c>
    </row>
    <row r="100" spans="1:9" ht="13.5">
      <c r="A100" s="91" t="s">
        <v>312</v>
      </c>
      <c r="B100" s="92" t="s">
        <v>271</v>
      </c>
      <c r="C100" s="91" t="s">
        <v>312</v>
      </c>
      <c r="D100" s="91" t="s">
        <v>256</v>
      </c>
      <c r="E100" s="93">
        <v>39191</v>
      </c>
      <c r="F100" s="94">
        <f t="shared" ca="1" si="3"/>
        <v>9</v>
      </c>
      <c r="G100" s="95" t="s">
        <v>267</v>
      </c>
      <c r="H100" s="96">
        <v>77820</v>
      </c>
      <c r="I100" s="97">
        <v>3</v>
      </c>
    </row>
    <row r="101" spans="1:9" ht="13.5">
      <c r="A101" s="91" t="s">
        <v>312</v>
      </c>
      <c r="B101" s="92" t="s">
        <v>251</v>
      </c>
      <c r="C101" s="91" t="s">
        <v>312</v>
      </c>
      <c r="D101" s="91" t="s">
        <v>256</v>
      </c>
      <c r="E101" s="93">
        <v>39265</v>
      </c>
      <c r="F101" s="94">
        <f t="shared" ca="1" si="3"/>
        <v>9</v>
      </c>
      <c r="G101" s="95" t="s">
        <v>276</v>
      </c>
      <c r="H101" s="96">
        <v>74710</v>
      </c>
      <c r="I101" s="97">
        <v>2</v>
      </c>
    </row>
    <row r="102" spans="1:9" ht="13.5">
      <c r="A102" s="91" t="s">
        <v>312</v>
      </c>
      <c r="B102" s="92" t="s">
        <v>285</v>
      </c>
      <c r="C102" s="91" t="s">
        <v>312</v>
      </c>
      <c r="D102" s="91" t="s">
        <v>256</v>
      </c>
      <c r="E102" s="93">
        <v>39286</v>
      </c>
      <c r="F102" s="94">
        <f t="shared" ca="1" si="3"/>
        <v>9</v>
      </c>
      <c r="G102" s="95" t="s">
        <v>267</v>
      </c>
      <c r="H102" s="96">
        <v>68910</v>
      </c>
      <c r="I102" s="97">
        <v>5</v>
      </c>
    </row>
    <row r="103" spans="1:9" ht="13.5">
      <c r="A103" s="98" t="s">
        <v>1040</v>
      </c>
      <c r="B103" s="92"/>
      <c r="C103" s="98"/>
      <c r="D103" s="91"/>
      <c r="E103" s="93"/>
      <c r="F103" s="94"/>
      <c r="G103" s="95"/>
      <c r="H103" s="96"/>
      <c r="I103" s="97"/>
    </row>
    <row r="104" spans="1:9" ht="13.5">
      <c r="A104" s="91" t="s">
        <v>372</v>
      </c>
      <c r="B104" s="92" t="s">
        <v>285</v>
      </c>
      <c r="C104" s="91" t="s">
        <v>372</v>
      </c>
      <c r="D104" s="91" t="s">
        <v>256</v>
      </c>
      <c r="E104" s="93">
        <v>36573</v>
      </c>
      <c r="F104" s="94">
        <f t="shared" ref="F104:F111" ca="1" si="4">DATEDIF(E104,TODAY(),"Y")</f>
        <v>16</v>
      </c>
      <c r="G104" s="95" t="s">
        <v>257</v>
      </c>
      <c r="H104" s="96">
        <v>86530</v>
      </c>
      <c r="I104" s="97">
        <v>1</v>
      </c>
    </row>
    <row r="105" spans="1:9" ht="13.5">
      <c r="A105" s="91" t="s">
        <v>372</v>
      </c>
      <c r="B105" s="92" t="s">
        <v>271</v>
      </c>
      <c r="C105" s="91" t="s">
        <v>372</v>
      </c>
      <c r="D105" s="91" t="s">
        <v>256</v>
      </c>
      <c r="E105" s="93">
        <v>37087</v>
      </c>
      <c r="F105" s="94">
        <f t="shared" ca="1" si="4"/>
        <v>15</v>
      </c>
      <c r="G105" s="95" t="s">
        <v>257</v>
      </c>
      <c r="H105" s="96">
        <v>36630</v>
      </c>
      <c r="I105" s="97">
        <v>4</v>
      </c>
    </row>
    <row r="106" spans="1:9" ht="13.5">
      <c r="A106" s="91" t="s">
        <v>372</v>
      </c>
      <c r="B106" s="92" t="s">
        <v>285</v>
      </c>
      <c r="C106" s="91" t="s">
        <v>372</v>
      </c>
      <c r="D106" s="91" t="s">
        <v>247</v>
      </c>
      <c r="E106" s="93">
        <v>37445</v>
      </c>
      <c r="F106" s="94">
        <f t="shared" ca="1" si="4"/>
        <v>14</v>
      </c>
      <c r="G106" s="95"/>
      <c r="H106" s="96">
        <v>78860</v>
      </c>
      <c r="I106" s="97">
        <v>2</v>
      </c>
    </row>
    <row r="107" spans="1:9" ht="13.5">
      <c r="A107" s="91" t="s">
        <v>372</v>
      </c>
      <c r="B107" s="92" t="s">
        <v>280</v>
      </c>
      <c r="C107" s="91" t="s">
        <v>372</v>
      </c>
      <c r="D107" s="91" t="s">
        <v>256</v>
      </c>
      <c r="E107" s="93">
        <v>38078</v>
      </c>
      <c r="F107" s="94">
        <f t="shared" ca="1" si="4"/>
        <v>12</v>
      </c>
      <c r="G107" s="95" t="s">
        <v>257</v>
      </c>
      <c r="H107" s="96">
        <v>71120</v>
      </c>
      <c r="I107" s="97">
        <v>4</v>
      </c>
    </row>
    <row r="108" spans="1:9" ht="13.5">
      <c r="A108" s="91" t="s">
        <v>372</v>
      </c>
      <c r="B108" s="92" t="s">
        <v>271</v>
      </c>
      <c r="C108" s="91" t="s">
        <v>372</v>
      </c>
      <c r="D108" s="91" t="s">
        <v>247</v>
      </c>
      <c r="E108" s="93">
        <v>38219</v>
      </c>
      <c r="F108" s="94">
        <f t="shared" ca="1" si="4"/>
        <v>12</v>
      </c>
      <c r="G108" s="95"/>
      <c r="H108" s="96">
        <v>35620</v>
      </c>
      <c r="I108" s="97">
        <v>4</v>
      </c>
    </row>
    <row r="109" spans="1:9" ht="13.5">
      <c r="A109" s="91" t="s">
        <v>372</v>
      </c>
      <c r="B109" s="92" t="s">
        <v>285</v>
      </c>
      <c r="C109" s="91" t="s">
        <v>372</v>
      </c>
      <c r="D109" s="91" t="s">
        <v>256</v>
      </c>
      <c r="E109" s="93">
        <v>38613</v>
      </c>
      <c r="F109" s="94">
        <f t="shared" ca="1" si="4"/>
        <v>11</v>
      </c>
      <c r="G109" s="95" t="s">
        <v>257</v>
      </c>
      <c r="H109" s="96">
        <v>76440</v>
      </c>
      <c r="I109" s="97">
        <v>3</v>
      </c>
    </row>
    <row r="110" spans="1:9" ht="13.5">
      <c r="A110" s="91" t="s">
        <v>372</v>
      </c>
      <c r="B110" s="92" t="s">
        <v>285</v>
      </c>
      <c r="C110" s="91" t="s">
        <v>372</v>
      </c>
      <c r="D110" s="91" t="s">
        <v>247</v>
      </c>
      <c r="E110" s="99">
        <v>38943</v>
      </c>
      <c r="F110" s="94">
        <f t="shared" ca="1" si="4"/>
        <v>10</v>
      </c>
      <c r="G110" s="95"/>
      <c r="H110" s="96">
        <v>59350</v>
      </c>
      <c r="I110" s="97">
        <v>5</v>
      </c>
    </row>
    <row r="111" spans="1:9" ht="13.5">
      <c r="A111" s="91" t="s">
        <v>372</v>
      </c>
      <c r="B111" s="92" t="s">
        <v>251</v>
      </c>
      <c r="C111" s="91" t="s">
        <v>372</v>
      </c>
      <c r="D111" s="91" t="s">
        <v>261</v>
      </c>
      <c r="E111" s="99">
        <v>39195</v>
      </c>
      <c r="F111" s="94">
        <f t="shared" ca="1" si="4"/>
        <v>9</v>
      </c>
      <c r="G111" s="95" t="s">
        <v>283</v>
      </c>
      <c r="H111" s="96">
        <v>46230</v>
      </c>
      <c r="I111" s="97">
        <v>2</v>
      </c>
    </row>
    <row r="112" spans="1:9" ht="13.5">
      <c r="A112" s="98" t="s">
        <v>1041</v>
      </c>
      <c r="B112" s="92"/>
      <c r="C112" s="98"/>
      <c r="D112" s="91"/>
      <c r="E112" s="99"/>
      <c r="F112" s="94"/>
      <c r="G112" s="95"/>
      <c r="H112" s="96"/>
      <c r="I112" s="97"/>
    </row>
    <row r="113" spans="1:9" ht="13.5">
      <c r="A113" s="91" t="s">
        <v>381</v>
      </c>
      <c r="B113" s="92" t="s">
        <v>285</v>
      </c>
      <c r="C113" s="91" t="s">
        <v>381</v>
      </c>
      <c r="D113" s="91" t="s">
        <v>256</v>
      </c>
      <c r="E113" s="93">
        <v>31761</v>
      </c>
      <c r="F113" s="94">
        <f t="shared" ref="F113:F121" ca="1" si="5">DATEDIF(E113,TODAY(),"Y")</f>
        <v>29</v>
      </c>
      <c r="G113" s="95" t="s">
        <v>283</v>
      </c>
      <c r="H113" s="96">
        <v>69060</v>
      </c>
      <c r="I113" s="97">
        <v>1</v>
      </c>
    </row>
    <row r="114" spans="1:9" ht="13.5">
      <c r="A114" s="91" t="s">
        <v>381</v>
      </c>
      <c r="B114" s="92" t="s">
        <v>271</v>
      </c>
      <c r="C114" s="91" t="s">
        <v>381</v>
      </c>
      <c r="D114" s="91" t="s">
        <v>256</v>
      </c>
      <c r="E114" s="93">
        <v>34139</v>
      </c>
      <c r="F114" s="94">
        <f t="shared" ca="1" si="5"/>
        <v>23</v>
      </c>
      <c r="G114" s="95" t="s">
        <v>283</v>
      </c>
      <c r="H114" s="96">
        <v>22920</v>
      </c>
      <c r="I114" s="97">
        <v>3</v>
      </c>
    </row>
    <row r="115" spans="1:9" ht="13.5">
      <c r="A115" s="91" t="s">
        <v>381</v>
      </c>
      <c r="B115" s="92" t="s">
        <v>266</v>
      </c>
      <c r="C115" s="91" t="s">
        <v>381</v>
      </c>
      <c r="D115" s="91" t="s">
        <v>256</v>
      </c>
      <c r="E115" s="93">
        <v>34204</v>
      </c>
      <c r="F115" s="94">
        <f t="shared" ca="1" si="5"/>
        <v>23</v>
      </c>
      <c r="G115" s="95" t="s">
        <v>267</v>
      </c>
      <c r="H115" s="96">
        <v>26510</v>
      </c>
      <c r="I115" s="97">
        <v>1</v>
      </c>
    </row>
    <row r="116" spans="1:9" ht="13.5">
      <c r="A116" s="91" t="s">
        <v>381</v>
      </c>
      <c r="B116" s="92" t="s">
        <v>280</v>
      </c>
      <c r="C116" s="91" t="s">
        <v>381</v>
      </c>
      <c r="D116" s="91" t="s">
        <v>256</v>
      </c>
      <c r="E116" s="93">
        <v>34872</v>
      </c>
      <c r="F116" s="94">
        <f t="shared" ca="1" si="5"/>
        <v>21</v>
      </c>
      <c r="G116" s="95" t="s">
        <v>283</v>
      </c>
      <c r="H116" s="96">
        <v>68300</v>
      </c>
      <c r="I116" s="97">
        <v>5</v>
      </c>
    </row>
    <row r="117" spans="1:9" ht="13.5">
      <c r="A117" s="91" t="s">
        <v>381</v>
      </c>
      <c r="B117" s="92" t="s">
        <v>271</v>
      </c>
      <c r="C117" s="91" t="s">
        <v>381</v>
      </c>
      <c r="D117" s="91" t="s">
        <v>256</v>
      </c>
      <c r="E117" s="93">
        <v>34939</v>
      </c>
      <c r="F117" s="94">
        <f t="shared" ca="1" si="5"/>
        <v>21</v>
      </c>
      <c r="G117" s="95" t="s">
        <v>257</v>
      </c>
      <c r="H117" s="96">
        <v>49860</v>
      </c>
      <c r="I117" s="97">
        <v>2</v>
      </c>
    </row>
    <row r="118" spans="1:9" ht="13.5">
      <c r="A118" s="91" t="s">
        <v>381</v>
      </c>
      <c r="B118" s="92" t="s">
        <v>285</v>
      </c>
      <c r="C118" s="91" t="s">
        <v>381</v>
      </c>
      <c r="D118" s="91" t="s">
        <v>256</v>
      </c>
      <c r="E118" s="93">
        <v>37837</v>
      </c>
      <c r="F118" s="94">
        <f t="shared" ca="1" si="5"/>
        <v>13</v>
      </c>
      <c r="G118" s="95" t="s">
        <v>283</v>
      </c>
      <c r="H118" s="96">
        <v>43680</v>
      </c>
      <c r="I118" s="97">
        <v>5</v>
      </c>
    </row>
    <row r="119" spans="1:9" ht="13.5">
      <c r="A119" s="91" t="s">
        <v>381</v>
      </c>
      <c r="B119" s="92" t="s">
        <v>271</v>
      </c>
      <c r="C119" s="91" t="s">
        <v>381</v>
      </c>
      <c r="D119" s="91" t="s">
        <v>252</v>
      </c>
      <c r="E119" s="99">
        <v>39003</v>
      </c>
      <c r="F119" s="94">
        <f t="shared" ca="1" si="5"/>
        <v>10</v>
      </c>
      <c r="G119" s="95"/>
      <c r="H119" s="96">
        <v>27484</v>
      </c>
      <c r="I119" s="97">
        <v>4</v>
      </c>
    </row>
    <row r="120" spans="1:9" ht="13.5">
      <c r="A120" s="91" t="s">
        <v>381</v>
      </c>
      <c r="B120" s="92" t="s">
        <v>271</v>
      </c>
      <c r="C120" s="91" t="s">
        <v>381</v>
      </c>
      <c r="D120" s="91" t="s">
        <v>261</v>
      </c>
      <c r="E120" s="99">
        <v>39206</v>
      </c>
      <c r="F120" s="94">
        <f t="shared" ca="1" si="5"/>
        <v>9</v>
      </c>
      <c r="G120" s="95" t="s">
        <v>283</v>
      </c>
      <c r="H120" s="96">
        <v>28625</v>
      </c>
      <c r="I120" s="97">
        <v>1</v>
      </c>
    </row>
    <row r="121" spans="1:9" ht="13.5">
      <c r="A121" s="91" t="s">
        <v>381</v>
      </c>
      <c r="B121" s="92" t="s">
        <v>285</v>
      </c>
      <c r="C121" s="91" t="s">
        <v>381</v>
      </c>
      <c r="D121" s="91" t="s">
        <v>261</v>
      </c>
      <c r="E121" s="93">
        <v>39262</v>
      </c>
      <c r="F121" s="94">
        <f t="shared" ca="1" si="5"/>
        <v>9</v>
      </c>
      <c r="G121" s="95" t="s">
        <v>283</v>
      </c>
      <c r="H121" s="96">
        <v>10520</v>
      </c>
      <c r="I121" s="97">
        <v>4</v>
      </c>
    </row>
    <row r="122" spans="1:9" ht="13.5">
      <c r="A122" s="98" t="s">
        <v>1042</v>
      </c>
      <c r="B122" s="92"/>
      <c r="C122" s="98"/>
      <c r="D122" s="91"/>
      <c r="E122" s="93"/>
      <c r="F122" s="94"/>
      <c r="G122" s="95"/>
      <c r="H122" s="96"/>
      <c r="I122" s="97"/>
    </row>
    <row r="123" spans="1:9" ht="13.5">
      <c r="A123" s="91" t="s">
        <v>391</v>
      </c>
      <c r="B123" s="92" t="s">
        <v>285</v>
      </c>
      <c r="C123" s="91" t="s">
        <v>391</v>
      </c>
      <c r="D123" s="91" t="s">
        <v>252</v>
      </c>
      <c r="E123" s="93">
        <v>31873</v>
      </c>
      <c r="F123" s="94">
        <f t="shared" ref="F123:F141" ca="1" si="6">DATEDIF(E123,TODAY(),"Y")</f>
        <v>29</v>
      </c>
      <c r="G123" s="95"/>
      <c r="H123" s="96">
        <v>14712</v>
      </c>
      <c r="I123" s="97">
        <v>5</v>
      </c>
    </row>
    <row r="124" spans="1:9" ht="13.5">
      <c r="A124" s="91" t="s">
        <v>391</v>
      </c>
      <c r="B124" s="92" t="s">
        <v>251</v>
      </c>
      <c r="C124" s="91" t="s">
        <v>391</v>
      </c>
      <c r="D124" s="91" t="s">
        <v>247</v>
      </c>
      <c r="E124" s="93">
        <v>31935</v>
      </c>
      <c r="F124" s="94">
        <f t="shared" ca="1" si="6"/>
        <v>29</v>
      </c>
      <c r="G124" s="95"/>
      <c r="H124" s="96">
        <v>80050</v>
      </c>
      <c r="I124" s="97">
        <v>2</v>
      </c>
    </row>
    <row r="125" spans="1:9" ht="13.5">
      <c r="A125" s="91" t="s">
        <v>391</v>
      </c>
      <c r="B125" s="92" t="s">
        <v>245</v>
      </c>
      <c r="C125" s="91" t="s">
        <v>391</v>
      </c>
      <c r="D125" s="91" t="s">
        <v>256</v>
      </c>
      <c r="E125" s="93">
        <v>32137</v>
      </c>
      <c r="F125" s="94">
        <f t="shared" ca="1" si="6"/>
        <v>28</v>
      </c>
      <c r="G125" s="95" t="s">
        <v>283</v>
      </c>
      <c r="H125" s="96">
        <v>37620</v>
      </c>
      <c r="I125" s="97">
        <v>5</v>
      </c>
    </row>
    <row r="126" spans="1:9" ht="13.5">
      <c r="A126" s="91" t="s">
        <v>391</v>
      </c>
      <c r="B126" s="92" t="s">
        <v>271</v>
      </c>
      <c r="C126" s="91" t="s">
        <v>391</v>
      </c>
      <c r="D126" s="91" t="s">
        <v>256</v>
      </c>
      <c r="E126" s="93">
        <v>32303</v>
      </c>
      <c r="F126" s="94">
        <f t="shared" ca="1" si="6"/>
        <v>28</v>
      </c>
      <c r="G126" s="95" t="s">
        <v>267</v>
      </c>
      <c r="H126" s="96">
        <v>82500</v>
      </c>
      <c r="I126" s="97">
        <v>5</v>
      </c>
    </row>
    <row r="127" spans="1:9" ht="13.5">
      <c r="A127" s="91" t="s">
        <v>391</v>
      </c>
      <c r="B127" s="92" t="s">
        <v>285</v>
      </c>
      <c r="C127" s="91" t="s">
        <v>391</v>
      </c>
      <c r="D127" s="91" t="s">
        <v>256</v>
      </c>
      <c r="E127" s="93">
        <v>32513</v>
      </c>
      <c r="F127" s="94">
        <f t="shared" ca="1" si="6"/>
        <v>27</v>
      </c>
      <c r="G127" s="95" t="s">
        <v>283</v>
      </c>
      <c r="H127" s="96">
        <v>82760</v>
      </c>
      <c r="I127" s="97">
        <v>4</v>
      </c>
    </row>
    <row r="128" spans="1:9" ht="13.5">
      <c r="A128" s="91" t="s">
        <v>391</v>
      </c>
      <c r="B128" s="92" t="s">
        <v>285</v>
      </c>
      <c r="C128" s="91" t="s">
        <v>391</v>
      </c>
      <c r="D128" s="91" t="s">
        <v>261</v>
      </c>
      <c r="E128" s="93">
        <v>32684</v>
      </c>
      <c r="F128" s="94">
        <f t="shared" ca="1" si="6"/>
        <v>27</v>
      </c>
      <c r="G128" s="95" t="s">
        <v>276</v>
      </c>
      <c r="H128" s="96">
        <v>18655</v>
      </c>
      <c r="I128" s="97">
        <v>4</v>
      </c>
    </row>
    <row r="129" spans="1:9" ht="13.5">
      <c r="A129" s="91" t="s">
        <v>391</v>
      </c>
      <c r="B129" s="92" t="s">
        <v>245</v>
      </c>
      <c r="C129" s="91" t="s">
        <v>391</v>
      </c>
      <c r="D129" s="91" t="s">
        <v>247</v>
      </c>
      <c r="E129" s="93">
        <v>33840</v>
      </c>
      <c r="F129" s="94">
        <f t="shared" ca="1" si="6"/>
        <v>24</v>
      </c>
      <c r="G129" s="95"/>
      <c r="H129" s="96">
        <v>35260</v>
      </c>
      <c r="I129" s="97">
        <v>2</v>
      </c>
    </row>
    <row r="130" spans="1:9" ht="13.5">
      <c r="A130" s="91" t="s">
        <v>391</v>
      </c>
      <c r="B130" s="92" t="s">
        <v>266</v>
      </c>
      <c r="C130" s="91" t="s">
        <v>391</v>
      </c>
      <c r="D130" s="91" t="s">
        <v>256</v>
      </c>
      <c r="E130" s="93">
        <v>34177</v>
      </c>
      <c r="F130" s="94">
        <f t="shared" ca="1" si="6"/>
        <v>23</v>
      </c>
      <c r="G130" s="95" t="s">
        <v>257</v>
      </c>
      <c r="H130" s="96">
        <v>80120</v>
      </c>
      <c r="I130" s="97">
        <v>4</v>
      </c>
    </row>
    <row r="131" spans="1:9" ht="13.5">
      <c r="A131" s="91" t="s">
        <v>391</v>
      </c>
      <c r="B131" s="92" t="s">
        <v>285</v>
      </c>
      <c r="C131" s="91" t="s">
        <v>391</v>
      </c>
      <c r="D131" s="91" t="s">
        <v>252</v>
      </c>
      <c r="E131" s="93">
        <v>34363</v>
      </c>
      <c r="F131" s="94">
        <f t="shared" ca="1" si="6"/>
        <v>22</v>
      </c>
      <c r="G131" s="95"/>
      <c r="H131" s="96">
        <v>12676</v>
      </c>
      <c r="I131" s="97">
        <v>2</v>
      </c>
    </row>
    <row r="132" spans="1:9" ht="13.5">
      <c r="A132" s="91" t="s">
        <v>391</v>
      </c>
      <c r="B132" s="92" t="s">
        <v>271</v>
      </c>
      <c r="C132" s="91" t="s">
        <v>391</v>
      </c>
      <c r="D132" s="91" t="s">
        <v>247</v>
      </c>
      <c r="E132" s="93">
        <v>34427</v>
      </c>
      <c r="F132" s="94">
        <f t="shared" ca="1" si="6"/>
        <v>22</v>
      </c>
      <c r="G132" s="95"/>
      <c r="H132" s="96">
        <v>76020</v>
      </c>
      <c r="I132" s="97">
        <v>1</v>
      </c>
    </row>
    <row r="133" spans="1:9" ht="13.5">
      <c r="A133" s="91" t="s">
        <v>391</v>
      </c>
      <c r="B133" s="92" t="s">
        <v>271</v>
      </c>
      <c r="C133" s="91" t="s">
        <v>391</v>
      </c>
      <c r="D133" s="91" t="s">
        <v>247</v>
      </c>
      <c r="E133" s="93">
        <v>34649</v>
      </c>
      <c r="F133" s="94">
        <f t="shared" ca="1" si="6"/>
        <v>21</v>
      </c>
      <c r="G133" s="95"/>
      <c r="H133" s="96">
        <v>64470</v>
      </c>
      <c r="I133" s="97">
        <v>3</v>
      </c>
    </row>
    <row r="134" spans="1:9" ht="13.5">
      <c r="A134" s="91" t="s">
        <v>391</v>
      </c>
      <c r="B134" s="92" t="s">
        <v>271</v>
      </c>
      <c r="C134" s="91" t="s">
        <v>391</v>
      </c>
      <c r="D134" s="91" t="s">
        <v>256</v>
      </c>
      <c r="E134" s="93">
        <v>34767</v>
      </c>
      <c r="F134" s="94">
        <f t="shared" ca="1" si="6"/>
        <v>21</v>
      </c>
      <c r="G134" s="95" t="s">
        <v>283</v>
      </c>
      <c r="H134" s="96">
        <v>50110</v>
      </c>
      <c r="I134" s="97">
        <v>1</v>
      </c>
    </row>
    <row r="135" spans="1:9" ht="13.5">
      <c r="A135" s="91" t="s">
        <v>391</v>
      </c>
      <c r="B135" s="92" t="s">
        <v>251</v>
      </c>
      <c r="C135" s="91" t="s">
        <v>391</v>
      </c>
      <c r="D135" s="91" t="s">
        <v>247</v>
      </c>
      <c r="E135" s="93">
        <v>34866</v>
      </c>
      <c r="F135" s="94">
        <f t="shared" ca="1" si="6"/>
        <v>21</v>
      </c>
      <c r="G135" s="95"/>
      <c r="H135" s="96">
        <v>32940</v>
      </c>
      <c r="I135" s="97">
        <v>5</v>
      </c>
    </row>
    <row r="136" spans="1:9" ht="13.5">
      <c r="A136" s="91" t="s">
        <v>391</v>
      </c>
      <c r="B136" s="92" t="s">
        <v>285</v>
      </c>
      <c r="C136" s="91" t="s">
        <v>391</v>
      </c>
      <c r="D136" s="91" t="s">
        <v>256</v>
      </c>
      <c r="E136" s="93">
        <v>34959</v>
      </c>
      <c r="F136" s="94">
        <f t="shared" ca="1" si="6"/>
        <v>21</v>
      </c>
      <c r="G136" s="95" t="s">
        <v>283</v>
      </c>
      <c r="H136" s="96">
        <v>61330</v>
      </c>
      <c r="I136" s="97">
        <v>1</v>
      </c>
    </row>
    <row r="137" spans="1:9" ht="13.5">
      <c r="A137" s="91" t="s">
        <v>391</v>
      </c>
      <c r="B137" s="92" t="s">
        <v>266</v>
      </c>
      <c r="C137" s="91" t="s">
        <v>391</v>
      </c>
      <c r="D137" s="91" t="s">
        <v>247</v>
      </c>
      <c r="E137" s="93">
        <v>35032</v>
      </c>
      <c r="F137" s="94">
        <f t="shared" ca="1" si="6"/>
        <v>20</v>
      </c>
      <c r="G137" s="95"/>
      <c r="H137" s="96">
        <v>86970</v>
      </c>
      <c r="I137" s="97">
        <v>4</v>
      </c>
    </row>
    <row r="138" spans="1:9" ht="13.5">
      <c r="A138" s="91" t="s">
        <v>391</v>
      </c>
      <c r="B138" s="92" t="s">
        <v>271</v>
      </c>
      <c r="C138" s="91" t="s">
        <v>391</v>
      </c>
      <c r="D138" s="91" t="s">
        <v>261</v>
      </c>
      <c r="E138" s="93">
        <v>35047</v>
      </c>
      <c r="F138" s="94">
        <f t="shared" ca="1" si="6"/>
        <v>20</v>
      </c>
      <c r="G138" s="95" t="s">
        <v>276</v>
      </c>
      <c r="H138" s="96">
        <v>42905</v>
      </c>
      <c r="I138" s="97">
        <v>1</v>
      </c>
    </row>
    <row r="139" spans="1:9" ht="13.5">
      <c r="A139" s="91" t="s">
        <v>391</v>
      </c>
      <c r="B139" s="92" t="s">
        <v>271</v>
      </c>
      <c r="C139" s="91" t="s">
        <v>391</v>
      </c>
      <c r="D139" s="91" t="s">
        <v>256</v>
      </c>
      <c r="E139" s="93">
        <v>35803</v>
      </c>
      <c r="F139" s="94">
        <f t="shared" ca="1" si="6"/>
        <v>18</v>
      </c>
      <c r="G139" s="95" t="s">
        <v>267</v>
      </c>
      <c r="H139" s="96">
        <v>61150</v>
      </c>
      <c r="I139" s="97">
        <v>4</v>
      </c>
    </row>
    <row r="140" spans="1:9" ht="13.5">
      <c r="A140" s="91" t="s">
        <v>391</v>
      </c>
      <c r="B140" s="92" t="s">
        <v>266</v>
      </c>
      <c r="C140" s="91" t="s">
        <v>391</v>
      </c>
      <c r="D140" s="91" t="s">
        <v>256</v>
      </c>
      <c r="E140" s="93">
        <v>36302</v>
      </c>
      <c r="F140" s="94">
        <f t="shared" ca="1" si="6"/>
        <v>17</v>
      </c>
      <c r="G140" s="95" t="s">
        <v>267</v>
      </c>
      <c r="H140" s="96">
        <v>39740</v>
      </c>
      <c r="I140" s="97">
        <v>1</v>
      </c>
    </row>
    <row r="141" spans="1:9" ht="13.5">
      <c r="A141" s="91" t="s">
        <v>391</v>
      </c>
      <c r="B141" s="92" t="s">
        <v>280</v>
      </c>
      <c r="C141" s="91" t="s">
        <v>391</v>
      </c>
      <c r="D141" s="91" t="s">
        <v>247</v>
      </c>
      <c r="E141" s="93">
        <v>36357</v>
      </c>
      <c r="F141" s="94">
        <f t="shared" ca="1" si="6"/>
        <v>17</v>
      </c>
      <c r="G141" s="95"/>
      <c r="H141" s="96">
        <v>73390</v>
      </c>
      <c r="I141" s="97">
        <v>2</v>
      </c>
    </row>
    <row r="142" spans="1:9" ht="13.5">
      <c r="A142" s="98" t="s">
        <v>1043</v>
      </c>
      <c r="B142" s="92"/>
      <c r="C142" s="98"/>
      <c r="D142" s="91"/>
      <c r="E142" s="93"/>
      <c r="F142" s="94"/>
      <c r="G142" s="95"/>
      <c r="H142" s="96"/>
      <c r="I142" s="97"/>
    </row>
    <row r="143" spans="1:9" ht="13.5">
      <c r="A143" s="91" t="s">
        <v>411</v>
      </c>
      <c r="B143" s="92" t="s">
        <v>271</v>
      </c>
      <c r="C143" s="91" t="s">
        <v>411</v>
      </c>
      <c r="D143" s="91" t="s">
        <v>256</v>
      </c>
      <c r="E143" s="93">
        <v>34019</v>
      </c>
      <c r="F143" s="94">
        <f t="shared" ref="F143:F148" ca="1" si="7">DATEDIF(E143,TODAY(),"Y")</f>
        <v>23</v>
      </c>
      <c r="G143" s="95" t="s">
        <v>257</v>
      </c>
      <c r="H143" s="96">
        <v>66740</v>
      </c>
      <c r="I143" s="97">
        <v>2</v>
      </c>
    </row>
    <row r="144" spans="1:9" ht="13.5">
      <c r="A144" s="91" t="s">
        <v>411</v>
      </c>
      <c r="B144" s="92" t="s">
        <v>271</v>
      </c>
      <c r="C144" s="91" t="s">
        <v>411</v>
      </c>
      <c r="D144" s="91" t="s">
        <v>256</v>
      </c>
      <c r="E144" s="93">
        <v>34019</v>
      </c>
      <c r="F144" s="94">
        <f t="shared" ca="1" si="7"/>
        <v>23</v>
      </c>
      <c r="G144" s="95" t="s">
        <v>257</v>
      </c>
      <c r="H144" s="96">
        <v>66740</v>
      </c>
      <c r="I144" s="97">
        <v>2</v>
      </c>
    </row>
    <row r="145" spans="1:9" ht="13.5">
      <c r="A145" s="91" t="s">
        <v>411</v>
      </c>
      <c r="B145" s="92" t="s">
        <v>245</v>
      </c>
      <c r="C145" s="91" t="s">
        <v>411</v>
      </c>
      <c r="D145" s="91" t="s">
        <v>256</v>
      </c>
      <c r="E145" s="93">
        <v>35259</v>
      </c>
      <c r="F145" s="94">
        <f t="shared" ca="1" si="7"/>
        <v>20</v>
      </c>
      <c r="G145" s="95" t="s">
        <v>283</v>
      </c>
      <c r="H145" s="96">
        <v>75060</v>
      </c>
      <c r="I145" s="97">
        <v>5</v>
      </c>
    </row>
    <row r="146" spans="1:9" ht="13.5">
      <c r="A146" s="91" t="s">
        <v>411</v>
      </c>
      <c r="B146" s="92" t="s">
        <v>285</v>
      </c>
      <c r="C146" s="91" t="s">
        <v>411</v>
      </c>
      <c r="D146" s="91" t="s">
        <v>247</v>
      </c>
      <c r="E146" s="93">
        <v>37217</v>
      </c>
      <c r="F146" s="94">
        <f t="shared" ca="1" si="7"/>
        <v>14</v>
      </c>
      <c r="G146" s="95"/>
      <c r="H146" s="96">
        <v>60060</v>
      </c>
      <c r="I146" s="97">
        <v>2</v>
      </c>
    </row>
    <row r="147" spans="1:9" ht="13.5">
      <c r="A147" s="91" t="s">
        <v>411</v>
      </c>
      <c r="B147" s="92" t="s">
        <v>285</v>
      </c>
      <c r="C147" s="91" t="s">
        <v>411</v>
      </c>
      <c r="D147" s="91" t="s">
        <v>256</v>
      </c>
      <c r="E147" s="93">
        <v>37277</v>
      </c>
      <c r="F147" s="94">
        <f t="shared" ca="1" si="7"/>
        <v>14</v>
      </c>
      <c r="G147" s="95" t="s">
        <v>257</v>
      </c>
      <c r="H147" s="96">
        <v>47350</v>
      </c>
      <c r="I147" s="97">
        <v>5</v>
      </c>
    </row>
    <row r="148" spans="1:9" ht="13.5">
      <c r="A148" s="91" t="s">
        <v>411</v>
      </c>
      <c r="B148" s="92" t="s">
        <v>245</v>
      </c>
      <c r="C148" s="91" t="s">
        <v>411</v>
      </c>
      <c r="D148" s="91" t="s">
        <v>256</v>
      </c>
      <c r="E148" s="99">
        <v>39090</v>
      </c>
      <c r="F148" s="94">
        <f t="shared" ca="1" si="7"/>
        <v>9</v>
      </c>
      <c r="G148" s="95" t="s">
        <v>283</v>
      </c>
      <c r="H148" s="96">
        <v>79150</v>
      </c>
      <c r="I148" s="97">
        <v>2</v>
      </c>
    </row>
    <row r="149" spans="1:9" ht="13.5">
      <c r="A149" s="98" t="s">
        <v>1044</v>
      </c>
      <c r="B149" s="92"/>
      <c r="C149" s="98"/>
      <c r="D149" s="91"/>
      <c r="E149" s="99"/>
      <c r="F149" s="94"/>
      <c r="G149" s="95"/>
      <c r="H149" s="96"/>
      <c r="I149" s="97"/>
    </row>
    <row r="150" spans="1:9" ht="13.5">
      <c r="A150" s="91" t="s">
        <v>417</v>
      </c>
      <c r="B150" s="92" t="s">
        <v>280</v>
      </c>
      <c r="C150" s="91" t="s">
        <v>417</v>
      </c>
      <c r="D150" s="91" t="s">
        <v>256</v>
      </c>
      <c r="E150" s="93">
        <v>31769</v>
      </c>
      <c r="F150" s="94">
        <f t="shared" ref="F150:F188" ca="1" si="8">DATEDIF(E150,TODAY(),"Y")</f>
        <v>29</v>
      </c>
      <c r="G150" s="95" t="s">
        <v>276</v>
      </c>
      <c r="H150" s="96">
        <v>32360</v>
      </c>
      <c r="I150" s="97">
        <v>4</v>
      </c>
    </row>
    <row r="151" spans="1:9" ht="13.5">
      <c r="A151" s="91" t="s">
        <v>417</v>
      </c>
      <c r="B151" s="92" t="s">
        <v>271</v>
      </c>
      <c r="C151" s="91" t="s">
        <v>417</v>
      </c>
      <c r="D151" s="91" t="s">
        <v>256</v>
      </c>
      <c r="E151" s="93">
        <v>31807</v>
      </c>
      <c r="F151" s="94">
        <f t="shared" ca="1" si="8"/>
        <v>29</v>
      </c>
      <c r="G151" s="95" t="s">
        <v>267</v>
      </c>
      <c r="H151" s="96">
        <v>35360</v>
      </c>
      <c r="I151" s="97">
        <v>5</v>
      </c>
    </row>
    <row r="152" spans="1:9" ht="13.5">
      <c r="A152" s="91" t="s">
        <v>417</v>
      </c>
      <c r="B152" s="92" t="s">
        <v>271</v>
      </c>
      <c r="C152" s="91" t="s">
        <v>417</v>
      </c>
      <c r="D152" s="91" t="s">
        <v>256</v>
      </c>
      <c r="E152" s="93">
        <v>32095</v>
      </c>
      <c r="F152" s="94">
        <f t="shared" ca="1" si="8"/>
        <v>28</v>
      </c>
      <c r="G152" s="95" t="s">
        <v>283</v>
      </c>
      <c r="H152" s="96">
        <v>32140</v>
      </c>
      <c r="I152" s="97">
        <v>2</v>
      </c>
    </row>
    <row r="153" spans="1:9" ht="13.5">
      <c r="A153" s="91" t="s">
        <v>417</v>
      </c>
      <c r="B153" s="92" t="s">
        <v>285</v>
      </c>
      <c r="C153" s="91" t="s">
        <v>417</v>
      </c>
      <c r="D153" s="91" t="s">
        <v>247</v>
      </c>
      <c r="E153" s="93">
        <v>32114</v>
      </c>
      <c r="F153" s="94">
        <f t="shared" ca="1" si="8"/>
        <v>28</v>
      </c>
      <c r="G153" s="95"/>
      <c r="H153" s="96">
        <v>22320</v>
      </c>
      <c r="I153" s="97">
        <v>2</v>
      </c>
    </row>
    <row r="154" spans="1:9" ht="13.5">
      <c r="A154" s="91" t="s">
        <v>417</v>
      </c>
      <c r="B154" s="92" t="s">
        <v>245</v>
      </c>
      <c r="C154" s="91" t="s">
        <v>417</v>
      </c>
      <c r="D154" s="91" t="s">
        <v>261</v>
      </c>
      <c r="E154" s="93">
        <v>32399</v>
      </c>
      <c r="F154" s="94">
        <f t="shared" ca="1" si="8"/>
        <v>28</v>
      </c>
      <c r="G154" s="95" t="s">
        <v>257</v>
      </c>
      <c r="H154" s="96">
        <v>34110</v>
      </c>
      <c r="I154" s="97">
        <v>4</v>
      </c>
    </row>
    <row r="155" spans="1:9" ht="13.5">
      <c r="A155" s="91" t="s">
        <v>417</v>
      </c>
      <c r="B155" s="92" t="s">
        <v>280</v>
      </c>
      <c r="C155" s="91" t="s">
        <v>417</v>
      </c>
      <c r="D155" s="91" t="s">
        <v>256</v>
      </c>
      <c r="E155" s="93">
        <v>32562</v>
      </c>
      <c r="F155" s="94">
        <f t="shared" ca="1" si="8"/>
        <v>27</v>
      </c>
      <c r="G155" s="95" t="s">
        <v>257</v>
      </c>
      <c r="H155" s="96">
        <v>64510</v>
      </c>
      <c r="I155" s="97">
        <v>3</v>
      </c>
    </row>
    <row r="156" spans="1:9" ht="13.5">
      <c r="A156" s="91" t="s">
        <v>417</v>
      </c>
      <c r="B156" s="92" t="s">
        <v>251</v>
      </c>
      <c r="C156" s="91" t="s">
        <v>417</v>
      </c>
      <c r="D156" s="91" t="s">
        <v>256</v>
      </c>
      <c r="E156" s="93">
        <v>32613</v>
      </c>
      <c r="F156" s="94">
        <f t="shared" ca="1" si="8"/>
        <v>27</v>
      </c>
      <c r="G156" s="95" t="s">
        <v>283</v>
      </c>
      <c r="H156" s="96">
        <v>46340</v>
      </c>
      <c r="I156" s="97">
        <v>5</v>
      </c>
    </row>
    <row r="157" spans="1:9" ht="13.5">
      <c r="A157" s="91" t="s">
        <v>417</v>
      </c>
      <c r="B157" s="92" t="s">
        <v>251</v>
      </c>
      <c r="C157" s="91" t="s">
        <v>417</v>
      </c>
      <c r="D157" s="91" t="s">
        <v>256</v>
      </c>
      <c r="E157" s="93">
        <v>32613</v>
      </c>
      <c r="F157" s="94">
        <f t="shared" ca="1" si="8"/>
        <v>27</v>
      </c>
      <c r="G157" s="95" t="s">
        <v>283</v>
      </c>
      <c r="H157" s="96">
        <v>46340</v>
      </c>
      <c r="I157" s="97">
        <v>5</v>
      </c>
    </row>
    <row r="158" spans="1:9" ht="13.5">
      <c r="A158" s="91" t="s">
        <v>417</v>
      </c>
      <c r="B158" s="92" t="s">
        <v>271</v>
      </c>
      <c r="C158" s="91" t="s">
        <v>417</v>
      </c>
      <c r="D158" s="91" t="s">
        <v>247</v>
      </c>
      <c r="E158" s="93">
        <v>32639</v>
      </c>
      <c r="F158" s="94">
        <f t="shared" ca="1" si="8"/>
        <v>27</v>
      </c>
      <c r="G158" s="95"/>
      <c r="H158" s="96">
        <v>81070</v>
      </c>
      <c r="I158" s="97">
        <v>5</v>
      </c>
    </row>
    <row r="159" spans="1:9" ht="13.5">
      <c r="A159" s="91" t="s">
        <v>417</v>
      </c>
      <c r="B159" s="92" t="s">
        <v>285</v>
      </c>
      <c r="C159" s="91" t="s">
        <v>417</v>
      </c>
      <c r="D159" s="91" t="s">
        <v>256</v>
      </c>
      <c r="E159" s="93">
        <v>32776</v>
      </c>
      <c r="F159" s="94">
        <f t="shared" ca="1" si="8"/>
        <v>27</v>
      </c>
      <c r="G159" s="95" t="s">
        <v>257</v>
      </c>
      <c r="H159" s="96">
        <v>31840</v>
      </c>
      <c r="I159" s="97">
        <v>1</v>
      </c>
    </row>
    <row r="160" spans="1:9" ht="13.5">
      <c r="A160" s="91" t="s">
        <v>417</v>
      </c>
      <c r="B160" s="92" t="s">
        <v>245</v>
      </c>
      <c r="C160" s="91" t="s">
        <v>417</v>
      </c>
      <c r="D160" s="91" t="s">
        <v>247</v>
      </c>
      <c r="E160" s="93">
        <v>32851</v>
      </c>
      <c r="F160" s="94">
        <f t="shared" ca="1" si="8"/>
        <v>26</v>
      </c>
      <c r="G160" s="95"/>
      <c r="H160" s="96">
        <v>64090</v>
      </c>
      <c r="I160" s="97">
        <v>2</v>
      </c>
    </row>
    <row r="161" spans="1:9" ht="13.5">
      <c r="A161" s="91" t="s">
        <v>417</v>
      </c>
      <c r="B161" s="92" t="s">
        <v>271</v>
      </c>
      <c r="C161" s="91" t="s">
        <v>417</v>
      </c>
      <c r="D161" s="91" t="s">
        <v>256</v>
      </c>
      <c r="E161" s="93">
        <v>32903</v>
      </c>
      <c r="F161" s="94">
        <f t="shared" ca="1" si="8"/>
        <v>26</v>
      </c>
      <c r="G161" s="95" t="s">
        <v>257</v>
      </c>
      <c r="H161" s="96">
        <v>72900</v>
      </c>
      <c r="I161" s="97">
        <v>3</v>
      </c>
    </row>
    <row r="162" spans="1:9" ht="13.5">
      <c r="A162" s="91" t="s">
        <v>417</v>
      </c>
      <c r="B162" s="92" t="s">
        <v>285</v>
      </c>
      <c r="C162" s="91" t="s">
        <v>417</v>
      </c>
      <c r="D162" s="91" t="s">
        <v>261</v>
      </c>
      <c r="E162" s="93">
        <v>33445</v>
      </c>
      <c r="F162" s="94">
        <f t="shared" ca="1" si="8"/>
        <v>25</v>
      </c>
      <c r="G162" s="95" t="s">
        <v>267</v>
      </c>
      <c r="H162" s="96">
        <v>15005</v>
      </c>
      <c r="I162" s="97">
        <v>4</v>
      </c>
    </row>
    <row r="163" spans="1:9" ht="13.5">
      <c r="A163" s="91" t="s">
        <v>417</v>
      </c>
      <c r="B163" s="92" t="s">
        <v>245</v>
      </c>
      <c r="C163" s="91" t="s">
        <v>417</v>
      </c>
      <c r="D163" s="91" t="s">
        <v>247</v>
      </c>
      <c r="E163" s="93">
        <v>33451</v>
      </c>
      <c r="F163" s="94">
        <f t="shared" ca="1" si="8"/>
        <v>25</v>
      </c>
      <c r="G163" s="95"/>
      <c r="H163" s="96">
        <v>45040</v>
      </c>
      <c r="I163" s="97">
        <v>5</v>
      </c>
    </row>
    <row r="164" spans="1:9" ht="13.5">
      <c r="A164" s="91" t="s">
        <v>417</v>
      </c>
      <c r="B164" s="92" t="s">
        <v>271</v>
      </c>
      <c r="C164" s="91" t="s">
        <v>417</v>
      </c>
      <c r="D164" s="91" t="s">
        <v>247</v>
      </c>
      <c r="E164" s="93">
        <v>33461</v>
      </c>
      <c r="F164" s="94">
        <f t="shared" ca="1" si="8"/>
        <v>25</v>
      </c>
      <c r="G164" s="95"/>
      <c r="H164" s="96">
        <v>26360</v>
      </c>
      <c r="I164" s="97">
        <v>4</v>
      </c>
    </row>
    <row r="165" spans="1:9" ht="13.5">
      <c r="A165" s="91" t="s">
        <v>417</v>
      </c>
      <c r="B165" s="92" t="s">
        <v>285</v>
      </c>
      <c r="C165" s="91" t="s">
        <v>417</v>
      </c>
      <c r="D165" s="91" t="s">
        <v>247</v>
      </c>
      <c r="E165" s="93">
        <v>33602</v>
      </c>
      <c r="F165" s="94">
        <f t="shared" ca="1" si="8"/>
        <v>24</v>
      </c>
      <c r="G165" s="95"/>
      <c r="H165" s="96">
        <v>40560</v>
      </c>
      <c r="I165" s="97">
        <v>5</v>
      </c>
    </row>
    <row r="166" spans="1:9" ht="13.5">
      <c r="A166" s="91" t="s">
        <v>417</v>
      </c>
      <c r="B166" s="92" t="s">
        <v>285</v>
      </c>
      <c r="C166" s="91" t="s">
        <v>417</v>
      </c>
      <c r="D166" s="91" t="s">
        <v>261</v>
      </c>
      <c r="E166" s="93">
        <v>33760</v>
      </c>
      <c r="F166" s="94">
        <f t="shared" ca="1" si="8"/>
        <v>24</v>
      </c>
      <c r="G166" s="95" t="s">
        <v>276</v>
      </c>
      <c r="H166" s="96">
        <v>21220</v>
      </c>
      <c r="I166" s="97">
        <v>3</v>
      </c>
    </row>
    <row r="167" spans="1:9" ht="13.5">
      <c r="A167" s="91" t="s">
        <v>417</v>
      </c>
      <c r="B167" s="92" t="s">
        <v>271</v>
      </c>
      <c r="C167" s="91" t="s">
        <v>417</v>
      </c>
      <c r="D167" s="91" t="s">
        <v>256</v>
      </c>
      <c r="E167" s="93">
        <v>33774</v>
      </c>
      <c r="F167" s="94">
        <f t="shared" ca="1" si="8"/>
        <v>24</v>
      </c>
      <c r="G167" s="95" t="s">
        <v>276</v>
      </c>
      <c r="H167" s="96">
        <v>49260</v>
      </c>
      <c r="I167" s="97">
        <v>3</v>
      </c>
    </row>
    <row r="168" spans="1:9" ht="13.5">
      <c r="A168" s="91" t="s">
        <v>417</v>
      </c>
      <c r="B168" s="92" t="s">
        <v>285</v>
      </c>
      <c r="C168" s="91" t="s">
        <v>417</v>
      </c>
      <c r="D168" s="91" t="s">
        <v>261</v>
      </c>
      <c r="E168" s="93">
        <v>33876</v>
      </c>
      <c r="F168" s="94">
        <f t="shared" ca="1" si="8"/>
        <v>24</v>
      </c>
      <c r="G168" s="95" t="s">
        <v>276</v>
      </c>
      <c r="H168" s="96">
        <v>32835</v>
      </c>
      <c r="I168" s="97">
        <v>2</v>
      </c>
    </row>
    <row r="169" spans="1:9" ht="13.5">
      <c r="A169" s="91" t="s">
        <v>417</v>
      </c>
      <c r="B169" s="92" t="s">
        <v>285</v>
      </c>
      <c r="C169" s="91" t="s">
        <v>417</v>
      </c>
      <c r="D169" s="91" t="s">
        <v>256</v>
      </c>
      <c r="E169" s="93">
        <v>33943</v>
      </c>
      <c r="F169" s="94">
        <f t="shared" ca="1" si="8"/>
        <v>23</v>
      </c>
      <c r="G169" s="95" t="s">
        <v>257</v>
      </c>
      <c r="H169" s="96">
        <v>63780</v>
      </c>
      <c r="I169" s="97">
        <v>5</v>
      </c>
    </row>
    <row r="170" spans="1:9" ht="13.5">
      <c r="A170" s="91" t="s">
        <v>417</v>
      </c>
      <c r="B170" s="92" t="s">
        <v>285</v>
      </c>
      <c r="C170" s="91" t="s">
        <v>417</v>
      </c>
      <c r="D170" s="91" t="s">
        <v>256</v>
      </c>
      <c r="E170" s="93">
        <v>34191</v>
      </c>
      <c r="F170" s="94">
        <f t="shared" ca="1" si="8"/>
        <v>23</v>
      </c>
      <c r="G170" s="95" t="s">
        <v>283</v>
      </c>
      <c r="H170" s="96">
        <v>37750</v>
      </c>
      <c r="I170" s="97">
        <v>5</v>
      </c>
    </row>
    <row r="171" spans="1:9" ht="13.5">
      <c r="A171" s="91" t="s">
        <v>417</v>
      </c>
      <c r="B171" s="92" t="s">
        <v>271</v>
      </c>
      <c r="C171" s="91" t="s">
        <v>417</v>
      </c>
      <c r="D171" s="91" t="s">
        <v>256</v>
      </c>
      <c r="E171" s="93">
        <v>34295</v>
      </c>
      <c r="F171" s="94">
        <f t="shared" ca="1" si="8"/>
        <v>22</v>
      </c>
      <c r="G171" s="95" t="s">
        <v>283</v>
      </c>
      <c r="H171" s="96">
        <v>56870</v>
      </c>
      <c r="I171" s="97">
        <v>1</v>
      </c>
    </row>
    <row r="172" spans="1:9" ht="13.5">
      <c r="A172" s="91" t="s">
        <v>417</v>
      </c>
      <c r="B172" s="92" t="s">
        <v>271</v>
      </c>
      <c r="C172" s="91" t="s">
        <v>417</v>
      </c>
      <c r="D172" s="91" t="s">
        <v>247</v>
      </c>
      <c r="E172" s="93">
        <v>34629</v>
      </c>
      <c r="F172" s="94">
        <f t="shared" ca="1" si="8"/>
        <v>22</v>
      </c>
      <c r="G172" s="95"/>
      <c r="H172" s="96">
        <v>25120</v>
      </c>
      <c r="I172" s="97">
        <v>5</v>
      </c>
    </row>
    <row r="173" spans="1:9" ht="13.5">
      <c r="A173" s="91" t="s">
        <v>417</v>
      </c>
      <c r="B173" s="92" t="s">
        <v>251</v>
      </c>
      <c r="C173" s="91" t="s">
        <v>417</v>
      </c>
      <c r="D173" s="91" t="s">
        <v>256</v>
      </c>
      <c r="E173" s="93">
        <v>34679</v>
      </c>
      <c r="F173" s="94">
        <f t="shared" ca="1" si="8"/>
        <v>21</v>
      </c>
      <c r="G173" s="95" t="s">
        <v>262</v>
      </c>
      <c r="H173" s="96">
        <v>71010</v>
      </c>
      <c r="I173" s="97">
        <v>5</v>
      </c>
    </row>
    <row r="174" spans="1:9" ht="13.5">
      <c r="A174" s="91" t="s">
        <v>417</v>
      </c>
      <c r="B174" s="92" t="s">
        <v>251</v>
      </c>
      <c r="C174" s="91" t="s">
        <v>417</v>
      </c>
      <c r="D174" s="91" t="s">
        <v>256</v>
      </c>
      <c r="E174" s="93">
        <v>34772</v>
      </c>
      <c r="F174" s="94">
        <f t="shared" ca="1" si="8"/>
        <v>21</v>
      </c>
      <c r="G174" s="95" t="s">
        <v>283</v>
      </c>
      <c r="H174" s="96">
        <v>82400</v>
      </c>
      <c r="I174" s="97">
        <v>2</v>
      </c>
    </row>
    <row r="175" spans="1:9" ht="13.5">
      <c r="A175" s="91" t="s">
        <v>417</v>
      </c>
      <c r="B175" s="92" t="s">
        <v>280</v>
      </c>
      <c r="C175" s="91" t="s">
        <v>417</v>
      </c>
      <c r="D175" s="91" t="s">
        <v>252</v>
      </c>
      <c r="E175" s="93">
        <v>34953</v>
      </c>
      <c r="F175" s="94">
        <f t="shared" ca="1" si="8"/>
        <v>21</v>
      </c>
      <c r="G175" s="95"/>
      <c r="H175" s="96">
        <v>38768</v>
      </c>
      <c r="I175" s="97">
        <v>4</v>
      </c>
    </row>
    <row r="176" spans="1:9" ht="13.5">
      <c r="A176" s="91" t="s">
        <v>417</v>
      </c>
      <c r="B176" s="92" t="s">
        <v>280</v>
      </c>
      <c r="C176" s="91" t="s">
        <v>417</v>
      </c>
      <c r="D176" s="91" t="s">
        <v>256</v>
      </c>
      <c r="E176" s="93">
        <v>35104</v>
      </c>
      <c r="F176" s="94">
        <f t="shared" ca="1" si="8"/>
        <v>20</v>
      </c>
      <c r="G176" s="95" t="s">
        <v>276</v>
      </c>
      <c r="H176" s="96">
        <v>39680</v>
      </c>
      <c r="I176" s="97">
        <v>5</v>
      </c>
    </row>
    <row r="177" spans="1:9" ht="13.5">
      <c r="A177" s="91" t="s">
        <v>417</v>
      </c>
      <c r="B177" s="92" t="s">
        <v>245</v>
      </c>
      <c r="C177" s="91" t="s">
        <v>417</v>
      </c>
      <c r="D177" s="91" t="s">
        <v>256</v>
      </c>
      <c r="E177" s="93">
        <v>35333</v>
      </c>
      <c r="F177" s="94">
        <f t="shared" ca="1" si="8"/>
        <v>20</v>
      </c>
      <c r="G177" s="95" t="s">
        <v>283</v>
      </c>
      <c r="H177" s="96">
        <v>71380</v>
      </c>
      <c r="I177" s="97">
        <v>2</v>
      </c>
    </row>
    <row r="178" spans="1:9" ht="13.5">
      <c r="A178" s="91" t="s">
        <v>417</v>
      </c>
      <c r="B178" s="92" t="s">
        <v>271</v>
      </c>
      <c r="C178" s="91" t="s">
        <v>417</v>
      </c>
      <c r="D178" s="91" t="s">
        <v>256</v>
      </c>
      <c r="E178" s="93">
        <v>35978</v>
      </c>
      <c r="F178" s="94">
        <f t="shared" ca="1" si="8"/>
        <v>18</v>
      </c>
      <c r="G178" s="95" t="s">
        <v>257</v>
      </c>
      <c r="H178" s="96">
        <v>42480</v>
      </c>
      <c r="I178" s="97">
        <v>3</v>
      </c>
    </row>
    <row r="179" spans="1:9" ht="13.5">
      <c r="A179" s="91" t="s">
        <v>417</v>
      </c>
      <c r="B179" s="92" t="s">
        <v>285</v>
      </c>
      <c r="C179" s="91" t="s">
        <v>417</v>
      </c>
      <c r="D179" s="91" t="s">
        <v>247</v>
      </c>
      <c r="E179" s="93">
        <v>36331</v>
      </c>
      <c r="F179" s="94">
        <f t="shared" ca="1" si="8"/>
        <v>17</v>
      </c>
      <c r="G179" s="95"/>
      <c r="H179" s="96">
        <v>31970</v>
      </c>
      <c r="I179" s="97">
        <v>5</v>
      </c>
    </row>
    <row r="180" spans="1:9" ht="13.5">
      <c r="A180" s="91" t="s">
        <v>417</v>
      </c>
      <c r="B180" s="92" t="s">
        <v>285</v>
      </c>
      <c r="C180" s="91" t="s">
        <v>417</v>
      </c>
      <c r="D180" s="91" t="s">
        <v>256</v>
      </c>
      <c r="E180" s="93">
        <v>36825</v>
      </c>
      <c r="F180" s="94">
        <f t="shared" ca="1" si="8"/>
        <v>16</v>
      </c>
      <c r="G180" s="95" t="s">
        <v>267</v>
      </c>
      <c r="H180" s="96">
        <v>65560</v>
      </c>
      <c r="I180" s="97">
        <v>1</v>
      </c>
    </row>
    <row r="181" spans="1:9" ht="13.5">
      <c r="A181" s="91" t="s">
        <v>417</v>
      </c>
      <c r="B181" s="92" t="s">
        <v>285</v>
      </c>
      <c r="C181" s="91" t="s">
        <v>417</v>
      </c>
      <c r="D181" s="91" t="s">
        <v>256</v>
      </c>
      <c r="E181" s="93">
        <v>37443</v>
      </c>
      <c r="F181" s="94">
        <f t="shared" ca="1" si="8"/>
        <v>14</v>
      </c>
      <c r="G181" s="95" t="s">
        <v>257</v>
      </c>
      <c r="H181" s="96">
        <v>22410</v>
      </c>
      <c r="I181" s="97">
        <v>4</v>
      </c>
    </row>
    <row r="182" spans="1:9" ht="13.5">
      <c r="A182" s="91" t="s">
        <v>417</v>
      </c>
      <c r="B182" s="92" t="s">
        <v>271</v>
      </c>
      <c r="C182" s="91" t="s">
        <v>417</v>
      </c>
      <c r="D182" s="91" t="s">
        <v>261</v>
      </c>
      <c r="E182" s="93">
        <v>38458</v>
      </c>
      <c r="F182" s="94">
        <f t="shared" ca="1" si="8"/>
        <v>11</v>
      </c>
      <c r="G182" s="95" t="s">
        <v>257</v>
      </c>
      <c r="H182" s="96">
        <v>39515</v>
      </c>
      <c r="I182" s="97">
        <v>5</v>
      </c>
    </row>
    <row r="183" spans="1:9" ht="13.5">
      <c r="A183" s="91" t="s">
        <v>417</v>
      </c>
      <c r="B183" s="92" t="s">
        <v>271</v>
      </c>
      <c r="C183" s="91" t="s">
        <v>417</v>
      </c>
      <c r="D183" s="91" t="s">
        <v>252</v>
      </c>
      <c r="E183" s="93">
        <v>38583</v>
      </c>
      <c r="F183" s="94">
        <f t="shared" ca="1" si="8"/>
        <v>11</v>
      </c>
      <c r="G183" s="95"/>
      <c r="H183" s="96">
        <v>15744</v>
      </c>
      <c r="I183" s="97">
        <v>3</v>
      </c>
    </row>
    <row r="184" spans="1:9" ht="13.5">
      <c r="A184" s="91" t="s">
        <v>417</v>
      </c>
      <c r="B184" s="92" t="s">
        <v>251</v>
      </c>
      <c r="C184" s="91" t="s">
        <v>417</v>
      </c>
      <c r="D184" s="91" t="s">
        <v>247</v>
      </c>
      <c r="E184" s="93">
        <v>38744</v>
      </c>
      <c r="F184" s="94">
        <f t="shared" ca="1" si="8"/>
        <v>10</v>
      </c>
      <c r="G184" s="95"/>
      <c r="H184" s="96">
        <v>56920</v>
      </c>
      <c r="I184" s="97">
        <v>4</v>
      </c>
    </row>
    <row r="185" spans="1:9" ht="13.5">
      <c r="A185" s="91" t="s">
        <v>417</v>
      </c>
      <c r="B185" s="92" t="s">
        <v>271</v>
      </c>
      <c r="C185" s="91" t="s">
        <v>417</v>
      </c>
      <c r="D185" s="91" t="s">
        <v>247</v>
      </c>
      <c r="E185" s="99">
        <v>38926</v>
      </c>
      <c r="F185" s="94">
        <f t="shared" ca="1" si="8"/>
        <v>10</v>
      </c>
      <c r="G185" s="95"/>
      <c r="H185" s="96">
        <v>45830</v>
      </c>
      <c r="I185" s="97">
        <v>4</v>
      </c>
    </row>
    <row r="186" spans="1:9" ht="13.5">
      <c r="A186" s="91" t="s">
        <v>417</v>
      </c>
      <c r="B186" s="92" t="s">
        <v>266</v>
      </c>
      <c r="C186" s="91" t="s">
        <v>417</v>
      </c>
      <c r="D186" s="91" t="s">
        <v>247</v>
      </c>
      <c r="E186" s="93">
        <v>38949</v>
      </c>
      <c r="F186" s="94">
        <f t="shared" ca="1" si="8"/>
        <v>10</v>
      </c>
      <c r="G186" s="95"/>
      <c r="H186" s="96">
        <v>45710</v>
      </c>
      <c r="I186" s="97">
        <v>3</v>
      </c>
    </row>
    <row r="187" spans="1:9" ht="13.5">
      <c r="A187" s="91" t="s">
        <v>417</v>
      </c>
      <c r="B187" s="92" t="s">
        <v>271</v>
      </c>
      <c r="C187" s="91" t="s">
        <v>417</v>
      </c>
      <c r="D187" s="91" t="s">
        <v>256</v>
      </c>
      <c r="E187" s="93">
        <v>39089</v>
      </c>
      <c r="F187" s="94">
        <f t="shared" ca="1" si="8"/>
        <v>9</v>
      </c>
      <c r="G187" s="95" t="s">
        <v>267</v>
      </c>
      <c r="H187" s="96">
        <v>32640</v>
      </c>
      <c r="I187" s="97">
        <v>4</v>
      </c>
    </row>
    <row r="188" spans="1:9" ht="13.5">
      <c r="A188" s="91" t="s">
        <v>417</v>
      </c>
      <c r="B188" s="92" t="s">
        <v>285</v>
      </c>
      <c r="C188" s="91" t="s">
        <v>417</v>
      </c>
      <c r="D188" s="91" t="s">
        <v>256</v>
      </c>
      <c r="E188" s="93">
        <v>39160</v>
      </c>
      <c r="F188" s="94">
        <f t="shared" ca="1" si="8"/>
        <v>9</v>
      </c>
      <c r="G188" s="95" t="s">
        <v>283</v>
      </c>
      <c r="H188" s="96">
        <v>42620</v>
      </c>
      <c r="I188" s="97">
        <v>3</v>
      </c>
    </row>
    <row r="189" spans="1:9" ht="13.5">
      <c r="A189" s="98" t="s">
        <v>1045</v>
      </c>
      <c r="B189" s="92"/>
      <c r="C189" s="98"/>
      <c r="D189" s="91"/>
      <c r="E189" s="93"/>
      <c r="F189" s="94"/>
      <c r="G189" s="95"/>
      <c r="H189" s="96"/>
      <c r="I189" s="97"/>
    </row>
    <row r="190" spans="1:9" ht="13.5">
      <c r="A190" s="91" t="s">
        <v>456</v>
      </c>
      <c r="B190" s="92" t="s">
        <v>271</v>
      </c>
      <c r="C190" s="91" t="s">
        <v>456</v>
      </c>
      <c r="D190" s="91" t="s">
        <v>256</v>
      </c>
      <c r="E190" s="93">
        <v>32075</v>
      </c>
      <c r="F190" s="94">
        <f t="shared" ref="F190:F197" ca="1" si="9">DATEDIF(E190,TODAY(),"Y")</f>
        <v>29</v>
      </c>
      <c r="G190" s="95" t="s">
        <v>257</v>
      </c>
      <c r="H190" s="96">
        <v>89140</v>
      </c>
      <c r="I190" s="97">
        <v>1</v>
      </c>
    </row>
    <row r="191" spans="1:9" ht="13.5">
      <c r="A191" s="91" t="s">
        <v>456</v>
      </c>
      <c r="B191" s="92" t="s">
        <v>271</v>
      </c>
      <c r="C191" s="91" t="s">
        <v>456</v>
      </c>
      <c r="D191" s="91" t="s">
        <v>261</v>
      </c>
      <c r="E191" s="93">
        <v>33091</v>
      </c>
      <c r="F191" s="94">
        <f t="shared" ca="1" si="9"/>
        <v>26</v>
      </c>
      <c r="G191" s="95" t="s">
        <v>267</v>
      </c>
      <c r="H191" s="96">
        <v>89780</v>
      </c>
      <c r="I191" s="97">
        <v>4</v>
      </c>
    </row>
    <row r="192" spans="1:9" ht="13.5">
      <c r="A192" s="91" t="s">
        <v>456</v>
      </c>
      <c r="B192" s="92" t="s">
        <v>271</v>
      </c>
      <c r="C192" s="91" t="s">
        <v>456</v>
      </c>
      <c r="D192" s="91" t="s">
        <v>252</v>
      </c>
      <c r="E192" s="93">
        <v>35209</v>
      </c>
      <c r="F192" s="94">
        <f t="shared" ca="1" si="9"/>
        <v>20</v>
      </c>
      <c r="G192" s="95" t="s">
        <v>283</v>
      </c>
      <c r="H192" s="96">
        <v>61860</v>
      </c>
      <c r="I192" s="97">
        <v>5</v>
      </c>
    </row>
    <row r="193" spans="1:9" ht="13.5">
      <c r="A193" s="91" t="s">
        <v>456</v>
      </c>
      <c r="B193" s="92" t="s">
        <v>280</v>
      </c>
      <c r="C193" s="91" t="s">
        <v>456</v>
      </c>
      <c r="D193" s="91" t="s">
        <v>247</v>
      </c>
      <c r="E193" s="93">
        <v>35363</v>
      </c>
      <c r="F193" s="94">
        <f t="shared" ca="1" si="9"/>
        <v>20</v>
      </c>
      <c r="G193" s="95" t="s">
        <v>283</v>
      </c>
      <c r="H193" s="96">
        <v>69410</v>
      </c>
      <c r="I193" s="97">
        <v>4</v>
      </c>
    </row>
    <row r="194" spans="1:9" ht="13.5">
      <c r="A194" s="91" t="s">
        <v>456</v>
      </c>
      <c r="B194" s="92" t="s">
        <v>280</v>
      </c>
      <c r="C194" s="91" t="s">
        <v>456</v>
      </c>
      <c r="D194" s="91" t="s">
        <v>256</v>
      </c>
      <c r="E194" s="93">
        <v>35733</v>
      </c>
      <c r="F194" s="94">
        <f t="shared" ca="1" si="9"/>
        <v>19</v>
      </c>
      <c r="G194" s="95" t="s">
        <v>262</v>
      </c>
      <c r="H194" s="96">
        <v>45150</v>
      </c>
      <c r="I194" s="97">
        <v>1</v>
      </c>
    </row>
    <row r="195" spans="1:9" ht="13.5">
      <c r="A195" s="91" t="s">
        <v>456</v>
      </c>
      <c r="B195" s="92" t="s">
        <v>285</v>
      </c>
      <c r="C195" s="91" t="s">
        <v>456</v>
      </c>
      <c r="D195" s="91" t="s">
        <v>261</v>
      </c>
      <c r="E195" s="93">
        <v>36195</v>
      </c>
      <c r="F195" s="94">
        <f t="shared" ca="1" si="9"/>
        <v>17</v>
      </c>
      <c r="G195" s="95" t="s">
        <v>276</v>
      </c>
      <c r="H195" s="96">
        <v>51800</v>
      </c>
      <c r="I195" s="97">
        <v>1</v>
      </c>
    </row>
    <row r="196" spans="1:9" ht="13.5">
      <c r="A196" s="91" t="s">
        <v>456</v>
      </c>
      <c r="B196" s="92" t="s">
        <v>285</v>
      </c>
      <c r="C196" s="91" t="s">
        <v>456</v>
      </c>
      <c r="D196" s="91" t="s">
        <v>252</v>
      </c>
      <c r="E196" s="93">
        <v>36636</v>
      </c>
      <c r="F196" s="94">
        <f t="shared" ca="1" si="9"/>
        <v>16</v>
      </c>
      <c r="G196" s="95" t="s">
        <v>257</v>
      </c>
      <c r="H196" s="96">
        <v>85130</v>
      </c>
      <c r="I196" s="97">
        <v>5</v>
      </c>
    </row>
    <row r="197" spans="1:9" ht="13.5">
      <c r="A197" s="91" t="s">
        <v>456</v>
      </c>
      <c r="B197" s="92" t="s">
        <v>251</v>
      </c>
      <c r="C197" s="91" t="s">
        <v>456</v>
      </c>
      <c r="D197" s="91" t="s">
        <v>247</v>
      </c>
      <c r="E197" s="93">
        <v>38953</v>
      </c>
      <c r="F197" s="94">
        <f t="shared" ca="1" si="9"/>
        <v>10</v>
      </c>
      <c r="G197" s="95" t="s">
        <v>267</v>
      </c>
      <c r="H197" s="96">
        <v>71190</v>
      </c>
      <c r="I197" s="97">
        <v>4</v>
      </c>
    </row>
    <row r="198" spans="1:9" ht="13.5">
      <c r="A198" s="98" t="s">
        <v>1046</v>
      </c>
      <c r="B198" s="92"/>
      <c r="C198" s="98"/>
      <c r="D198" s="91"/>
      <c r="E198" s="93"/>
      <c r="F198" s="94"/>
      <c r="G198" s="95"/>
      <c r="H198" s="96"/>
      <c r="I198" s="97"/>
    </row>
    <row r="199" spans="1:9" ht="13.5">
      <c r="A199" s="91" t="s">
        <v>465</v>
      </c>
      <c r="B199" s="92" t="s">
        <v>285</v>
      </c>
      <c r="C199" s="91" t="s">
        <v>465</v>
      </c>
      <c r="D199" s="91" t="s">
        <v>256</v>
      </c>
      <c r="E199" s="93">
        <v>32303</v>
      </c>
      <c r="F199" s="94">
        <f t="shared" ref="F199:F262" ca="1" si="10">DATEDIF(E199,TODAY(),"Y")</f>
        <v>28</v>
      </c>
      <c r="G199" s="95" t="s">
        <v>586</v>
      </c>
      <c r="H199" s="96">
        <v>56900</v>
      </c>
      <c r="I199" s="97">
        <v>5</v>
      </c>
    </row>
    <row r="200" spans="1:9" ht="13.5">
      <c r="A200" s="91" t="s">
        <v>465</v>
      </c>
      <c r="B200" s="92" t="s">
        <v>271</v>
      </c>
      <c r="C200" s="91" t="s">
        <v>465</v>
      </c>
      <c r="D200" s="91" t="s">
        <v>256</v>
      </c>
      <c r="E200" s="93">
        <v>32321</v>
      </c>
      <c r="F200" s="94">
        <f t="shared" ca="1" si="10"/>
        <v>28</v>
      </c>
      <c r="G200" s="95" t="s">
        <v>257</v>
      </c>
      <c r="H200" s="96">
        <v>52940</v>
      </c>
      <c r="I200" s="97">
        <v>4</v>
      </c>
    </row>
    <row r="201" spans="1:9" ht="13.5">
      <c r="A201" s="91" t="s">
        <v>465</v>
      </c>
      <c r="B201" s="92" t="s">
        <v>271</v>
      </c>
      <c r="C201" s="91" t="s">
        <v>465</v>
      </c>
      <c r="D201" s="91" t="s">
        <v>256</v>
      </c>
      <c r="E201" s="93">
        <v>32338</v>
      </c>
      <c r="F201" s="94">
        <f t="shared" ca="1" si="10"/>
        <v>28</v>
      </c>
      <c r="G201" s="95" t="s">
        <v>276</v>
      </c>
      <c r="H201" s="96">
        <v>60380</v>
      </c>
      <c r="I201" s="97">
        <v>4</v>
      </c>
    </row>
    <row r="202" spans="1:9" ht="13.5">
      <c r="A202" s="91" t="s">
        <v>465</v>
      </c>
      <c r="B202" s="92" t="s">
        <v>245</v>
      </c>
      <c r="C202" s="91" t="s">
        <v>465</v>
      </c>
      <c r="D202" s="91" t="s">
        <v>256</v>
      </c>
      <c r="E202" s="93">
        <v>32410</v>
      </c>
      <c r="F202" s="94">
        <f t="shared" ca="1" si="10"/>
        <v>28</v>
      </c>
      <c r="G202" s="95" t="s">
        <v>283</v>
      </c>
      <c r="H202" s="96">
        <v>58910</v>
      </c>
      <c r="I202" s="97">
        <v>1</v>
      </c>
    </row>
    <row r="203" spans="1:9" ht="13.5">
      <c r="A203" s="91" t="s">
        <v>465</v>
      </c>
      <c r="B203" s="92" t="s">
        <v>271</v>
      </c>
      <c r="C203" s="91" t="s">
        <v>465</v>
      </c>
      <c r="D203" s="91" t="s">
        <v>256</v>
      </c>
      <c r="E203" s="93">
        <v>32411</v>
      </c>
      <c r="F203" s="94">
        <f t="shared" ca="1" si="10"/>
        <v>28</v>
      </c>
      <c r="G203" s="95" t="s">
        <v>283</v>
      </c>
      <c r="H203" s="96">
        <v>26190</v>
      </c>
      <c r="I203" s="97">
        <v>5</v>
      </c>
    </row>
    <row r="204" spans="1:9" ht="13.5">
      <c r="A204" s="91" t="s">
        <v>465</v>
      </c>
      <c r="B204" s="92" t="s">
        <v>280</v>
      </c>
      <c r="C204" s="91" t="s">
        <v>465</v>
      </c>
      <c r="D204" s="91" t="s">
        <v>252</v>
      </c>
      <c r="E204" s="93">
        <v>32441</v>
      </c>
      <c r="F204" s="94">
        <f t="shared" ca="1" si="10"/>
        <v>28</v>
      </c>
      <c r="G204" s="95"/>
      <c r="H204" s="96">
        <v>22344</v>
      </c>
      <c r="I204" s="97">
        <v>4</v>
      </c>
    </row>
    <row r="205" spans="1:9" ht="13.5">
      <c r="A205" s="91" t="s">
        <v>465</v>
      </c>
      <c r="B205" s="92" t="s">
        <v>285</v>
      </c>
      <c r="C205" s="91" t="s">
        <v>465</v>
      </c>
      <c r="D205" s="91" t="s">
        <v>247</v>
      </c>
      <c r="E205" s="93">
        <v>32464</v>
      </c>
      <c r="F205" s="94">
        <f t="shared" ca="1" si="10"/>
        <v>27</v>
      </c>
      <c r="G205" s="95"/>
      <c r="H205" s="96">
        <v>32190</v>
      </c>
      <c r="I205" s="97">
        <v>3</v>
      </c>
    </row>
    <row r="206" spans="1:9" ht="13.5">
      <c r="A206" s="91" t="s">
        <v>465</v>
      </c>
      <c r="B206" s="92" t="s">
        <v>271</v>
      </c>
      <c r="C206" s="91" t="s">
        <v>465</v>
      </c>
      <c r="D206" s="91" t="s">
        <v>247</v>
      </c>
      <c r="E206" s="93">
        <v>32509</v>
      </c>
      <c r="F206" s="94">
        <f t="shared" ca="1" si="10"/>
        <v>27</v>
      </c>
      <c r="G206" s="95"/>
      <c r="H206" s="96">
        <v>49530</v>
      </c>
      <c r="I206" s="97">
        <v>2</v>
      </c>
    </row>
    <row r="207" spans="1:9" ht="13.5">
      <c r="A207" s="91" t="s">
        <v>465</v>
      </c>
      <c r="B207" s="92" t="s">
        <v>271</v>
      </c>
      <c r="C207" s="91" t="s">
        <v>465</v>
      </c>
      <c r="D207" s="91" t="s">
        <v>247</v>
      </c>
      <c r="E207" s="93">
        <v>32669</v>
      </c>
      <c r="F207" s="94">
        <f t="shared" ca="1" si="10"/>
        <v>27</v>
      </c>
      <c r="G207" s="95"/>
      <c r="H207" s="96">
        <v>73990</v>
      </c>
      <c r="I207" s="97">
        <v>3</v>
      </c>
    </row>
    <row r="208" spans="1:9" ht="13.5">
      <c r="A208" s="91" t="s">
        <v>465</v>
      </c>
      <c r="B208" s="92" t="s">
        <v>271</v>
      </c>
      <c r="C208" s="91" t="s">
        <v>465</v>
      </c>
      <c r="D208" s="91" t="s">
        <v>256</v>
      </c>
      <c r="E208" s="93">
        <v>32683</v>
      </c>
      <c r="F208" s="94">
        <f t="shared" ca="1" si="10"/>
        <v>27</v>
      </c>
      <c r="G208" s="95" t="s">
        <v>283</v>
      </c>
      <c r="H208" s="96">
        <v>45500</v>
      </c>
      <c r="I208" s="97">
        <v>3</v>
      </c>
    </row>
    <row r="209" spans="1:9" ht="13.5">
      <c r="A209" s="91" t="s">
        <v>465</v>
      </c>
      <c r="B209" s="92" t="s">
        <v>251</v>
      </c>
      <c r="C209" s="91" t="s">
        <v>465</v>
      </c>
      <c r="D209" s="91" t="s">
        <v>247</v>
      </c>
      <c r="E209" s="93">
        <v>32721</v>
      </c>
      <c r="F209" s="94">
        <f t="shared" ca="1" si="10"/>
        <v>27</v>
      </c>
      <c r="G209" s="95"/>
      <c r="H209" s="96">
        <v>64430</v>
      </c>
      <c r="I209" s="97">
        <v>4</v>
      </c>
    </row>
    <row r="210" spans="1:9" ht="13.5">
      <c r="A210" s="91" t="s">
        <v>465</v>
      </c>
      <c r="B210" s="92" t="s">
        <v>245</v>
      </c>
      <c r="C210" s="91" t="s">
        <v>465</v>
      </c>
      <c r="D210" s="91" t="s">
        <v>247</v>
      </c>
      <c r="E210" s="93">
        <v>32743</v>
      </c>
      <c r="F210" s="94">
        <f t="shared" ca="1" si="10"/>
        <v>27</v>
      </c>
      <c r="G210" s="95"/>
      <c r="H210" s="96">
        <v>79220</v>
      </c>
      <c r="I210" s="97">
        <v>4</v>
      </c>
    </row>
    <row r="211" spans="1:9" ht="13.5">
      <c r="A211" s="91" t="s">
        <v>465</v>
      </c>
      <c r="B211" s="92" t="s">
        <v>280</v>
      </c>
      <c r="C211" s="91" t="s">
        <v>465</v>
      </c>
      <c r="D211" s="91" t="s">
        <v>256</v>
      </c>
      <c r="E211" s="93">
        <v>32758</v>
      </c>
      <c r="F211" s="94">
        <f t="shared" ca="1" si="10"/>
        <v>27</v>
      </c>
      <c r="G211" s="95" t="s">
        <v>283</v>
      </c>
      <c r="H211" s="96">
        <v>23330</v>
      </c>
      <c r="I211" s="97">
        <v>4</v>
      </c>
    </row>
    <row r="212" spans="1:9" ht="13.5">
      <c r="A212" s="91" t="s">
        <v>465</v>
      </c>
      <c r="B212" s="92" t="s">
        <v>271</v>
      </c>
      <c r="C212" s="91" t="s">
        <v>465</v>
      </c>
      <c r="D212" s="91" t="s">
        <v>247</v>
      </c>
      <c r="E212" s="93">
        <v>32839</v>
      </c>
      <c r="F212" s="94">
        <f t="shared" ca="1" si="10"/>
        <v>26</v>
      </c>
      <c r="G212" s="95"/>
      <c r="H212" s="96">
        <v>45770</v>
      </c>
      <c r="I212" s="97">
        <v>5</v>
      </c>
    </row>
    <row r="213" spans="1:9" ht="13.5">
      <c r="A213" s="91" t="s">
        <v>465</v>
      </c>
      <c r="B213" s="92" t="s">
        <v>271</v>
      </c>
      <c r="C213" s="91" t="s">
        <v>465</v>
      </c>
      <c r="D213" s="91" t="s">
        <v>256</v>
      </c>
      <c r="E213" s="93">
        <v>32841</v>
      </c>
      <c r="F213" s="94">
        <f t="shared" ca="1" si="10"/>
        <v>26</v>
      </c>
      <c r="G213" s="95" t="s">
        <v>283</v>
      </c>
      <c r="H213" s="96">
        <v>81980</v>
      </c>
      <c r="I213" s="97">
        <v>2</v>
      </c>
    </row>
    <row r="214" spans="1:9" ht="13.5">
      <c r="A214" s="91" t="s">
        <v>465</v>
      </c>
      <c r="B214" s="92" t="s">
        <v>245</v>
      </c>
      <c r="C214" s="91" t="s">
        <v>465</v>
      </c>
      <c r="D214" s="91" t="s">
        <v>261</v>
      </c>
      <c r="E214" s="93">
        <v>32853</v>
      </c>
      <c r="F214" s="94">
        <f t="shared" ca="1" si="10"/>
        <v>26</v>
      </c>
      <c r="G214" s="95" t="s">
        <v>262</v>
      </c>
      <c r="H214" s="96">
        <v>18895</v>
      </c>
      <c r="I214" s="97">
        <v>4</v>
      </c>
    </row>
    <row r="215" spans="1:9" ht="13.5">
      <c r="A215" s="91" t="s">
        <v>465</v>
      </c>
      <c r="B215" s="92" t="s">
        <v>280</v>
      </c>
      <c r="C215" s="91" t="s">
        <v>465</v>
      </c>
      <c r="D215" s="91" t="s">
        <v>252</v>
      </c>
      <c r="E215" s="93">
        <v>32855</v>
      </c>
      <c r="F215" s="94">
        <f t="shared" ca="1" si="10"/>
        <v>26</v>
      </c>
      <c r="G215" s="95"/>
      <c r="H215" s="96">
        <v>30416</v>
      </c>
      <c r="I215" s="97">
        <v>1</v>
      </c>
    </row>
    <row r="216" spans="1:9" ht="13.5">
      <c r="A216" s="91" t="s">
        <v>465</v>
      </c>
      <c r="B216" s="92" t="s">
        <v>280</v>
      </c>
      <c r="C216" s="91" t="s">
        <v>465</v>
      </c>
      <c r="D216" s="91" t="s">
        <v>247</v>
      </c>
      <c r="E216" s="93">
        <v>32955</v>
      </c>
      <c r="F216" s="94">
        <f t="shared" ca="1" si="10"/>
        <v>26</v>
      </c>
      <c r="G216" s="95"/>
      <c r="H216" s="96">
        <v>35460</v>
      </c>
      <c r="I216" s="97">
        <v>3</v>
      </c>
    </row>
    <row r="217" spans="1:9" ht="13.5">
      <c r="A217" s="91" t="s">
        <v>465</v>
      </c>
      <c r="B217" s="92" t="s">
        <v>271</v>
      </c>
      <c r="C217" s="91" t="s">
        <v>465</v>
      </c>
      <c r="D217" s="91" t="s">
        <v>256</v>
      </c>
      <c r="E217" s="93">
        <v>33094</v>
      </c>
      <c r="F217" s="94">
        <f t="shared" ca="1" si="10"/>
        <v>26</v>
      </c>
      <c r="G217" s="95" t="s">
        <v>283</v>
      </c>
      <c r="H217" s="96">
        <v>24710</v>
      </c>
      <c r="I217" s="97">
        <v>2</v>
      </c>
    </row>
    <row r="218" spans="1:9" ht="13.5">
      <c r="A218" s="91" t="s">
        <v>465</v>
      </c>
      <c r="B218" s="92" t="s">
        <v>271</v>
      </c>
      <c r="C218" s="91" t="s">
        <v>465</v>
      </c>
      <c r="D218" s="91" t="s">
        <v>247</v>
      </c>
      <c r="E218" s="93">
        <v>33115</v>
      </c>
      <c r="F218" s="94">
        <f t="shared" ca="1" si="10"/>
        <v>26</v>
      </c>
      <c r="G218" s="95"/>
      <c r="H218" s="96">
        <v>63310</v>
      </c>
      <c r="I218" s="97">
        <v>3</v>
      </c>
    </row>
    <row r="219" spans="1:9" ht="13.5">
      <c r="A219" s="91" t="s">
        <v>465</v>
      </c>
      <c r="B219" s="92" t="s">
        <v>251</v>
      </c>
      <c r="C219" s="91" t="s">
        <v>465</v>
      </c>
      <c r="D219" s="91" t="s">
        <v>256</v>
      </c>
      <c r="E219" s="93">
        <v>33173</v>
      </c>
      <c r="F219" s="94">
        <f t="shared" ca="1" si="10"/>
        <v>26</v>
      </c>
      <c r="G219" s="95" t="s">
        <v>257</v>
      </c>
      <c r="H219" s="96">
        <v>81010</v>
      </c>
      <c r="I219" s="97">
        <v>4</v>
      </c>
    </row>
    <row r="220" spans="1:9" ht="13.5">
      <c r="A220" s="91" t="s">
        <v>465</v>
      </c>
      <c r="B220" s="92" t="s">
        <v>245</v>
      </c>
      <c r="C220" s="91" t="s">
        <v>465</v>
      </c>
      <c r="D220" s="91" t="s">
        <v>256</v>
      </c>
      <c r="E220" s="93">
        <v>33231</v>
      </c>
      <c r="F220" s="94">
        <f t="shared" ca="1" si="10"/>
        <v>25</v>
      </c>
      <c r="G220" s="95" t="s">
        <v>276</v>
      </c>
      <c r="H220" s="96">
        <v>34480</v>
      </c>
      <c r="I220" s="97">
        <v>3</v>
      </c>
    </row>
    <row r="221" spans="1:9" ht="13.5">
      <c r="A221" s="91" t="s">
        <v>465</v>
      </c>
      <c r="B221" s="92" t="s">
        <v>251</v>
      </c>
      <c r="C221" s="91" t="s">
        <v>465</v>
      </c>
      <c r="D221" s="91" t="s">
        <v>261</v>
      </c>
      <c r="E221" s="93">
        <v>33273</v>
      </c>
      <c r="F221" s="94">
        <f t="shared" ca="1" si="10"/>
        <v>25</v>
      </c>
      <c r="G221" s="95" t="s">
        <v>262</v>
      </c>
      <c r="H221" s="96">
        <v>15260</v>
      </c>
      <c r="I221" s="97">
        <v>2</v>
      </c>
    </row>
    <row r="222" spans="1:9" ht="13.5">
      <c r="A222" s="91" t="s">
        <v>465</v>
      </c>
      <c r="B222" s="92" t="s">
        <v>266</v>
      </c>
      <c r="C222" s="91" t="s">
        <v>465</v>
      </c>
      <c r="D222" s="91" t="s">
        <v>247</v>
      </c>
      <c r="E222" s="93">
        <v>33361</v>
      </c>
      <c r="F222" s="94">
        <f t="shared" ca="1" si="10"/>
        <v>25</v>
      </c>
      <c r="G222" s="95"/>
      <c r="H222" s="96">
        <v>80690</v>
      </c>
      <c r="I222" s="97">
        <v>3</v>
      </c>
    </row>
    <row r="223" spans="1:9" ht="13.5">
      <c r="A223" s="91" t="s">
        <v>465</v>
      </c>
      <c r="B223" s="92" t="s">
        <v>251</v>
      </c>
      <c r="C223" s="91" t="s">
        <v>465</v>
      </c>
      <c r="D223" s="91" t="s">
        <v>256</v>
      </c>
      <c r="E223" s="93">
        <v>33475</v>
      </c>
      <c r="F223" s="94">
        <f t="shared" ca="1" si="10"/>
        <v>25</v>
      </c>
      <c r="G223" s="95" t="s">
        <v>257</v>
      </c>
      <c r="H223" s="96">
        <v>24300</v>
      </c>
      <c r="I223" s="97">
        <v>3</v>
      </c>
    </row>
    <row r="224" spans="1:9" ht="13.5">
      <c r="A224" s="91" t="s">
        <v>465</v>
      </c>
      <c r="B224" s="92" t="s">
        <v>285</v>
      </c>
      <c r="C224" s="91" t="s">
        <v>465</v>
      </c>
      <c r="D224" s="91" t="s">
        <v>256</v>
      </c>
      <c r="E224" s="93">
        <v>33571</v>
      </c>
      <c r="F224" s="94">
        <f t="shared" ca="1" si="10"/>
        <v>24</v>
      </c>
      <c r="G224" s="95" t="s">
        <v>262</v>
      </c>
      <c r="H224" s="96">
        <v>63070</v>
      </c>
      <c r="I224" s="97">
        <v>1</v>
      </c>
    </row>
    <row r="225" spans="1:9" ht="13.5">
      <c r="A225" s="91" t="s">
        <v>465</v>
      </c>
      <c r="B225" s="92" t="s">
        <v>285</v>
      </c>
      <c r="C225" s="91" t="s">
        <v>465</v>
      </c>
      <c r="D225" s="91" t="s">
        <v>256</v>
      </c>
      <c r="E225" s="93">
        <v>33661</v>
      </c>
      <c r="F225" s="94">
        <f t="shared" ca="1" si="10"/>
        <v>24</v>
      </c>
      <c r="G225" s="95" t="s">
        <v>283</v>
      </c>
      <c r="H225" s="96">
        <v>67050</v>
      </c>
      <c r="I225" s="97">
        <v>4</v>
      </c>
    </row>
    <row r="226" spans="1:9" ht="13.5">
      <c r="A226" s="91" t="s">
        <v>465</v>
      </c>
      <c r="B226" s="92" t="s">
        <v>245</v>
      </c>
      <c r="C226" s="91" t="s">
        <v>465</v>
      </c>
      <c r="D226" s="91" t="s">
        <v>256</v>
      </c>
      <c r="E226" s="93">
        <v>33710</v>
      </c>
      <c r="F226" s="94">
        <f t="shared" ca="1" si="10"/>
        <v>24</v>
      </c>
      <c r="G226" s="95" t="s">
        <v>262</v>
      </c>
      <c r="H226" s="96">
        <v>38940</v>
      </c>
      <c r="I226" s="97">
        <v>2</v>
      </c>
    </row>
    <row r="227" spans="1:9" ht="13.5">
      <c r="A227" s="91" t="s">
        <v>465</v>
      </c>
      <c r="B227" s="92" t="s">
        <v>285</v>
      </c>
      <c r="C227" s="91" t="s">
        <v>465</v>
      </c>
      <c r="D227" s="91" t="s">
        <v>256</v>
      </c>
      <c r="E227" s="93">
        <v>33714</v>
      </c>
      <c r="F227" s="94">
        <f t="shared" ca="1" si="10"/>
        <v>24</v>
      </c>
      <c r="G227" s="95" t="s">
        <v>283</v>
      </c>
      <c r="H227" s="96">
        <v>73072</v>
      </c>
      <c r="I227" s="97">
        <v>5</v>
      </c>
    </row>
    <row r="228" spans="1:9" ht="13.5">
      <c r="A228" s="91" t="s">
        <v>465</v>
      </c>
      <c r="B228" s="92" t="s">
        <v>271</v>
      </c>
      <c r="C228" s="91" t="s">
        <v>465</v>
      </c>
      <c r="D228" s="91" t="s">
        <v>256</v>
      </c>
      <c r="E228" s="93">
        <v>33846</v>
      </c>
      <c r="F228" s="94">
        <f t="shared" ca="1" si="10"/>
        <v>24</v>
      </c>
      <c r="G228" s="95" t="s">
        <v>283</v>
      </c>
      <c r="H228" s="96">
        <v>86260</v>
      </c>
      <c r="I228" s="97">
        <v>3</v>
      </c>
    </row>
    <row r="229" spans="1:9" ht="13.5">
      <c r="A229" s="91" t="s">
        <v>465</v>
      </c>
      <c r="B229" s="92" t="s">
        <v>285</v>
      </c>
      <c r="C229" s="91" t="s">
        <v>465</v>
      </c>
      <c r="D229" s="91" t="s">
        <v>247</v>
      </c>
      <c r="E229" s="93">
        <v>33875</v>
      </c>
      <c r="F229" s="94">
        <f t="shared" ca="1" si="10"/>
        <v>24</v>
      </c>
      <c r="G229" s="95"/>
      <c r="H229" s="96">
        <v>24410</v>
      </c>
      <c r="I229" s="97">
        <v>3</v>
      </c>
    </row>
    <row r="230" spans="1:9" ht="13.5">
      <c r="A230" s="91" t="s">
        <v>465</v>
      </c>
      <c r="B230" s="92" t="s">
        <v>271</v>
      </c>
      <c r="C230" s="91" t="s">
        <v>465</v>
      </c>
      <c r="D230" s="91" t="s">
        <v>256</v>
      </c>
      <c r="E230" s="93">
        <v>33878</v>
      </c>
      <c r="F230" s="94">
        <f t="shared" ca="1" si="10"/>
        <v>24</v>
      </c>
      <c r="G230" s="95" t="s">
        <v>283</v>
      </c>
      <c r="H230" s="96">
        <v>44270</v>
      </c>
      <c r="I230" s="97">
        <v>2</v>
      </c>
    </row>
    <row r="231" spans="1:9" ht="13.5">
      <c r="A231" s="91" t="s">
        <v>465</v>
      </c>
      <c r="B231" s="92" t="s">
        <v>285</v>
      </c>
      <c r="C231" s="91" t="s">
        <v>465</v>
      </c>
      <c r="D231" s="91" t="s">
        <v>261</v>
      </c>
      <c r="E231" s="93">
        <v>33879</v>
      </c>
      <c r="F231" s="94">
        <f t="shared" ca="1" si="10"/>
        <v>24</v>
      </c>
      <c r="G231" s="95" t="s">
        <v>257</v>
      </c>
      <c r="H231" s="96">
        <v>46285</v>
      </c>
      <c r="I231" s="97">
        <v>5</v>
      </c>
    </row>
    <row r="232" spans="1:9" ht="13.5">
      <c r="A232" s="91" t="s">
        <v>465</v>
      </c>
      <c r="B232" s="92" t="s">
        <v>285</v>
      </c>
      <c r="C232" s="91" t="s">
        <v>465</v>
      </c>
      <c r="D232" s="91" t="s">
        <v>256</v>
      </c>
      <c r="E232" s="93">
        <v>33889</v>
      </c>
      <c r="F232" s="94">
        <f t="shared" ca="1" si="10"/>
        <v>24</v>
      </c>
      <c r="G232" s="95" t="s">
        <v>257</v>
      </c>
      <c r="H232" s="96">
        <v>73450</v>
      </c>
      <c r="I232" s="97">
        <v>3</v>
      </c>
    </row>
    <row r="233" spans="1:9" ht="13.5">
      <c r="A233" s="91" t="s">
        <v>465</v>
      </c>
      <c r="B233" s="92" t="s">
        <v>251</v>
      </c>
      <c r="C233" s="91" t="s">
        <v>465</v>
      </c>
      <c r="D233" s="91" t="s">
        <v>256</v>
      </c>
      <c r="E233" s="93">
        <v>34001</v>
      </c>
      <c r="F233" s="94">
        <f t="shared" ca="1" si="10"/>
        <v>23</v>
      </c>
      <c r="G233" s="95" t="s">
        <v>267</v>
      </c>
      <c r="H233" s="96">
        <v>39520</v>
      </c>
      <c r="I233" s="97">
        <v>5</v>
      </c>
    </row>
    <row r="234" spans="1:9" ht="13.5">
      <c r="A234" s="91" t="s">
        <v>465</v>
      </c>
      <c r="B234" s="92" t="s">
        <v>251</v>
      </c>
      <c r="C234" s="91" t="s">
        <v>465</v>
      </c>
      <c r="D234" s="91" t="s">
        <v>261</v>
      </c>
      <c r="E234" s="93">
        <v>34033</v>
      </c>
      <c r="F234" s="94">
        <f t="shared" ca="1" si="10"/>
        <v>23</v>
      </c>
      <c r="G234" s="95" t="s">
        <v>257</v>
      </c>
      <c r="H234" s="96">
        <v>46645</v>
      </c>
      <c r="I234" s="97">
        <v>5</v>
      </c>
    </row>
    <row r="235" spans="1:9" ht="13.5">
      <c r="A235" s="91" t="s">
        <v>465</v>
      </c>
      <c r="B235" s="92" t="s">
        <v>271</v>
      </c>
      <c r="C235" s="91" t="s">
        <v>465</v>
      </c>
      <c r="D235" s="91" t="s">
        <v>247</v>
      </c>
      <c r="E235" s="93">
        <v>34039</v>
      </c>
      <c r="F235" s="94">
        <f t="shared" ca="1" si="10"/>
        <v>23</v>
      </c>
      <c r="G235" s="95"/>
      <c r="H235" s="96">
        <v>52940</v>
      </c>
      <c r="I235" s="97">
        <v>4</v>
      </c>
    </row>
    <row r="236" spans="1:9" ht="13.5">
      <c r="A236" s="91" t="s">
        <v>465</v>
      </c>
      <c r="B236" s="92" t="s">
        <v>271</v>
      </c>
      <c r="C236" s="91" t="s">
        <v>465</v>
      </c>
      <c r="D236" s="91" t="s">
        <v>256</v>
      </c>
      <c r="E236" s="93">
        <v>34046</v>
      </c>
      <c r="F236" s="94">
        <f t="shared" ca="1" si="10"/>
        <v>23</v>
      </c>
      <c r="G236" s="95" t="s">
        <v>262</v>
      </c>
      <c r="H236" s="96">
        <v>45480</v>
      </c>
      <c r="I236" s="97">
        <v>4</v>
      </c>
    </row>
    <row r="237" spans="1:9" ht="13.5">
      <c r="A237" s="91" t="s">
        <v>465</v>
      </c>
      <c r="B237" s="92" t="s">
        <v>266</v>
      </c>
      <c r="C237" s="91" t="s">
        <v>465</v>
      </c>
      <c r="D237" s="91" t="s">
        <v>247</v>
      </c>
      <c r="E237" s="93">
        <v>34050</v>
      </c>
      <c r="F237" s="94">
        <f t="shared" ca="1" si="10"/>
        <v>23</v>
      </c>
      <c r="G237" s="95"/>
      <c r="H237" s="96">
        <v>28260</v>
      </c>
      <c r="I237" s="97">
        <v>5</v>
      </c>
    </row>
    <row r="238" spans="1:9" ht="13.5">
      <c r="A238" s="91" t="s">
        <v>465</v>
      </c>
      <c r="B238" s="92" t="s">
        <v>266</v>
      </c>
      <c r="C238" s="91" t="s">
        <v>465</v>
      </c>
      <c r="D238" s="91" t="s">
        <v>256</v>
      </c>
      <c r="E238" s="93">
        <v>34051</v>
      </c>
      <c r="F238" s="94">
        <f t="shared" ca="1" si="10"/>
        <v>23</v>
      </c>
      <c r="G238" s="95" t="s">
        <v>257</v>
      </c>
      <c r="H238" s="96">
        <v>59320</v>
      </c>
      <c r="I238" s="97">
        <v>4</v>
      </c>
    </row>
    <row r="239" spans="1:9" ht="13.5">
      <c r="A239" s="91" t="s">
        <v>465</v>
      </c>
      <c r="B239" s="92" t="s">
        <v>271</v>
      </c>
      <c r="C239" s="91" t="s">
        <v>465</v>
      </c>
      <c r="D239" s="91" t="s">
        <v>247</v>
      </c>
      <c r="E239" s="93">
        <v>34069</v>
      </c>
      <c r="F239" s="94">
        <f t="shared" ca="1" si="10"/>
        <v>23</v>
      </c>
      <c r="G239" s="95"/>
      <c r="H239" s="96">
        <v>66010</v>
      </c>
      <c r="I239" s="97">
        <v>2</v>
      </c>
    </row>
    <row r="240" spans="1:9" ht="13.5">
      <c r="A240" s="91" t="s">
        <v>465</v>
      </c>
      <c r="B240" s="92" t="s">
        <v>271</v>
      </c>
      <c r="C240" s="91" t="s">
        <v>465</v>
      </c>
      <c r="D240" s="91" t="s">
        <v>247</v>
      </c>
      <c r="E240" s="93">
        <v>34141</v>
      </c>
      <c r="F240" s="94">
        <f t="shared" ca="1" si="10"/>
        <v>23</v>
      </c>
      <c r="G240" s="95"/>
      <c r="H240" s="96">
        <v>42150</v>
      </c>
      <c r="I240" s="97">
        <v>5</v>
      </c>
    </row>
    <row r="241" spans="1:9" ht="13.5">
      <c r="A241" s="91" t="s">
        <v>465</v>
      </c>
      <c r="B241" s="92" t="s">
        <v>245</v>
      </c>
      <c r="C241" s="91" t="s">
        <v>465</v>
      </c>
      <c r="D241" s="91" t="s">
        <v>252</v>
      </c>
      <c r="E241" s="93">
        <v>34180</v>
      </c>
      <c r="F241" s="94">
        <f t="shared" ca="1" si="10"/>
        <v>23</v>
      </c>
      <c r="G241" s="95"/>
      <c r="H241" s="96">
        <v>22472</v>
      </c>
      <c r="I241" s="97">
        <v>1</v>
      </c>
    </row>
    <row r="242" spans="1:9" ht="13.5">
      <c r="A242" s="91" t="s">
        <v>465</v>
      </c>
      <c r="B242" s="92" t="s">
        <v>245</v>
      </c>
      <c r="C242" s="91" t="s">
        <v>465</v>
      </c>
      <c r="D242" s="91" t="s">
        <v>256</v>
      </c>
      <c r="E242" s="93">
        <v>34201</v>
      </c>
      <c r="F242" s="94">
        <f t="shared" ca="1" si="10"/>
        <v>23</v>
      </c>
      <c r="G242" s="95" t="s">
        <v>283</v>
      </c>
      <c r="H242" s="96">
        <v>73144</v>
      </c>
      <c r="I242" s="97">
        <v>5</v>
      </c>
    </row>
    <row r="243" spans="1:9" ht="13.5">
      <c r="A243" s="91" t="s">
        <v>465</v>
      </c>
      <c r="B243" s="92" t="s">
        <v>271</v>
      </c>
      <c r="C243" s="91" t="s">
        <v>465</v>
      </c>
      <c r="D243" s="91" t="s">
        <v>256</v>
      </c>
      <c r="E243" s="93">
        <v>34210</v>
      </c>
      <c r="F243" s="94">
        <f t="shared" ca="1" si="10"/>
        <v>23</v>
      </c>
      <c r="G243" s="95" t="s">
        <v>257</v>
      </c>
      <c r="H243" s="96">
        <v>79730</v>
      </c>
      <c r="I243" s="97">
        <v>2</v>
      </c>
    </row>
    <row r="244" spans="1:9" ht="13.5">
      <c r="A244" s="91" t="s">
        <v>465</v>
      </c>
      <c r="B244" s="92" t="s">
        <v>285</v>
      </c>
      <c r="C244" s="91" t="s">
        <v>465</v>
      </c>
      <c r="D244" s="91" t="s">
        <v>256</v>
      </c>
      <c r="E244" s="93">
        <v>34216</v>
      </c>
      <c r="F244" s="94">
        <f t="shared" ca="1" si="10"/>
        <v>23</v>
      </c>
      <c r="G244" s="95" t="s">
        <v>283</v>
      </c>
      <c r="H244" s="96">
        <v>32390</v>
      </c>
      <c r="I244" s="97">
        <v>2</v>
      </c>
    </row>
    <row r="245" spans="1:9" ht="13.5">
      <c r="A245" s="91" t="s">
        <v>465</v>
      </c>
      <c r="B245" s="92" t="s">
        <v>280</v>
      </c>
      <c r="C245" s="91" t="s">
        <v>465</v>
      </c>
      <c r="D245" s="91" t="s">
        <v>256</v>
      </c>
      <c r="E245" s="93">
        <v>34219</v>
      </c>
      <c r="F245" s="94">
        <f t="shared" ca="1" si="10"/>
        <v>23</v>
      </c>
      <c r="G245" s="95" t="s">
        <v>267</v>
      </c>
      <c r="H245" s="96">
        <v>44920</v>
      </c>
      <c r="I245" s="97">
        <v>1</v>
      </c>
    </row>
    <row r="246" spans="1:9" ht="13.5">
      <c r="A246" s="91" t="s">
        <v>465</v>
      </c>
      <c r="B246" s="92" t="s">
        <v>271</v>
      </c>
      <c r="C246" s="91" t="s">
        <v>465</v>
      </c>
      <c r="D246" s="91" t="s">
        <v>256</v>
      </c>
      <c r="E246" s="93">
        <v>34279</v>
      </c>
      <c r="F246" s="94">
        <f t="shared" ca="1" si="10"/>
        <v>23</v>
      </c>
      <c r="G246" s="95" t="s">
        <v>257</v>
      </c>
      <c r="H246" s="96">
        <v>60280</v>
      </c>
      <c r="I246" s="97">
        <v>1</v>
      </c>
    </row>
    <row r="247" spans="1:9" ht="13.5">
      <c r="A247" s="91" t="s">
        <v>465</v>
      </c>
      <c r="B247" s="92" t="s">
        <v>251</v>
      </c>
      <c r="C247" s="91" t="s">
        <v>465</v>
      </c>
      <c r="D247" s="91" t="s">
        <v>256</v>
      </c>
      <c r="E247" s="93">
        <v>34281</v>
      </c>
      <c r="F247" s="94">
        <f t="shared" ca="1" si="10"/>
        <v>23</v>
      </c>
      <c r="G247" s="95" t="s">
        <v>283</v>
      </c>
      <c r="H247" s="96">
        <v>61150</v>
      </c>
      <c r="I247" s="97">
        <v>2</v>
      </c>
    </row>
    <row r="248" spans="1:9" ht="13.5">
      <c r="A248" s="91" t="s">
        <v>465</v>
      </c>
      <c r="B248" s="92" t="s">
        <v>271</v>
      </c>
      <c r="C248" s="91" t="s">
        <v>465</v>
      </c>
      <c r="D248" s="91" t="s">
        <v>256</v>
      </c>
      <c r="E248" s="93">
        <v>34385</v>
      </c>
      <c r="F248" s="94">
        <f t="shared" ca="1" si="10"/>
        <v>22</v>
      </c>
      <c r="G248" s="95" t="s">
        <v>257</v>
      </c>
      <c r="H248" s="96">
        <v>60100</v>
      </c>
      <c r="I248" s="97">
        <v>1</v>
      </c>
    </row>
    <row r="249" spans="1:9" ht="13.5">
      <c r="A249" s="91" t="s">
        <v>465</v>
      </c>
      <c r="B249" s="92" t="s">
        <v>285</v>
      </c>
      <c r="C249" s="91" t="s">
        <v>465</v>
      </c>
      <c r="D249" s="91" t="s">
        <v>256</v>
      </c>
      <c r="E249" s="93">
        <v>34393</v>
      </c>
      <c r="F249" s="94">
        <f t="shared" ca="1" si="10"/>
        <v>22</v>
      </c>
      <c r="G249" s="95" t="s">
        <v>262</v>
      </c>
      <c r="H249" s="96">
        <v>66430</v>
      </c>
      <c r="I249" s="97">
        <v>2</v>
      </c>
    </row>
    <row r="250" spans="1:9" ht="13.5">
      <c r="A250" s="91" t="s">
        <v>465</v>
      </c>
      <c r="B250" s="92" t="s">
        <v>245</v>
      </c>
      <c r="C250" s="91" t="s">
        <v>465</v>
      </c>
      <c r="D250" s="91" t="s">
        <v>256</v>
      </c>
      <c r="E250" s="93">
        <v>34404</v>
      </c>
      <c r="F250" s="94">
        <f t="shared" ca="1" si="10"/>
        <v>22</v>
      </c>
      <c r="G250" s="95" t="s">
        <v>262</v>
      </c>
      <c r="H250" s="96">
        <v>70020</v>
      </c>
      <c r="I250" s="97">
        <v>3</v>
      </c>
    </row>
    <row r="251" spans="1:9" ht="13.5">
      <c r="A251" s="91" t="s">
        <v>465</v>
      </c>
      <c r="B251" s="92" t="s">
        <v>251</v>
      </c>
      <c r="C251" s="91" t="s">
        <v>465</v>
      </c>
      <c r="D251" s="91" t="s">
        <v>256</v>
      </c>
      <c r="E251" s="93">
        <v>34491</v>
      </c>
      <c r="F251" s="94">
        <f t="shared" ca="1" si="10"/>
        <v>22</v>
      </c>
      <c r="G251" s="95" t="s">
        <v>257</v>
      </c>
      <c r="H251" s="96">
        <v>78570</v>
      </c>
      <c r="I251" s="97">
        <v>1</v>
      </c>
    </row>
    <row r="252" spans="1:9" ht="13.5">
      <c r="A252" s="91" t="s">
        <v>465</v>
      </c>
      <c r="B252" s="92" t="s">
        <v>251</v>
      </c>
      <c r="C252" s="91" t="s">
        <v>465</v>
      </c>
      <c r="D252" s="91" t="s">
        <v>261</v>
      </c>
      <c r="E252" s="93">
        <v>34497</v>
      </c>
      <c r="F252" s="94">
        <f t="shared" ca="1" si="10"/>
        <v>22</v>
      </c>
      <c r="G252" s="95" t="s">
        <v>257</v>
      </c>
      <c r="H252" s="96">
        <v>48835</v>
      </c>
      <c r="I252" s="97">
        <v>5</v>
      </c>
    </row>
    <row r="253" spans="1:9" ht="13.5">
      <c r="A253" s="91" t="s">
        <v>465</v>
      </c>
      <c r="B253" s="92" t="s">
        <v>245</v>
      </c>
      <c r="C253" s="91" t="s">
        <v>465</v>
      </c>
      <c r="D253" s="91" t="s">
        <v>252</v>
      </c>
      <c r="E253" s="93">
        <v>34519</v>
      </c>
      <c r="F253" s="94">
        <f t="shared" ca="1" si="10"/>
        <v>22</v>
      </c>
      <c r="G253" s="95"/>
      <c r="H253" s="96">
        <v>29176</v>
      </c>
      <c r="I253" s="97">
        <v>3</v>
      </c>
    </row>
    <row r="254" spans="1:9" ht="13.5">
      <c r="A254" s="91" t="s">
        <v>465</v>
      </c>
      <c r="B254" s="92" t="s">
        <v>266</v>
      </c>
      <c r="C254" s="91" t="s">
        <v>465</v>
      </c>
      <c r="D254" s="91" t="s">
        <v>256</v>
      </c>
      <c r="E254" s="93">
        <v>34520</v>
      </c>
      <c r="F254" s="94">
        <f t="shared" ca="1" si="10"/>
        <v>22</v>
      </c>
      <c r="G254" s="95" t="s">
        <v>267</v>
      </c>
      <c r="H254" s="96">
        <v>35460</v>
      </c>
      <c r="I254" s="97">
        <v>5</v>
      </c>
    </row>
    <row r="255" spans="1:9" ht="13.5">
      <c r="A255" s="91" t="s">
        <v>465</v>
      </c>
      <c r="B255" s="92" t="s">
        <v>251</v>
      </c>
      <c r="C255" s="91" t="s">
        <v>465</v>
      </c>
      <c r="D255" s="91" t="s">
        <v>247</v>
      </c>
      <c r="E255" s="93">
        <v>34617</v>
      </c>
      <c r="F255" s="94">
        <f t="shared" ca="1" si="10"/>
        <v>22</v>
      </c>
      <c r="G255" s="95"/>
      <c r="H255" s="96">
        <v>76910</v>
      </c>
      <c r="I255" s="97">
        <v>1</v>
      </c>
    </row>
    <row r="256" spans="1:9" ht="13.5">
      <c r="A256" s="91" t="s">
        <v>465</v>
      </c>
      <c r="B256" s="92" t="s">
        <v>285</v>
      </c>
      <c r="C256" s="91" t="s">
        <v>465</v>
      </c>
      <c r="D256" s="91" t="s">
        <v>256</v>
      </c>
      <c r="E256" s="93">
        <v>34622</v>
      </c>
      <c r="F256" s="94">
        <f t="shared" ca="1" si="10"/>
        <v>22</v>
      </c>
      <c r="G256" s="95" t="s">
        <v>283</v>
      </c>
      <c r="H256" s="96">
        <v>89740</v>
      </c>
      <c r="I256" s="97">
        <v>5</v>
      </c>
    </row>
    <row r="257" spans="1:9" ht="13.5">
      <c r="A257" s="91" t="s">
        <v>465</v>
      </c>
      <c r="B257" s="92" t="s">
        <v>245</v>
      </c>
      <c r="C257" s="91" t="s">
        <v>465</v>
      </c>
      <c r="D257" s="91" t="s">
        <v>256</v>
      </c>
      <c r="E257" s="93">
        <v>34628</v>
      </c>
      <c r="F257" s="94">
        <f t="shared" ca="1" si="10"/>
        <v>22</v>
      </c>
      <c r="G257" s="95" t="s">
        <v>267</v>
      </c>
      <c r="H257" s="96">
        <v>55450</v>
      </c>
      <c r="I257" s="97">
        <v>5</v>
      </c>
    </row>
    <row r="258" spans="1:9" ht="13.5">
      <c r="A258" s="91" t="s">
        <v>465</v>
      </c>
      <c r="B258" s="92" t="s">
        <v>285</v>
      </c>
      <c r="C258" s="91" t="s">
        <v>465</v>
      </c>
      <c r="D258" s="91" t="s">
        <v>247</v>
      </c>
      <c r="E258" s="93">
        <v>34662</v>
      </c>
      <c r="F258" s="94">
        <f t="shared" ca="1" si="10"/>
        <v>21</v>
      </c>
      <c r="G258" s="95"/>
      <c r="H258" s="96">
        <v>71710</v>
      </c>
      <c r="I258" s="97">
        <v>5</v>
      </c>
    </row>
    <row r="259" spans="1:9" ht="13.5">
      <c r="A259" s="91" t="s">
        <v>465</v>
      </c>
      <c r="B259" s="92" t="s">
        <v>285</v>
      </c>
      <c r="C259" s="91" t="s">
        <v>465</v>
      </c>
      <c r="D259" s="91" t="s">
        <v>252</v>
      </c>
      <c r="E259" s="93">
        <v>34672</v>
      </c>
      <c r="F259" s="94">
        <f t="shared" ca="1" si="10"/>
        <v>21</v>
      </c>
      <c r="G259" s="95"/>
      <c r="H259" s="96">
        <v>8904</v>
      </c>
      <c r="I259" s="97">
        <v>3</v>
      </c>
    </row>
    <row r="260" spans="1:9" ht="13.5">
      <c r="A260" s="91" t="s">
        <v>465</v>
      </c>
      <c r="B260" s="92" t="s">
        <v>271</v>
      </c>
      <c r="C260" s="91" t="s">
        <v>465</v>
      </c>
      <c r="D260" s="91" t="s">
        <v>247</v>
      </c>
      <c r="E260" s="93">
        <v>34682</v>
      </c>
      <c r="F260" s="94">
        <f t="shared" ca="1" si="10"/>
        <v>21</v>
      </c>
      <c r="G260" s="95"/>
      <c r="H260" s="96">
        <v>68260</v>
      </c>
      <c r="I260" s="97">
        <v>5</v>
      </c>
    </row>
    <row r="261" spans="1:9" ht="13.5">
      <c r="A261" s="91" t="s">
        <v>465</v>
      </c>
      <c r="B261" s="92" t="s">
        <v>271</v>
      </c>
      <c r="C261" s="91" t="s">
        <v>465</v>
      </c>
      <c r="D261" s="91" t="s">
        <v>256</v>
      </c>
      <c r="E261" s="93">
        <v>34686</v>
      </c>
      <c r="F261" s="94">
        <f t="shared" ca="1" si="10"/>
        <v>21</v>
      </c>
      <c r="G261" s="95" t="s">
        <v>257</v>
      </c>
      <c r="H261" s="96">
        <v>40340</v>
      </c>
      <c r="I261" s="97">
        <v>2</v>
      </c>
    </row>
    <row r="262" spans="1:9" ht="13.5">
      <c r="A262" s="91" t="s">
        <v>465</v>
      </c>
      <c r="B262" s="92" t="s">
        <v>285</v>
      </c>
      <c r="C262" s="91" t="s">
        <v>465</v>
      </c>
      <c r="D262" s="91" t="s">
        <v>247</v>
      </c>
      <c r="E262" s="93">
        <v>34687</v>
      </c>
      <c r="F262" s="94">
        <f t="shared" ca="1" si="10"/>
        <v>21</v>
      </c>
      <c r="G262" s="95"/>
      <c r="H262" s="96">
        <v>72520</v>
      </c>
      <c r="I262" s="97">
        <v>3</v>
      </c>
    </row>
    <row r="263" spans="1:9" ht="13.5">
      <c r="A263" s="91" t="s">
        <v>465</v>
      </c>
      <c r="B263" s="92" t="s">
        <v>271</v>
      </c>
      <c r="C263" s="91" t="s">
        <v>465</v>
      </c>
      <c r="D263" s="91" t="s">
        <v>256</v>
      </c>
      <c r="E263" s="93">
        <v>34699</v>
      </c>
      <c r="F263" s="94">
        <f t="shared" ref="F263:F326" ca="1" si="11">DATEDIF(E263,TODAY(),"Y")</f>
        <v>21</v>
      </c>
      <c r="G263" s="95" t="s">
        <v>257</v>
      </c>
      <c r="H263" s="96">
        <v>75120</v>
      </c>
      <c r="I263" s="97">
        <v>5</v>
      </c>
    </row>
    <row r="264" spans="1:9" ht="13.5">
      <c r="A264" s="91" t="s">
        <v>465</v>
      </c>
      <c r="B264" s="92" t="s">
        <v>280</v>
      </c>
      <c r="C264" s="91" t="s">
        <v>465</v>
      </c>
      <c r="D264" s="91" t="s">
        <v>247</v>
      </c>
      <c r="E264" s="93">
        <v>34701</v>
      </c>
      <c r="F264" s="94">
        <f t="shared" ca="1" si="11"/>
        <v>21</v>
      </c>
      <c r="G264" s="95"/>
      <c r="H264" s="96">
        <v>45050</v>
      </c>
      <c r="I264" s="97">
        <v>1</v>
      </c>
    </row>
    <row r="265" spans="1:9" ht="13.5">
      <c r="A265" s="91" t="s">
        <v>465</v>
      </c>
      <c r="B265" s="92" t="s">
        <v>280</v>
      </c>
      <c r="C265" s="91" t="s">
        <v>465</v>
      </c>
      <c r="D265" s="91" t="s">
        <v>252</v>
      </c>
      <c r="E265" s="93">
        <v>34757</v>
      </c>
      <c r="F265" s="94">
        <f t="shared" ca="1" si="11"/>
        <v>21</v>
      </c>
      <c r="G265" s="95"/>
      <c r="H265" s="96">
        <v>37612</v>
      </c>
      <c r="I265" s="97">
        <v>4</v>
      </c>
    </row>
    <row r="266" spans="1:9" ht="13.5">
      <c r="A266" s="91" t="s">
        <v>465</v>
      </c>
      <c r="B266" s="92" t="s">
        <v>280</v>
      </c>
      <c r="C266" s="91" t="s">
        <v>465</v>
      </c>
      <c r="D266" s="91" t="s">
        <v>252</v>
      </c>
      <c r="E266" s="93">
        <v>34757</v>
      </c>
      <c r="F266" s="94">
        <f t="shared" ca="1" si="11"/>
        <v>21</v>
      </c>
      <c r="G266" s="95"/>
      <c r="H266" s="96">
        <v>37612</v>
      </c>
      <c r="I266" s="97">
        <v>4</v>
      </c>
    </row>
    <row r="267" spans="1:9" ht="13.5">
      <c r="A267" s="91" t="s">
        <v>465</v>
      </c>
      <c r="B267" s="92" t="s">
        <v>280</v>
      </c>
      <c r="C267" s="91" t="s">
        <v>465</v>
      </c>
      <c r="D267" s="91" t="s">
        <v>256</v>
      </c>
      <c r="E267" s="93">
        <v>34774</v>
      </c>
      <c r="F267" s="94">
        <f t="shared" ca="1" si="11"/>
        <v>21</v>
      </c>
      <c r="G267" s="95" t="s">
        <v>257</v>
      </c>
      <c r="H267" s="96">
        <v>33210</v>
      </c>
      <c r="I267" s="97">
        <v>4</v>
      </c>
    </row>
    <row r="268" spans="1:9" ht="13.5">
      <c r="A268" s="91" t="s">
        <v>465</v>
      </c>
      <c r="B268" s="92" t="s">
        <v>271</v>
      </c>
      <c r="C268" s="91" t="s">
        <v>465</v>
      </c>
      <c r="D268" s="91" t="s">
        <v>256</v>
      </c>
      <c r="E268" s="93">
        <v>34791</v>
      </c>
      <c r="F268" s="94">
        <f t="shared" ca="1" si="11"/>
        <v>21</v>
      </c>
      <c r="G268" s="95" t="s">
        <v>257</v>
      </c>
      <c r="H268" s="96">
        <v>88240</v>
      </c>
      <c r="I268" s="97">
        <v>5</v>
      </c>
    </row>
    <row r="269" spans="1:9" ht="13.5">
      <c r="A269" s="91" t="s">
        <v>465</v>
      </c>
      <c r="B269" s="92" t="s">
        <v>245</v>
      </c>
      <c r="C269" s="91" t="s">
        <v>465</v>
      </c>
      <c r="D269" s="91" t="s">
        <v>256</v>
      </c>
      <c r="E269" s="93">
        <v>34812</v>
      </c>
      <c r="F269" s="94">
        <f t="shared" ca="1" si="11"/>
        <v>21</v>
      </c>
      <c r="G269" s="95" t="s">
        <v>262</v>
      </c>
      <c r="H269" s="96">
        <v>22660</v>
      </c>
      <c r="I269" s="97">
        <v>2</v>
      </c>
    </row>
    <row r="270" spans="1:9" ht="13.5">
      <c r="A270" s="91" t="s">
        <v>465</v>
      </c>
      <c r="B270" s="92" t="s">
        <v>271</v>
      </c>
      <c r="C270" s="91" t="s">
        <v>465</v>
      </c>
      <c r="D270" s="91" t="s">
        <v>261</v>
      </c>
      <c r="E270" s="93">
        <v>34867</v>
      </c>
      <c r="F270" s="94">
        <f t="shared" ca="1" si="11"/>
        <v>21</v>
      </c>
      <c r="G270" s="95" t="s">
        <v>267</v>
      </c>
      <c r="H270" s="96">
        <v>21670</v>
      </c>
      <c r="I270" s="97">
        <v>2</v>
      </c>
    </row>
    <row r="271" spans="1:9" ht="13.5">
      <c r="A271" s="91" t="s">
        <v>465</v>
      </c>
      <c r="B271" s="92" t="s">
        <v>251</v>
      </c>
      <c r="C271" s="91" t="s">
        <v>465</v>
      </c>
      <c r="D271" s="91" t="s">
        <v>256</v>
      </c>
      <c r="E271" s="93">
        <v>34888</v>
      </c>
      <c r="F271" s="94">
        <f t="shared" ca="1" si="11"/>
        <v>21</v>
      </c>
      <c r="G271" s="95" t="s">
        <v>276</v>
      </c>
      <c r="H271" s="96">
        <v>81400</v>
      </c>
      <c r="I271" s="97">
        <v>2</v>
      </c>
    </row>
    <row r="272" spans="1:9" ht="13.5">
      <c r="A272" s="91" t="s">
        <v>465</v>
      </c>
      <c r="B272" s="92" t="s">
        <v>271</v>
      </c>
      <c r="C272" s="91" t="s">
        <v>465</v>
      </c>
      <c r="D272" s="91" t="s">
        <v>261</v>
      </c>
      <c r="E272" s="93">
        <v>34959</v>
      </c>
      <c r="F272" s="94">
        <f t="shared" ca="1" si="11"/>
        <v>21</v>
      </c>
      <c r="G272" s="95" t="s">
        <v>283</v>
      </c>
      <c r="H272" s="96">
        <v>48190</v>
      </c>
      <c r="I272" s="97">
        <v>1</v>
      </c>
    </row>
    <row r="273" spans="1:9" ht="13.5">
      <c r="A273" s="91" t="s">
        <v>465</v>
      </c>
      <c r="B273" s="92" t="s">
        <v>271</v>
      </c>
      <c r="C273" s="91" t="s">
        <v>465</v>
      </c>
      <c r="D273" s="91" t="s">
        <v>261</v>
      </c>
      <c r="E273" s="93">
        <v>34959</v>
      </c>
      <c r="F273" s="94">
        <f t="shared" ca="1" si="11"/>
        <v>21</v>
      </c>
      <c r="G273" s="95" t="s">
        <v>283</v>
      </c>
      <c r="H273" s="96">
        <v>48190</v>
      </c>
      <c r="I273" s="97">
        <v>1</v>
      </c>
    </row>
    <row r="274" spans="1:9" ht="13.5">
      <c r="A274" s="91" t="s">
        <v>465</v>
      </c>
      <c r="B274" s="92" t="s">
        <v>271</v>
      </c>
      <c r="C274" s="91" t="s">
        <v>465</v>
      </c>
      <c r="D274" s="91" t="s">
        <v>256</v>
      </c>
      <c r="E274" s="93">
        <v>34963</v>
      </c>
      <c r="F274" s="94">
        <f t="shared" ca="1" si="11"/>
        <v>21</v>
      </c>
      <c r="G274" s="95" t="s">
        <v>283</v>
      </c>
      <c r="H274" s="96">
        <v>61330</v>
      </c>
      <c r="I274" s="97">
        <v>4</v>
      </c>
    </row>
    <row r="275" spans="1:9" ht="13.5">
      <c r="A275" s="91" t="s">
        <v>465</v>
      </c>
      <c r="B275" s="92" t="s">
        <v>280</v>
      </c>
      <c r="C275" s="91" t="s">
        <v>465</v>
      </c>
      <c r="D275" s="91" t="s">
        <v>247</v>
      </c>
      <c r="E275" s="93">
        <v>34973</v>
      </c>
      <c r="F275" s="94">
        <f t="shared" ca="1" si="11"/>
        <v>21</v>
      </c>
      <c r="G275" s="95"/>
      <c r="H275" s="96">
        <v>25130</v>
      </c>
      <c r="I275" s="97">
        <v>5</v>
      </c>
    </row>
    <row r="276" spans="1:9" ht="13.5">
      <c r="A276" s="91" t="s">
        <v>465</v>
      </c>
      <c r="B276" s="92" t="s">
        <v>271</v>
      </c>
      <c r="C276" s="91" t="s">
        <v>465</v>
      </c>
      <c r="D276" s="91" t="s">
        <v>252</v>
      </c>
      <c r="E276" s="93">
        <v>34995</v>
      </c>
      <c r="F276" s="94">
        <f t="shared" ca="1" si="11"/>
        <v>21</v>
      </c>
      <c r="G276" s="95"/>
      <c r="H276" s="96">
        <v>9424</v>
      </c>
      <c r="I276" s="97">
        <v>4</v>
      </c>
    </row>
    <row r="277" spans="1:9" ht="13.5">
      <c r="A277" s="91" t="s">
        <v>465</v>
      </c>
      <c r="B277" s="92" t="s">
        <v>285</v>
      </c>
      <c r="C277" s="91" t="s">
        <v>465</v>
      </c>
      <c r="D277" s="91" t="s">
        <v>256</v>
      </c>
      <c r="E277" s="93">
        <v>35008</v>
      </c>
      <c r="F277" s="94">
        <f t="shared" ca="1" si="11"/>
        <v>21</v>
      </c>
      <c r="G277" s="95" t="s">
        <v>283</v>
      </c>
      <c r="H277" s="96">
        <v>68750</v>
      </c>
      <c r="I277" s="97">
        <v>1</v>
      </c>
    </row>
    <row r="278" spans="1:9" ht="13.5">
      <c r="A278" s="91" t="s">
        <v>465</v>
      </c>
      <c r="B278" s="92" t="s">
        <v>285</v>
      </c>
      <c r="C278" s="91" t="s">
        <v>465</v>
      </c>
      <c r="D278" s="91" t="s">
        <v>256</v>
      </c>
      <c r="E278" s="93">
        <v>35022</v>
      </c>
      <c r="F278" s="94">
        <f t="shared" ca="1" si="11"/>
        <v>20</v>
      </c>
      <c r="G278" s="95" t="s">
        <v>267</v>
      </c>
      <c r="H278" s="96">
        <v>37760</v>
      </c>
      <c r="I278" s="97">
        <v>2</v>
      </c>
    </row>
    <row r="279" spans="1:9" ht="13.5">
      <c r="A279" s="91" t="s">
        <v>465</v>
      </c>
      <c r="B279" s="92" t="s">
        <v>266</v>
      </c>
      <c r="C279" s="91" t="s">
        <v>465</v>
      </c>
      <c r="D279" s="91" t="s">
        <v>247</v>
      </c>
      <c r="E279" s="93">
        <v>35040</v>
      </c>
      <c r="F279" s="94">
        <f t="shared" ca="1" si="11"/>
        <v>20</v>
      </c>
      <c r="G279" s="95"/>
      <c r="H279" s="96">
        <v>27380</v>
      </c>
      <c r="I279" s="97">
        <v>3</v>
      </c>
    </row>
    <row r="280" spans="1:9" ht="13.5">
      <c r="A280" s="91" t="s">
        <v>465</v>
      </c>
      <c r="B280" s="92" t="s">
        <v>285</v>
      </c>
      <c r="C280" s="91" t="s">
        <v>465</v>
      </c>
      <c r="D280" s="91" t="s">
        <v>261</v>
      </c>
      <c r="E280" s="93">
        <v>35050</v>
      </c>
      <c r="F280" s="94">
        <f t="shared" ca="1" si="11"/>
        <v>20</v>
      </c>
      <c r="G280" s="95" t="s">
        <v>283</v>
      </c>
      <c r="H280" s="96">
        <v>11065</v>
      </c>
      <c r="I280" s="97">
        <v>1</v>
      </c>
    </row>
    <row r="281" spans="1:9" ht="13.5">
      <c r="A281" s="91" t="s">
        <v>465</v>
      </c>
      <c r="B281" s="92" t="s">
        <v>280</v>
      </c>
      <c r="C281" s="91" t="s">
        <v>465</v>
      </c>
      <c r="D281" s="91" t="s">
        <v>256</v>
      </c>
      <c r="E281" s="93">
        <v>35103</v>
      </c>
      <c r="F281" s="94">
        <f t="shared" ca="1" si="11"/>
        <v>20</v>
      </c>
      <c r="G281" s="95" t="s">
        <v>257</v>
      </c>
      <c r="H281" s="96">
        <v>40060</v>
      </c>
      <c r="I281" s="97">
        <v>3</v>
      </c>
    </row>
    <row r="282" spans="1:9" ht="13.5">
      <c r="A282" s="91" t="s">
        <v>465</v>
      </c>
      <c r="B282" s="92" t="s">
        <v>285</v>
      </c>
      <c r="C282" s="91" t="s">
        <v>465</v>
      </c>
      <c r="D282" s="91" t="s">
        <v>261</v>
      </c>
      <c r="E282" s="93">
        <v>35112</v>
      </c>
      <c r="F282" s="94">
        <f t="shared" ca="1" si="11"/>
        <v>20</v>
      </c>
      <c r="G282" s="95" t="s">
        <v>283</v>
      </c>
      <c r="H282" s="96">
        <v>17270</v>
      </c>
      <c r="I282" s="97">
        <v>5</v>
      </c>
    </row>
    <row r="283" spans="1:9" ht="13.5">
      <c r="A283" s="91" t="s">
        <v>465</v>
      </c>
      <c r="B283" s="92" t="s">
        <v>285</v>
      </c>
      <c r="C283" s="91" t="s">
        <v>465</v>
      </c>
      <c r="D283" s="91" t="s">
        <v>256</v>
      </c>
      <c r="E283" s="93">
        <v>35121</v>
      </c>
      <c r="F283" s="94">
        <f t="shared" ca="1" si="11"/>
        <v>20</v>
      </c>
      <c r="G283" s="95" t="s">
        <v>257</v>
      </c>
      <c r="H283" s="96">
        <v>35820</v>
      </c>
      <c r="I283" s="97">
        <v>2</v>
      </c>
    </row>
    <row r="284" spans="1:9" ht="13.5">
      <c r="A284" s="91" t="s">
        <v>465</v>
      </c>
      <c r="B284" s="92" t="s">
        <v>245</v>
      </c>
      <c r="C284" s="91" t="s">
        <v>465</v>
      </c>
      <c r="D284" s="91" t="s">
        <v>256</v>
      </c>
      <c r="E284" s="93">
        <v>35134</v>
      </c>
      <c r="F284" s="94">
        <f t="shared" ca="1" si="11"/>
        <v>20</v>
      </c>
      <c r="G284" s="95" t="s">
        <v>257</v>
      </c>
      <c r="H284" s="96">
        <v>67280</v>
      </c>
      <c r="I284" s="97">
        <v>3</v>
      </c>
    </row>
    <row r="285" spans="1:9" ht="13.5">
      <c r="A285" s="91" t="s">
        <v>465</v>
      </c>
      <c r="B285" s="92" t="s">
        <v>271</v>
      </c>
      <c r="C285" s="91" t="s">
        <v>465</v>
      </c>
      <c r="D285" s="91" t="s">
        <v>247</v>
      </c>
      <c r="E285" s="93">
        <v>35145</v>
      </c>
      <c r="F285" s="94">
        <f t="shared" ca="1" si="11"/>
        <v>20</v>
      </c>
      <c r="G285" s="95"/>
      <c r="H285" s="96">
        <v>23810</v>
      </c>
      <c r="I285" s="97">
        <v>4</v>
      </c>
    </row>
    <row r="286" spans="1:9" ht="13.5">
      <c r="A286" s="91" t="s">
        <v>465</v>
      </c>
      <c r="B286" s="92" t="s">
        <v>271</v>
      </c>
      <c r="C286" s="91" t="s">
        <v>465</v>
      </c>
      <c r="D286" s="91" t="s">
        <v>261</v>
      </c>
      <c r="E286" s="93">
        <v>35193</v>
      </c>
      <c r="F286" s="94">
        <f t="shared" ca="1" si="11"/>
        <v>20</v>
      </c>
      <c r="G286" s="95" t="s">
        <v>267</v>
      </c>
      <c r="H286" s="96">
        <v>41615</v>
      </c>
      <c r="I286" s="97">
        <v>1</v>
      </c>
    </row>
    <row r="287" spans="1:9" ht="13.5">
      <c r="A287" s="91" t="s">
        <v>465</v>
      </c>
      <c r="B287" s="92" t="s">
        <v>271</v>
      </c>
      <c r="C287" s="91" t="s">
        <v>465</v>
      </c>
      <c r="D287" s="91" t="s">
        <v>256</v>
      </c>
      <c r="E287" s="93">
        <v>35225</v>
      </c>
      <c r="F287" s="94">
        <f t="shared" ca="1" si="11"/>
        <v>20</v>
      </c>
      <c r="G287" s="95" t="s">
        <v>257</v>
      </c>
      <c r="H287" s="96">
        <v>76192</v>
      </c>
      <c r="I287" s="97">
        <v>4</v>
      </c>
    </row>
    <row r="288" spans="1:9" ht="13.5">
      <c r="A288" s="91" t="s">
        <v>465</v>
      </c>
      <c r="B288" s="92" t="s">
        <v>280</v>
      </c>
      <c r="C288" s="91" t="s">
        <v>465</v>
      </c>
      <c r="D288" s="91" t="s">
        <v>247</v>
      </c>
      <c r="E288" s="93">
        <v>35290</v>
      </c>
      <c r="F288" s="94">
        <f t="shared" ca="1" si="11"/>
        <v>20</v>
      </c>
      <c r="G288" s="95"/>
      <c r="H288" s="96">
        <v>41840</v>
      </c>
      <c r="I288" s="97">
        <v>2</v>
      </c>
    </row>
    <row r="289" spans="1:9" ht="13.5">
      <c r="A289" s="91" t="s">
        <v>465</v>
      </c>
      <c r="B289" s="92" t="s">
        <v>285</v>
      </c>
      <c r="C289" s="91" t="s">
        <v>465</v>
      </c>
      <c r="D289" s="91" t="s">
        <v>261</v>
      </c>
      <c r="E289" s="93">
        <v>35294</v>
      </c>
      <c r="F289" s="94">
        <f t="shared" ca="1" si="11"/>
        <v>20</v>
      </c>
      <c r="G289" s="95" t="s">
        <v>283</v>
      </c>
      <c r="H289" s="96">
        <v>46710</v>
      </c>
      <c r="I289" s="97">
        <v>3</v>
      </c>
    </row>
    <row r="290" spans="1:9" ht="13.5">
      <c r="A290" s="91" t="s">
        <v>465</v>
      </c>
      <c r="B290" s="92" t="s">
        <v>271</v>
      </c>
      <c r="C290" s="91" t="s">
        <v>465</v>
      </c>
      <c r="D290" s="91" t="s">
        <v>247</v>
      </c>
      <c r="E290" s="93">
        <v>35327</v>
      </c>
      <c r="F290" s="94">
        <f t="shared" ca="1" si="11"/>
        <v>20</v>
      </c>
      <c r="G290" s="95"/>
      <c r="H290" s="96">
        <v>57600</v>
      </c>
      <c r="I290" s="97">
        <v>3</v>
      </c>
    </row>
    <row r="291" spans="1:9" ht="13.5">
      <c r="A291" s="91" t="s">
        <v>465</v>
      </c>
      <c r="B291" s="92" t="s">
        <v>245</v>
      </c>
      <c r="C291" s="91" t="s">
        <v>465</v>
      </c>
      <c r="D291" s="91" t="s">
        <v>256</v>
      </c>
      <c r="E291" s="93">
        <v>35388</v>
      </c>
      <c r="F291" s="94">
        <f t="shared" ca="1" si="11"/>
        <v>19</v>
      </c>
      <c r="G291" s="95" t="s">
        <v>267</v>
      </c>
      <c r="H291" s="96">
        <v>23650</v>
      </c>
      <c r="I291" s="97">
        <v>1</v>
      </c>
    </row>
    <row r="292" spans="1:9" ht="13.5">
      <c r="A292" s="91" t="s">
        <v>465</v>
      </c>
      <c r="B292" s="92" t="s">
        <v>280</v>
      </c>
      <c r="C292" s="91" t="s">
        <v>465</v>
      </c>
      <c r="D292" s="91" t="s">
        <v>247</v>
      </c>
      <c r="E292" s="93">
        <v>35394</v>
      </c>
      <c r="F292" s="94">
        <f t="shared" ca="1" si="11"/>
        <v>19</v>
      </c>
      <c r="G292" s="95"/>
      <c r="H292" s="96">
        <v>57760</v>
      </c>
      <c r="I292" s="97">
        <v>3</v>
      </c>
    </row>
    <row r="293" spans="1:9" ht="13.5">
      <c r="A293" s="91" t="s">
        <v>465</v>
      </c>
      <c r="B293" s="92" t="s">
        <v>285</v>
      </c>
      <c r="C293" s="91" t="s">
        <v>465</v>
      </c>
      <c r="D293" s="91" t="s">
        <v>256</v>
      </c>
      <c r="E293" s="93">
        <v>35397</v>
      </c>
      <c r="F293" s="94">
        <f t="shared" ca="1" si="11"/>
        <v>19</v>
      </c>
      <c r="G293" s="95" t="s">
        <v>276</v>
      </c>
      <c r="H293" s="96">
        <v>38870</v>
      </c>
      <c r="I293" s="97">
        <v>2</v>
      </c>
    </row>
    <row r="294" spans="1:9" ht="13.5">
      <c r="A294" s="91" t="s">
        <v>465</v>
      </c>
      <c r="B294" s="92" t="s">
        <v>285</v>
      </c>
      <c r="C294" s="91" t="s">
        <v>465</v>
      </c>
      <c r="D294" s="91" t="s">
        <v>247</v>
      </c>
      <c r="E294" s="93">
        <v>35408</v>
      </c>
      <c r="F294" s="94">
        <f t="shared" ca="1" si="11"/>
        <v>19</v>
      </c>
      <c r="G294" s="95"/>
      <c r="H294" s="96">
        <v>89520</v>
      </c>
      <c r="I294" s="97">
        <v>5</v>
      </c>
    </row>
    <row r="295" spans="1:9" ht="13.5">
      <c r="A295" s="91" t="s">
        <v>465</v>
      </c>
      <c r="B295" s="92" t="s">
        <v>285</v>
      </c>
      <c r="C295" s="91" t="s">
        <v>465</v>
      </c>
      <c r="D295" s="91" t="s">
        <v>247</v>
      </c>
      <c r="E295" s="93">
        <v>35419</v>
      </c>
      <c r="F295" s="94">
        <f t="shared" ca="1" si="11"/>
        <v>19</v>
      </c>
      <c r="G295" s="95"/>
      <c r="H295" s="96">
        <v>45420</v>
      </c>
      <c r="I295" s="97">
        <v>1</v>
      </c>
    </row>
    <row r="296" spans="1:9" ht="13.5">
      <c r="A296" s="91" t="s">
        <v>465</v>
      </c>
      <c r="B296" s="92" t="s">
        <v>285</v>
      </c>
      <c r="C296" s="91" t="s">
        <v>465</v>
      </c>
      <c r="D296" s="91" t="s">
        <v>247</v>
      </c>
      <c r="E296" s="93">
        <v>35667</v>
      </c>
      <c r="F296" s="94">
        <f t="shared" ca="1" si="11"/>
        <v>19</v>
      </c>
      <c r="G296" s="95"/>
      <c r="H296" s="96">
        <v>68510</v>
      </c>
      <c r="I296" s="97">
        <v>5</v>
      </c>
    </row>
    <row r="297" spans="1:9" ht="13.5">
      <c r="A297" s="91" t="s">
        <v>465</v>
      </c>
      <c r="B297" s="92" t="s">
        <v>285</v>
      </c>
      <c r="C297" s="91" t="s">
        <v>465</v>
      </c>
      <c r="D297" s="91" t="s">
        <v>256</v>
      </c>
      <c r="E297" s="93">
        <v>35758</v>
      </c>
      <c r="F297" s="94">
        <f t="shared" ca="1" si="11"/>
        <v>18</v>
      </c>
      <c r="G297" s="95" t="s">
        <v>262</v>
      </c>
      <c r="H297" s="96">
        <v>66010</v>
      </c>
      <c r="I297" s="97">
        <v>5</v>
      </c>
    </row>
    <row r="298" spans="1:9" ht="13.5">
      <c r="A298" s="91" t="s">
        <v>465</v>
      </c>
      <c r="B298" s="92" t="s">
        <v>280</v>
      </c>
      <c r="C298" s="91" t="s">
        <v>465</v>
      </c>
      <c r="D298" s="91" t="s">
        <v>256</v>
      </c>
      <c r="E298" s="93">
        <v>35919</v>
      </c>
      <c r="F298" s="94">
        <f t="shared" ca="1" si="11"/>
        <v>18</v>
      </c>
      <c r="G298" s="95" t="s">
        <v>283</v>
      </c>
      <c r="H298" s="96">
        <v>25310</v>
      </c>
      <c r="I298" s="97">
        <v>4</v>
      </c>
    </row>
    <row r="299" spans="1:9" ht="13.5">
      <c r="A299" s="91" t="s">
        <v>465</v>
      </c>
      <c r="B299" s="92" t="s">
        <v>251</v>
      </c>
      <c r="C299" s="91" t="s">
        <v>465</v>
      </c>
      <c r="D299" s="91" t="s">
        <v>247</v>
      </c>
      <c r="E299" s="93">
        <v>36016</v>
      </c>
      <c r="F299" s="94">
        <f t="shared" ca="1" si="11"/>
        <v>18</v>
      </c>
      <c r="G299" s="95"/>
      <c r="H299" s="96">
        <v>52770</v>
      </c>
      <c r="I299" s="97">
        <v>2</v>
      </c>
    </row>
    <row r="300" spans="1:9" ht="13.5">
      <c r="A300" s="91" t="s">
        <v>465</v>
      </c>
      <c r="B300" s="92" t="s">
        <v>271</v>
      </c>
      <c r="C300" s="91" t="s">
        <v>465</v>
      </c>
      <c r="D300" s="91" t="s">
        <v>256</v>
      </c>
      <c r="E300" s="93">
        <v>36021</v>
      </c>
      <c r="F300" s="94">
        <f t="shared" ca="1" si="11"/>
        <v>18</v>
      </c>
      <c r="G300" s="95" t="s">
        <v>283</v>
      </c>
      <c r="H300" s="96">
        <v>62750</v>
      </c>
      <c r="I300" s="97">
        <v>3</v>
      </c>
    </row>
    <row r="301" spans="1:9" ht="13.5">
      <c r="A301" s="91" t="s">
        <v>465</v>
      </c>
      <c r="B301" s="92" t="s">
        <v>285</v>
      </c>
      <c r="C301" s="91" t="s">
        <v>465</v>
      </c>
      <c r="D301" s="91" t="s">
        <v>256</v>
      </c>
      <c r="E301" s="93">
        <v>36084</v>
      </c>
      <c r="F301" s="94">
        <f t="shared" ca="1" si="11"/>
        <v>18</v>
      </c>
      <c r="G301" s="95" t="s">
        <v>257</v>
      </c>
      <c r="H301" s="96">
        <v>28970</v>
      </c>
      <c r="I301" s="97">
        <v>3</v>
      </c>
    </row>
    <row r="302" spans="1:9" ht="13.5">
      <c r="A302" s="91" t="s">
        <v>465</v>
      </c>
      <c r="B302" s="92" t="s">
        <v>271</v>
      </c>
      <c r="C302" s="91" t="s">
        <v>465</v>
      </c>
      <c r="D302" s="91" t="s">
        <v>256</v>
      </c>
      <c r="E302" s="93">
        <v>36126</v>
      </c>
      <c r="F302" s="94">
        <f t="shared" ca="1" si="11"/>
        <v>17</v>
      </c>
      <c r="G302" s="95" t="s">
        <v>267</v>
      </c>
      <c r="H302" s="96">
        <v>64130</v>
      </c>
      <c r="I302" s="97">
        <v>1</v>
      </c>
    </row>
    <row r="303" spans="1:9" ht="13.5">
      <c r="A303" s="91" t="s">
        <v>465</v>
      </c>
      <c r="B303" s="92" t="s">
        <v>271</v>
      </c>
      <c r="C303" s="91" t="s">
        <v>465</v>
      </c>
      <c r="D303" s="91" t="s">
        <v>256</v>
      </c>
      <c r="E303" s="93">
        <v>36199</v>
      </c>
      <c r="F303" s="94">
        <f t="shared" ca="1" si="11"/>
        <v>17</v>
      </c>
      <c r="G303" s="95" t="s">
        <v>283</v>
      </c>
      <c r="H303" s="96">
        <v>69080</v>
      </c>
      <c r="I303" s="97">
        <v>3</v>
      </c>
    </row>
    <row r="304" spans="1:9" ht="13.5">
      <c r="A304" s="91" t="s">
        <v>465</v>
      </c>
      <c r="B304" s="92" t="s">
        <v>245</v>
      </c>
      <c r="C304" s="91" t="s">
        <v>465</v>
      </c>
      <c r="D304" s="91" t="s">
        <v>261</v>
      </c>
      <c r="E304" s="93">
        <v>36310</v>
      </c>
      <c r="F304" s="94">
        <f t="shared" ca="1" si="11"/>
        <v>17</v>
      </c>
      <c r="G304" s="95" t="s">
        <v>257</v>
      </c>
      <c r="H304" s="96">
        <v>24460</v>
      </c>
      <c r="I304" s="97">
        <v>1</v>
      </c>
    </row>
    <row r="305" spans="1:9" ht="13.5">
      <c r="A305" s="91" t="s">
        <v>465</v>
      </c>
      <c r="B305" s="92" t="s">
        <v>285</v>
      </c>
      <c r="C305" s="91" t="s">
        <v>465</v>
      </c>
      <c r="D305" s="91" t="s">
        <v>247</v>
      </c>
      <c r="E305" s="93">
        <v>36324</v>
      </c>
      <c r="F305" s="94">
        <f t="shared" ca="1" si="11"/>
        <v>17</v>
      </c>
      <c r="G305" s="95"/>
      <c r="H305" s="96">
        <v>61370</v>
      </c>
      <c r="I305" s="97">
        <v>3</v>
      </c>
    </row>
    <row r="306" spans="1:9" ht="13.5">
      <c r="A306" s="91" t="s">
        <v>465</v>
      </c>
      <c r="B306" s="92" t="s">
        <v>285</v>
      </c>
      <c r="C306" s="91" t="s">
        <v>465</v>
      </c>
      <c r="D306" s="91" t="s">
        <v>252</v>
      </c>
      <c r="E306" s="93">
        <v>36420</v>
      </c>
      <c r="F306" s="94">
        <f t="shared" ca="1" si="11"/>
        <v>17</v>
      </c>
      <c r="G306" s="95"/>
      <c r="H306" s="96">
        <v>8892</v>
      </c>
      <c r="I306" s="97">
        <v>1</v>
      </c>
    </row>
    <row r="307" spans="1:9" ht="13.5">
      <c r="A307" s="91" t="s">
        <v>465</v>
      </c>
      <c r="B307" s="92" t="s">
        <v>266</v>
      </c>
      <c r="C307" s="91" t="s">
        <v>465</v>
      </c>
      <c r="D307" s="91" t="s">
        <v>247</v>
      </c>
      <c r="E307" s="93">
        <v>36510</v>
      </c>
      <c r="F307" s="94">
        <f t="shared" ca="1" si="11"/>
        <v>16</v>
      </c>
      <c r="G307" s="95"/>
      <c r="H307" s="96">
        <v>75420</v>
      </c>
      <c r="I307" s="97">
        <v>1</v>
      </c>
    </row>
    <row r="308" spans="1:9" ht="13.5">
      <c r="A308" s="91" t="s">
        <v>465</v>
      </c>
      <c r="B308" s="92" t="s">
        <v>285</v>
      </c>
      <c r="C308" s="91" t="s">
        <v>465</v>
      </c>
      <c r="D308" s="91" t="s">
        <v>256</v>
      </c>
      <c r="E308" s="93">
        <v>36556</v>
      </c>
      <c r="F308" s="94">
        <f t="shared" ca="1" si="11"/>
        <v>16</v>
      </c>
      <c r="G308" s="95" t="s">
        <v>262</v>
      </c>
      <c r="H308" s="96">
        <v>54230</v>
      </c>
      <c r="I308" s="97">
        <v>5</v>
      </c>
    </row>
    <row r="309" spans="1:9" ht="13.5">
      <c r="A309" s="91" t="s">
        <v>465</v>
      </c>
      <c r="B309" s="92" t="s">
        <v>266</v>
      </c>
      <c r="C309" s="91" t="s">
        <v>465</v>
      </c>
      <c r="D309" s="91" t="s">
        <v>247</v>
      </c>
      <c r="E309" s="93">
        <v>36589</v>
      </c>
      <c r="F309" s="94">
        <f t="shared" ca="1" si="11"/>
        <v>16</v>
      </c>
      <c r="G309" s="95"/>
      <c r="H309" s="96">
        <v>64220</v>
      </c>
      <c r="I309" s="97">
        <v>5</v>
      </c>
    </row>
    <row r="310" spans="1:9" ht="13.5">
      <c r="A310" s="91" t="s">
        <v>465</v>
      </c>
      <c r="B310" s="92" t="s">
        <v>266</v>
      </c>
      <c r="C310" s="91" t="s">
        <v>465</v>
      </c>
      <c r="D310" s="91" t="s">
        <v>256</v>
      </c>
      <c r="E310" s="93">
        <v>36626</v>
      </c>
      <c r="F310" s="94">
        <f t="shared" ca="1" si="11"/>
        <v>16</v>
      </c>
      <c r="G310" s="95" t="s">
        <v>283</v>
      </c>
      <c r="H310" s="96">
        <v>30920</v>
      </c>
      <c r="I310" s="97">
        <v>5</v>
      </c>
    </row>
    <row r="311" spans="1:9" ht="13.5">
      <c r="A311" s="91" t="s">
        <v>465</v>
      </c>
      <c r="B311" s="92" t="s">
        <v>271</v>
      </c>
      <c r="C311" s="91" t="s">
        <v>465</v>
      </c>
      <c r="D311" s="91" t="s">
        <v>256</v>
      </c>
      <c r="E311" s="93">
        <v>36633</v>
      </c>
      <c r="F311" s="94">
        <f t="shared" ca="1" si="11"/>
        <v>16</v>
      </c>
      <c r="G311" s="95" t="s">
        <v>257</v>
      </c>
      <c r="H311" s="96">
        <v>75176</v>
      </c>
      <c r="I311" s="97">
        <v>3</v>
      </c>
    </row>
    <row r="312" spans="1:9" ht="13.5">
      <c r="A312" s="91" t="s">
        <v>465</v>
      </c>
      <c r="B312" s="92" t="s">
        <v>285</v>
      </c>
      <c r="C312" s="91" t="s">
        <v>465</v>
      </c>
      <c r="D312" s="91" t="s">
        <v>247</v>
      </c>
      <c r="E312" s="93">
        <v>36734</v>
      </c>
      <c r="F312" s="94">
        <f t="shared" ca="1" si="11"/>
        <v>16</v>
      </c>
      <c r="G312" s="95"/>
      <c r="H312" s="96">
        <v>57410</v>
      </c>
      <c r="I312" s="97">
        <v>2</v>
      </c>
    </row>
    <row r="313" spans="1:9" ht="13.5">
      <c r="A313" s="91" t="s">
        <v>465</v>
      </c>
      <c r="B313" s="92" t="s">
        <v>285</v>
      </c>
      <c r="C313" s="91" t="s">
        <v>465</v>
      </c>
      <c r="D313" s="91" t="s">
        <v>247</v>
      </c>
      <c r="E313" s="93">
        <v>36763</v>
      </c>
      <c r="F313" s="94">
        <f t="shared" ca="1" si="11"/>
        <v>16</v>
      </c>
      <c r="G313" s="95"/>
      <c r="H313" s="96">
        <v>39300</v>
      </c>
      <c r="I313" s="97">
        <v>2</v>
      </c>
    </row>
    <row r="314" spans="1:9" ht="13.5">
      <c r="A314" s="91" t="s">
        <v>465</v>
      </c>
      <c r="B314" s="92" t="s">
        <v>245</v>
      </c>
      <c r="C314" s="91" t="s">
        <v>465</v>
      </c>
      <c r="D314" s="91" t="s">
        <v>256</v>
      </c>
      <c r="E314" s="93">
        <v>36836</v>
      </c>
      <c r="F314" s="94">
        <f t="shared" ca="1" si="11"/>
        <v>16</v>
      </c>
      <c r="G314" s="95" t="s">
        <v>257</v>
      </c>
      <c r="H314" s="96">
        <v>47340</v>
      </c>
      <c r="I314" s="97">
        <v>2</v>
      </c>
    </row>
    <row r="315" spans="1:9" ht="13.5">
      <c r="A315" s="91" t="s">
        <v>465</v>
      </c>
      <c r="B315" s="92" t="s">
        <v>245</v>
      </c>
      <c r="C315" s="91" t="s">
        <v>465</v>
      </c>
      <c r="D315" s="91" t="s">
        <v>247</v>
      </c>
      <c r="E315" s="93">
        <v>36979</v>
      </c>
      <c r="F315" s="94">
        <f t="shared" ca="1" si="11"/>
        <v>15</v>
      </c>
      <c r="G315" s="95"/>
      <c r="H315" s="96">
        <v>71830</v>
      </c>
      <c r="I315" s="97">
        <v>3</v>
      </c>
    </row>
    <row r="316" spans="1:9" ht="13.5">
      <c r="A316" s="91" t="s">
        <v>465</v>
      </c>
      <c r="B316" s="92" t="s">
        <v>285</v>
      </c>
      <c r="C316" s="91" t="s">
        <v>465</v>
      </c>
      <c r="D316" s="91" t="s">
        <v>247</v>
      </c>
      <c r="E316" s="93">
        <v>37011</v>
      </c>
      <c r="F316" s="94">
        <f t="shared" ca="1" si="11"/>
        <v>15</v>
      </c>
      <c r="G316" s="95"/>
      <c r="H316" s="96">
        <v>37980</v>
      </c>
      <c r="I316" s="97">
        <v>4</v>
      </c>
    </row>
    <row r="317" spans="1:9" ht="13.5">
      <c r="A317" s="91" t="s">
        <v>465</v>
      </c>
      <c r="B317" s="92" t="s">
        <v>266</v>
      </c>
      <c r="C317" s="91" t="s">
        <v>465</v>
      </c>
      <c r="D317" s="91" t="s">
        <v>256</v>
      </c>
      <c r="E317" s="93">
        <v>37011</v>
      </c>
      <c r="F317" s="94">
        <f t="shared" ca="1" si="11"/>
        <v>15</v>
      </c>
      <c r="G317" s="95" t="s">
        <v>262</v>
      </c>
      <c r="H317" s="96">
        <v>70760</v>
      </c>
      <c r="I317" s="97">
        <v>1</v>
      </c>
    </row>
    <row r="318" spans="1:9" ht="13.5">
      <c r="A318" s="91" t="s">
        <v>465</v>
      </c>
      <c r="B318" s="92" t="s">
        <v>285</v>
      </c>
      <c r="C318" s="91" t="s">
        <v>465</v>
      </c>
      <c r="D318" s="91" t="s">
        <v>256</v>
      </c>
      <c r="E318" s="93">
        <v>37067</v>
      </c>
      <c r="F318" s="94">
        <f t="shared" ca="1" si="11"/>
        <v>15</v>
      </c>
      <c r="G318" s="95" t="s">
        <v>257</v>
      </c>
      <c r="H318" s="96">
        <v>87760</v>
      </c>
      <c r="I318" s="97">
        <v>1</v>
      </c>
    </row>
    <row r="319" spans="1:9" ht="13.5">
      <c r="A319" s="91" t="s">
        <v>465</v>
      </c>
      <c r="B319" s="92" t="s">
        <v>280</v>
      </c>
      <c r="C319" s="91" t="s">
        <v>465</v>
      </c>
      <c r="D319" s="91" t="s">
        <v>256</v>
      </c>
      <c r="E319" s="93">
        <v>37067</v>
      </c>
      <c r="F319" s="94">
        <f t="shared" ca="1" si="11"/>
        <v>15</v>
      </c>
      <c r="G319" s="95" t="s">
        <v>257</v>
      </c>
      <c r="H319" s="96">
        <v>41060</v>
      </c>
      <c r="I319" s="97">
        <v>3</v>
      </c>
    </row>
    <row r="320" spans="1:9" ht="13.5">
      <c r="A320" s="91" t="s">
        <v>465</v>
      </c>
      <c r="B320" s="92" t="s">
        <v>285</v>
      </c>
      <c r="C320" s="91" t="s">
        <v>465</v>
      </c>
      <c r="D320" s="91" t="s">
        <v>247</v>
      </c>
      <c r="E320" s="93">
        <v>37197</v>
      </c>
      <c r="F320" s="94">
        <f t="shared" ca="1" si="11"/>
        <v>15</v>
      </c>
      <c r="G320" s="95"/>
      <c r="H320" s="96">
        <v>40940</v>
      </c>
      <c r="I320" s="97">
        <v>2</v>
      </c>
    </row>
    <row r="321" spans="1:9" ht="13.5">
      <c r="A321" s="91" t="s">
        <v>465</v>
      </c>
      <c r="B321" s="92" t="s">
        <v>245</v>
      </c>
      <c r="C321" s="91" t="s">
        <v>465</v>
      </c>
      <c r="D321" s="91" t="s">
        <v>247</v>
      </c>
      <c r="E321" s="93">
        <v>37227</v>
      </c>
      <c r="F321" s="94">
        <f t="shared" ca="1" si="11"/>
        <v>14</v>
      </c>
      <c r="G321" s="95"/>
      <c r="H321" s="96">
        <v>39680</v>
      </c>
      <c r="I321" s="97">
        <v>1</v>
      </c>
    </row>
    <row r="322" spans="1:9" ht="13.5">
      <c r="A322" s="91" t="s">
        <v>465</v>
      </c>
      <c r="B322" s="92" t="s">
        <v>285</v>
      </c>
      <c r="C322" s="91" t="s">
        <v>465</v>
      </c>
      <c r="D322" s="91" t="s">
        <v>256</v>
      </c>
      <c r="E322" s="93">
        <v>37354</v>
      </c>
      <c r="F322" s="94">
        <f t="shared" ca="1" si="11"/>
        <v>14</v>
      </c>
      <c r="G322" s="95" t="s">
        <v>257</v>
      </c>
      <c r="H322" s="96">
        <v>61060</v>
      </c>
      <c r="I322" s="97">
        <v>5</v>
      </c>
    </row>
    <row r="323" spans="1:9" ht="13.5">
      <c r="A323" s="91" t="s">
        <v>465</v>
      </c>
      <c r="B323" s="92" t="s">
        <v>245</v>
      </c>
      <c r="C323" s="91" t="s">
        <v>465</v>
      </c>
      <c r="D323" s="91" t="s">
        <v>256</v>
      </c>
      <c r="E323" s="93">
        <v>37423</v>
      </c>
      <c r="F323" s="94">
        <f t="shared" ca="1" si="11"/>
        <v>14</v>
      </c>
      <c r="G323" s="95" t="s">
        <v>276</v>
      </c>
      <c r="H323" s="96">
        <v>68710</v>
      </c>
      <c r="I323" s="97">
        <v>4</v>
      </c>
    </row>
    <row r="324" spans="1:9" ht="13.5">
      <c r="A324" s="91" t="s">
        <v>465</v>
      </c>
      <c r="B324" s="92" t="s">
        <v>245</v>
      </c>
      <c r="C324" s="91" t="s">
        <v>465</v>
      </c>
      <c r="D324" s="91" t="s">
        <v>256</v>
      </c>
      <c r="E324" s="93">
        <v>37499</v>
      </c>
      <c r="F324" s="94">
        <f t="shared" ca="1" si="11"/>
        <v>14</v>
      </c>
      <c r="G324" s="95" t="s">
        <v>262</v>
      </c>
      <c r="H324" s="96">
        <v>76584</v>
      </c>
      <c r="I324" s="97">
        <v>1</v>
      </c>
    </row>
    <row r="325" spans="1:9" ht="13.5">
      <c r="A325" s="91" t="s">
        <v>465</v>
      </c>
      <c r="B325" s="92" t="s">
        <v>285</v>
      </c>
      <c r="C325" s="91" t="s">
        <v>465</v>
      </c>
      <c r="D325" s="91" t="s">
        <v>256</v>
      </c>
      <c r="E325" s="93">
        <v>37511</v>
      </c>
      <c r="F325" s="94">
        <f t="shared" ca="1" si="11"/>
        <v>14</v>
      </c>
      <c r="G325" s="95" t="s">
        <v>283</v>
      </c>
      <c r="H325" s="96">
        <v>65720</v>
      </c>
      <c r="I325" s="97">
        <v>1</v>
      </c>
    </row>
    <row r="326" spans="1:9" ht="13.5">
      <c r="A326" s="91" t="s">
        <v>465</v>
      </c>
      <c r="B326" s="92" t="s">
        <v>285</v>
      </c>
      <c r="C326" s="91" t="s">
        <v>465</v>
      </c>
      <c r="D326" s="91" t="s">
        <v>256</v>
      </c>
      <c r="E326" s="93">
        <v>37522</v>
      </c>
      <c r="F326" s="94">
        <f t="shared" ca="1" si="11"/>
        <v>14</v>
      </c>
      <c r="G326" s="95" t="s">
        <v>276</v>
      </c>
      <c r="H326" s="96">
        <v>29420</v>
      </c>
      <c r="I326" s="97">
        <v>5</v>
      </c>
    </row>
    <row r="327" spans="1:9" ht="13.5">
      <c r="A327" s="91" t="s">
        <v>465</v>
      </c>
      <c r="B327" s="92" t="s">
        <v>280</v>
      </c>
      <c r="C327" s="91" t="s">
        <v>465</v>
      </c>
      <c r="D327" s="91" t="s">
        <v>247</v>
      </c>
      <c r="E327" s="93">
        <v>37564</v>
      </c>
      <c r="F327" s="94">
        <f t="shared" ref="F327:F352" ca="1" si="12">DATEDIF(E327,TODAY(),"Y")</f>
        <v>14</v>
      </c>
      <c r="G327" s="95"/>
      <c r="H327" s="96">
        <v>59330</v>
      </c>
      <c r="I327" s="97">
        <v>4</v>
      </c>
    </row>
    <row r="328" spans="1:9" ht="13.5">
      <c r="A328" s="91" t="s">
        <v>465</v>
      </c>
      <c r="B328" s="92" t="s">
        <v>251</v>
      </c>
      <c r="C328" s="91" t="s">
        <v>465</v>
      </c>
      <c r="D328" s="91" t="s">
        <v>247</v>
      </c>
      <c r="E328" s="93">
        <v>37602</v>
      </c>
      <c r="F328" s="94">
        <f t="shared" ca="1" si="12"/>
        <v>13</v>
      </c>
      <c r="G328" s="95"/>
      <c r="H328" s="96">
        <v>80330</v>
      </c>
      <c r="I328" s="97">
        <v>4</v>
      </c>
    </row>
    <row r="329" spans="1:9" ht="13.5">
      <c r="A329" s="91" t="s">
        <v>465</v>
      </c>
      <c r="B329" s="92" t="s">
        <v>245</v>
      </c>
      <c r="C329" s="91" t="s">
        <v>465</v>
      </c>
      <c r="D329" s="91" t="s">
        <v>252</v>
      </c>
      <c r="E329" s="93">
        <v>37777</v>
      </c>
      <c r="F329" s="94">
        <f t="shared" ca="1" si="12"/>
        <v>13</v>
      </c>
      <c r="G329" s="95"/>
      <c r="H329" s="96">
        <v>14416</v>
      </c>
      <c r="I329" s="97">
        <v>4</v>
      </c>
    </row>
    <row r="330" spans="1:9" ht="13.5">
      <c r="A330" s="91" t="s">
        <v>465</v>
      </c>
      <c r="B330" s="92" t="s">
        <v>285</v>
      </c>
      <c r="C330" s="91" t="s">
        <v>465</v>
      </c>
      <c r="D330" s="91" t="s">
        <v>247</v>
      </c>
      <c r="E330" s="93">
        <v>37879</v>
      </c>
      <c r="F330" s="94">
        <f t="shared" ca="1" si="12"/>
        <v>13</v>
      </c>
      <c r="G330" s="95"/>
      <c r="H330" s="96">
        <v>63850</v>
      </c>
      <c r="I330" s="97">
        <v>2</v>
      </c>
    </row>
    <row r="331" spans="1:9" ht="13.5">
      <c r="A331" s="91" t="s">
        <v>465</v>
      </c>
      <c r="B331" s="92" t="s">
        <v>266</v>
      </c>
      <c r="C331" s="91" t="s">
        <v>465</v>
      </c>
      <c r="D331" s="91" t="s">
        <v>256</v>
      </c>
      <c r="E331" s="93">
        <v>38002</v>
      </c>
      <c r="F331" s="94">
        <f t="shared" ca="1" si="12"/>
        <v>12</v>
      </c>
      <c r="G331" s="95" t="s">
        <v>262</v>
      </c>
      <c r="H331" s="96">
        <v>71030</v>
      </c>
      <c r="I331" s="97">
        <v>3</v>
      </c>
    </row>
    <row r="332" spans="1:9" ht="13.5">
      <c r="A332" s="91" t="s">
        <v>465</v>
      </c>
      <c r="B332" s="92" t="s">
        <v>280</v>
      </c>
      <c r="C332" s="91" t="s">
        <v>465</v>
      </c>
      <c r="D332" s="91" t="s">
        <v>256</v>
      </c>
      <c r="E332" s="93">
        <v>38038</v>
      </c>
      <c r="F332" s="94">
        <f t="shared" ca="1" si="12"/>
        <v>12</v>
      </c>
      <c r="G332" s="95" t="s">
        <v>257</v>
      </c>
      <c r="H332" s="96">
        <v>46220</v>
      </c>
      <c r="I332" s="97">
        <v>2</v>
      </c>
    </row>
    <row r="333" spans="1:9" ht="13.5">
      <c r="A333" s="91" t="s">
        <v>465</v>
      </c>
      <c r="B333" s="92" t="s">
        <v>271</v>
      </c>
      <c r="C333" s="91" t="s">
        <v>465</v>
      </c>
      <c r="D333" s="91" t="s">
        <v>256</v>
      </c>
      <c r="E333" s="93">
        <v>38080</v>
      </c>
      <c r="F333" s="94">
        <f t="shared" ca="1" si="12"/>
        <v>12</v>
      </c>
      <c r="G333" s="95" t="s">
        <v>267</v>
      </c>
      <c r="H333" s="96">
        <v>71490</v>
      </c>
      <c r="I333" s="97">
        <v>5</v>
      </c>
    </row>
    <row r="334" spans="1:9" ht="13.5">
      <c r="A334" s="91" t="s">
        <v>465</v>
      </c>
      <c r="B334" s="92" t="s">
        <v>266</v>
      </c>
      <c r="C334" s="91" t="s">
        <v>465</v>
      </c>
      <c r="D334" s="91" t="s">
        <v>256</v>
      </c>
      <c r="E334" s="93">
        <v>38145</v>
      </c>
      <c r="F334" s="94">
        <f t="shared" ca="1" si="12"/>
        <v>12</v>
      </c>
      <c r="G334" s="95" t="s">
        <v>283</v>
      </c>
      <c r="H334" s="96">
        <v>59420</v>
      </c>
      <c r="I334" s="97">
        <v>4</v>
      </c>
    </row>
    <row r="335" spans="1:9" ht="13.5">
      <c r="A335" s="91" t="s">
        <v>465</v>
      </c>
      <c r="B335" s="92" t="s">
        <v>245</v>
      </c>
      <c r="C335" s="91" t="s">
        <v>465</v>
      </c>
      <c r="D335" s="91" t="s">
        <v>247</v>
      </c>
      <c r="E335" s="93">
        <v>38228</v>
      </c>
      <c r="F335" s="94">
        <f t="shared" ca="1" si="12"/>
        <v>12</v>
      </c>
      <c r="G335" s="95"/>
      <c r="H335" s="96">
        <v>62780</v>
      </c>
      <c r="I335" s="97">
        <v>4</v>
      </c>
    </row>
    <row r="336" spans="1:9" ht="13.5">
      <c r="A336" s="91" t="s">
        <v>465</v>
      </c>
      <c r="B336" s="92" t="s">
        <v>271</v>
      </c>
      <c r="C336" s="91" t="s">
        <v>465</v>
      </c>
      <c r="D336" s="91" t="s">
        <v>247</v>
      </c>
      <c r="E336" s="93">
        <v>38235</v>
      </c>
      <c r="F336" s="94">
        <f t="shared" ca="1" si="12"/>
        <v>12</v>
      </c>
      <c r="G336" s="95"/>
      <c r="H336" s="96">
        <v>84170</v>
      </c>
      <c r="I336" s="97">
        <v>2</v>
      </c>
    </row>
    <row r="337" spans="1:9" ht="13.5">
      <c r="A337" s="91" t="s">
        <v>465</v>
      </c>
      <c r="B337" s="92" t="s">
        <v>271</v>
      </c>
      <c r="C337" s="91" t="s">
        <v>465</v>
      </c>
      <c r="D337" s="91" t="s">
        <v>256</v>
      </c>
      <c r="E337" s="93">
        <v>38386</v>
      </c>
      <c r="F337" s="94">
        <f t="shared" ca="1" si="12"/>
        <v>11</v>
      </c>
      <c r="G337" s="95" t="s">
        <v>257</v>
      </c>
      <c r="H337" s="96">
        <v>69320</v>
      </c>
      <c r="I337" s="97">
        <v>3</v>
      </c>
    </row>
    <row r="338" spans="1:9" ht="13.5">
      <c r="A338" s="91" t="s">
        <v>465</v>
      </c>
      <c r="B338" s="92" t="s">
        <v>266</v>
      </c>
      <c r="C338" s="91" t="s">
        <v>465</v>
      </c>
      <c r="D338" s="91" t="s">
        <v>252</v>
      </c>
      <c r="E338" s="93">
        <v>38437</v>
      </c>
      <c r="F338" s="94">
        <f t="shared" ca="1" si="12"/>
        <v>11</v>
      </c>
      <c r="G338" s="95"/>
      <c r="H338" s="96">
        <v>10572</v>
      </c>
      <c r="I338" s="97">
        <v>4</v>
      </c>
    </row>
    <row r="339" spans="1:9" ht="13.5">
      <c r="A339" s="91" t="s">
        <v>465</v>
      </c>
      <c r="B339" s="92" t="s">
        <v>245</v>
      </c>
      <c r="C339" s="91" t="s">
        <v>465</v>
      </c>
      <c r="D339" s="91" t="s">
        <v>247</v>
      </c>
      <c r="E339" s="93">
        <v>38512</v>
      </c>
      <c r="F339" s="94">
        <f t="shared" ca="1" si="12"/>
        <v>11</v>
      </c>
      <c r="G339" s="95"/>
      <c r="H339" s="96">
        <v>60040</v>
      </c>
      <c r="I339" s="97">
        <v>5</v>
      </c>
    </row>
    <row r="340" spans="1:9" ht="13.5">
      <c r="A340" s="91" t="s">
        <v>465</v>
      </c>
      <c r="B340" s="92" t="s">
        <v>245</v>
      </c>
      <c r="C340" s="91" t="s">
        <v>465</v>
      </c>
      <c r="D340" s="91" t="s">
        <v>247</v>
      </c>
      <c r="E340" s="93">
        <v>38520</v>
      </c>
      <c r="F340" s="94">
        <f t="shared" ca="1" si="12"/>
        <v>11</v>
      </c>
      <c r="G340" s="95"/>
      <c r="H340" s="96">
        <v>78520</v>
      </c>
      <c r="I340" s="97">
        <v>4</v>
      </c>
    </row>
    <row r="341" spans="1:9" ht="13.5">
      <c r="A341" s="91" t="s">
        <v>465</v>
      </c>
      <c r="B341" s="92" t="s">
        <v>280</v>
      </c>
      <c r="C341" s="91" t="s">
        <v>465</v>
      </c>
      <c r="D341" s="91" t="s">
        <v>256</v>
      </c>
      <c r="E341" s="93">
        <v>38662</v>
      </c>
      <c r="F341" s="94">
        <f t="shared" ca="1" si="12"/>
        <v>11</v>
      </c>
      <c r="G341" s="95" t="s">
        <v>257</v>
      </c>
      <c r="H341" s="96">
        <v>78170</v>
      </c>
      <c r="I341" s="97">
        <v>5</v>
      </c>
    </row>
    <row r="342" spans="1:9" ht="13.5">
      <c r="A342" s="91" t="s">
        <v>465</v>
      </c>
      <c r="B342" s="92" t="s">
        <v>266</v>
      </c>
      <c r="C342" s="91" t="s">
        <v>465</v>
      </c>
      <c r="D342" s="91" t="s">
        <v>256</v>
      </c>
      <c r="E342" s="93">
        <v>38865</v>
      </c>
      <c r="F342" s="94">
        <f t="shared" ca="1" si="12"/>
        <v>10</v>
      </c>
      <c r="G342" s="95" t="s">
        <v>267</v>
      </c>
      <c r="H342" s="96">
        <v>34690</v>
      </c>
      <c r="I342" s="97">
        <v>2</v>
      </c>
    </row>
    <row r="343" spans="1:9" ht="13.5">
      <c r="A343" s="91" t="s">
        <v>465</v>
      </c>
      <c r="B343" s="92" t="s">
        <v>285</v>
      </c>
      <c r="C343" s="91" t="s">
        <v>465</v>
      </c>
      <c r="D343" s="91" t="s">
        <v>256</v>
      </c>
      <c r="E343" s="93">
        <v>38893</v>
      </c>
      <c r="F343" s="94">
        <f t="shared" ca="1" si="12"/>
        <v>10</v>
      </c>
      <c r="G343" s="95" t="s">
        <v>257</v>
      </c>
      <c r="H343" s="96">
        <v>35600</v>
      </c>
      <c r="I343" s="97">
        <v>5</v>
      </c>
    </row>
    <row r="344" spans="1:9" ht="13.5">
      <c r="A344" s="91" t="s">
        <v>465</v>
      </c>
      <c r="B344" s="92" t="s">
        <v>271</v>
      </c>
      <c r="C344" s="91" t="s">
        <v>465</v>
      </c>
      <c r="D344" s="91" t="s">
        <v>256</v>
      </c>
      <c r="E344" s="93">
        <v>38960</v>
      </c>
      <c r="F344" s="94">
        <f t="shared" ca="1" si="12"/>
        <v>10</v>
      </c>
      <c r="G344" s="95" t="s">
        <v>283</v>
      </c>
      <c r="H344" s="96">
        <v>35300</v>
      </c>
      <c r="I344" s="97">
        <v>5</v>
      </c>
    </row>
    <row r="345" spans="1:9" ht="13.5">
      <c r="A345" s="91" t="s">
        <v>465</v>
      </c>
      <c r="B345" s="92" t="s">
        <v>285</v>
      </c>
      <c r="C345" s="91" t="s">
        <v>465</v>
      </c>
      <c r="D345" s="91" t="s">
        <v>247</v>
      </c>
      <c r="E345" s="99">
        <v>39139</v>
      </c>
      <c r="F345" s="94">
        <f t="shared" ca="1" si="12"/>
        <v>9</v>
      </c>
      <c r="G345" s="95"/>
      <c r="H345" s="96">
        <v>88840</v>
      </c>
      <c r="I345" s="97">
        <v>5</v>
      </c>
    </row>
    <row r="346" spans="1:9" ht="13.5">
      <c r="A346" s="91" t="s">
        <v>465</v>
      </c>
      <c r="B346" s="92" t="s">
        <v>271</v>
      </c>
      <c r="C346" s="91" t="s">
        <v>465</v>
      </c>
      <c r="D346" s="91" t="s">
        <v>247</v>
      </c>
      <c r="E346" s="93">
        <v>39160</v>
      </c>
      <c r="F346" s="94">
        <f t="shared" ca="1" si="12"/>
        <v>9</v>
      </c>
      <c r="G346" s="95"/>
      <c r="H346" s="96">
        <v>37840</v>
      </c>
      <c r="I346" s="97">
        <v>1</v>
      </c>
    </row>
    <row r="347" spans="1:9" ht="13.5">
      <c r="A347" s="91" t="s">
        <v>465</v>
      </c>
      <c r="B347" s="92" t="s">
        <v>271</v>
      </c>
      <c r="C347" s="91" t="s">
        <v>465</v>
      </c>
      <c r="D347" s="91" t="s">
        <v>247</v>
      </c>
      <c r="E347" s="93">
        <v>39160</v>
      </c>
      <c r="F347" s="94">
        <f t="shared" ca="1" si="12"/>
        <v>9</v>
      </c>
      <c r="G347" s="95"/>
      <c r="H347" s="96">
        <v>37840</v>
      </c>
      <c r="I347" s="97">
        <v>1</v>
      </c>
    </row>
    <row r="348" spans="1:9" ht="13.5">
      <c r="A348" s="91" t="s">
        <v>465</v>
      </c>
      <c r="B348" s="92" t="s">
        <v>271</v>
      </c>
      <c r="C348" s="91" t="s">
        <v>465</v>
      </c>
      <c r="D348" s="91" t="s">
        <v>252</v>
      </c>
      <c r="E348" s="93">
        <v>39264</v>
      </c>
      <c r="F348" s="94">
        <f t="shared" ca="1" si="12"/>
        <v>9</v>
      </c>
      <c r="G348" s="95"/>
      <c r="H348" s="96">
        <v>28424</v>
      </c>
      <c r="I348" s="97">
        <v>4</v>
      </c>
    </row>
    <row r="349" spans="1:9" ht="13.5">
      <c r="A349" s="91" t="s">
        <v>465</v>
      </c>
      <c r="B349" s="92" t="s">
        <v>245</v>
      </c>
      <c r="C349" s="91" t="s">
        <v>465</v>
      </c>
      <c r="D349" s="91" t="s">
        <v>256</v>
      </c>
      <c r="E349" s="93">
        <v>39268</v>
      </c>
      <c r="F349" s="94">
        <f t="shared" ca="1" si="12"/>
        <v>9</v>
      </c>
      <c r="G349" s="95" t="s">
        <v>257</v>
      </c>
      <c r="H349" s="96">
        <v>43820</v>
      </c>
      <c r="I349" s="97">
        <v>2</v>
      </c>
    </row>
    <row r="350" spans="1:9" ht="13.5">
      <c r="A350" s="91" t="s">
        <v>465</v>
      </c>
      <c r="B350" s="92" t="s">
        <v>285</v>
      </c>
      <c r="C350" s="91" t="s">
        <v>465</v>
      </c>
      <c r="D350" s="91" t="s">
        <v>256</v>
      </c>
      <c r="E350" s="99">
        <v>39293</v>
      </c>
      <c r="F350" s="94">
        <f t="shared" ca="1" si="12"/>
        <v>9</v>
      </c>
      <c r="G350" s="95" t="s">
        <v>267</v>
      </c>
      <c r="H350" s="96">
        <v>44260</v>
      </c>
      <c r="I350" s="97">
        <v>1</v>
      </c>
    </row>
    <row r="351" spans="1:9" ht="13.5">
      <c r="A351" s="91" t="s">
        <v>465</v>
      </c>
      <c r="B351" s="92" t="s">
        <v>271</v>
      </c>
      <c r="C351" s="91" t="s">
        <v>465</v>
      </c>
      <c r="D351" s="91" t="s">
        <v>256</v>
      </c>
      <c r="E351" s="93">
        <v>39324</v>
      </c>
      <c r="F351" s="94">
        <f t="shared" ca="1" si="12"/>
        <v>9</v>
      </c>
      <c r="G351" s="95" t="s">
        <v>257</v>
      </c>
      <c r="H351" s="96">
        <v>47440</v>
      </c>
      <c r="I351" s="97">
        <v>3</v>
      </c>
    </row>
    <row r="352" spans="1:9" ht="13.5">
      <c r="A352" s="91" t="s">
        <v>465</v>
      </c>
      <c r="B352" s="92" t="s">
        <v>271</v>
      </c>
      <c r="C352" s="91" t="s">
        <v>465</v>
      </c>
      <c r="D352" s="91" t="s">
        <v>247</v>
      </c>
      <c r="E352" s="99">
        <v>39370</v>
      </c>
      <c r="F352" s="94">
        <f t="shared" ca="1" si="12"/>
        <v>9</v>
      </c>
      <c r="G352" s="95"/>
      <c r="H352" s="96">
        <v>57110</v>
      </c>
      <c r="I352" s="97">
        <v>3</v>
      </c>
    </row>
    <row r="353" spans="1:9" ht="13.5">
      <c r="A353" s="98" t="s">
        <v>1047</v>
      </c>
      <c r="B353" s="92"/>
      <c r="C353" s="98"/>
      <c r="D353" s="91"/>
      <c r="E353" s="99"/>
      <c r="F353" s="94"/>
      <c r="G353" s="95"/>
      <c r="H353" s="96"/>
      <c r="I353" s="97"/>
    </row>
    <row r="354" spans="1:9" ht="13.5">
      <c r="A354" s="91" t="s">
        <v>618</v>
      </c>
      <c r="B354" s="92" t="s">
        <v>280</v>
      </c>
      <c r="C354" s="91" t="s">
        <v>618</v>
      </c>
      <c r="D354" s="91" t="s">
        <v>256</v>
      </c>
      <c r="E354" s="93">
        <v>32522</v>
      </c>
      <c r="F354" s="94">
        <f t="shared" ref="F354:F360" ca="1" si="13">DATEDIF(E354,TODAY(),"Y")</f>
        <v>27</v>
      </c>
      <c r="G354" s="95" t="s">
        <v>257</v>
      </c>
      <c r="H354" s="96">
        <v>39160</v>
      </c>
      <c r="I354" s="97">
        <v>3</v>
      </c>
    </row>
    <row r="355" spans="1:9" ht="13.5">
      <c r="A355" s="91" t="s">
        <v>618</v>
      </c>
      <c r="B355" s="92" t="s">
        <v>245</v>
      </c>
      <c r="C355" s="91" t="s">
        <v>618</v>
      </c>
      <c r="D355" s="91" t="s">
        <v>247</v>
      </c>
      <c r="E355" s="93">
        <v>35455</v>
      </c>
      <c r="F355" s="94">
        <f t="shared" ca="1" si="13"/>
        <v>19</v>
      </c>
      <c r="G355" s="95"/>
      <c r="H355" s="96">
        <v>74500</v>
      </c>
      <c r="I355" s="97">
        <v>4</v>
      </c>
    </row>
    <row r="356" spans="1:9" ht="13.5">
      <c r="A356" s="91" t="s">
        <v>618</v>
      </c>
      <c r="B356" s="92" t="s">
        <v>251</v>
      </c>
      <c r="C356" s="91" t="s">
        <v>618</v>
      </c>
      <c r="D356" s="91" t="s">
        <v>256</v>
      </c>
      <c r="E356" s="93">
        <v>36097</v>
      </c>
      <c r="F356" s="94">
        <f t="shared" ca="1" si="13"/>
        <v>18</v>
      </c>
      <c r="G356" s="95" t="s">
        <v>257</v>
      </c>
      <c r="H356" s="96">
        <v>59140</v>
      </c>
      <c r="I356" s="97">
        <v>5</v>
      </c>
    </row>
    <row r="357" spans="1:9" ht="13.5">
      <c r="A357" s="91" t="s">
        <v>618</v>
      </c>
      <c r="B357" s="92" t="s">
        <v>285</v>
      </c>
      <c r="C357" s="91" t="s">
        <v>618</v>
      </c>
      <c r="D357" s="91" t="s">
        <v>256</v>
      </c>
      <c r="E357" s="93">
        <v>36626</v>
      </c>
      <c r="F357" s="94">
        <f t="shared" ca="1" si="13"/>
        <v>16</v>
      </c>
      <c r="G357" s="95" t="s">
        <v>283</v>
      </c>
      <c r="H357" s="96">
        <v>53870</v>
      </c>
      <c r="I357" s="97">
        <v>2</v>
      </c>
    </row>
    <row r="358" spans="1:9" ht="13.5">
      <c r="A358" s="91" t="s">
        <v>618</v>
      </c>
      <c r="B358" s="92" t="s">
        <v>245</v>
      </c>
      <c r="C358" s="91" t="s">
        <v>618</v>
      </c>
      <c r="D358" s="91" t="s">
        <v>256</v>
      </c>
      <c r="E358" s="93">
        <v>37728</v>
      </c>
      <c r="F358" s="94">
        <f t="shared" ca="1" si="13"/>
        <v>13</v>
      </c>
      <c r="G358" s="95" t="s">
        <v>276</v>
      </c>
      <c r="H358" s="96">
        <v>71400</v>
      </c>
      <c r="I358" s="97">
        <v>4</v>
      </c>
    </row>
    <row r="359" spans="1:9" ht="13.5">
      <c r="A359" s="91" t="s">
        <v>618</v>
      </c>
      <c r="B359" s="92" t="s">
        <v>266</v>
      </c>
      <c r="C359" s="91" t="s">
        <v>618</v>
      </c>
      <c r="D359" s="91" t="s">
        <v>247</v>
      </c>
      <c r="E359" s="99">
        <v>38982</v>
      </c>
      <c r="F359" s="94">
        <f t="shared" ca="1" si="13"/>
        <v>10</v>
      </c>
      <c r="G359" s="95"/>
      <c r="H359" s="96">
        <v>61890</v>
      </c>
      <c r="I359" s="97">
        <v>2</v>
      </c>
    </row>
    <row r="360" spans="1:9" ht="13.5">
      <c r="A360" s="91" t="s">
        <v>618</v>
      </c>
      <c r="B360" s="92" t="s">
        <v>266</v>
      </c>
      <c r="C360" s="91" t="s">
        <v>618</v>
      </c>
      <c r="D360" s="91" t="s">
        <v>256</v>
      </c>
      <c r="E360" s="99">
        <v>39003</v>
      </c>
      <c r="F360" s="94">
        <f t="shared" ca="1" si="13"/>
        <v>10</v>
      </c>
      <c r="G360" s="95" t="s">
        <v>283</v>
      </c>
      <c r="H360" s="96">
        <v>27250</v>
      </c>
      <c r="I360" s="97">
        <v>5</v>
      </c>
    </row>
    <row r="361" spans="1:9" ht="13.5">
      <c r="A361" s="98" t="s">
        <v>1048</v>
      </c>
      <c r="B361" s="92"/>
      <c r="C361" s="98"/>
      <c r="D361" s="91"/>
      <c r="E361" s="99"/>
      <c r="F361" s="94"/>
      <c r="G361" s="95"/>
      <c r="H361" s="96"/>
      <c r="I361" s="97"/>
    </row>
    <row r="362" spans="1:9" ht="13.5">
      <c r="A362" s="91" t="s">
        <v>626</v>
      </c>
      <c r="B362" s="92" t="s">
        <v>245</v>
      </c>
      <c r="C362" s="91" t="s">
        <v>626</v>
      </c>
      <c r="D362" s="91" t="s">
        <v>256</v>
      </c>
      <c r="E362" s="93">
        <v>31913</v>
      </c>
      <c r="F362" s="94">
        <f t="shared" ref="F362:F416" ca="1" si="14">DATEDIF(E362,TODAY(),"Y")</f>
        <v>29</v>
      </c>
      <c r="G362" s="95" t="s">
        <v>262</v>
      </c>
      <c r="H362" s="96">
        <v>31260</v>
      </c>
      <c r="I362" s="97">
        <v>5</v>
      </c>
    </row>
    <row r="363" spans="1:9" ht="13.5">
      <c r="A363" s="91" t="s">
        <v>626</v>
      </c>
      <c r="B363" s="92" t="s">
        <v>280</v>
      </c>
      <c r="C363" s="91" t="s">
        <v>626</v>
      </c>
      <c r="D363" s="91" t="s">
        <v>256</v>
      </c>
      <c r="E363" s="93">
        <v>31937</v>
      </c>
      <c r="F363" s="94">
        <f t="shared" ca="1" si="14"/>
        <v>29</v>
      </c>
      <c r="G363" s="95" t="s">
        <v>257</v>
      </c>
      <c r="H363" s="96">
        <v>62740</v>
      </c>
      <c r="I363" s="97">
        <v>4</v>
      </c>
    </row>
    <row r="364" spans="1:9" ht="13.5">
      <c r="A364" s="91" t="s">
        <v>626</v>
      </c>
      <c r="B364" s="92" t="s">
        <v>285</v>
      </c>
      <c r="C364" s="91" t="s">
        <v>626</v>
      </c>
      <c r="D364" s="91" t="s">
        <v>252</v>
      </c>
      <c r="E364" s="93">
        <v>31995</v>
      </c>
      <c r="F364" s="94">
        <f t="shared" ca="1" si="14"/>
        <v>29</v>
      </c>
      <c r="G364" s="95"/>
      <c r="H364" s="96">
        <v>36844</v>
      </c>
      <c r="I364" s="97">
        <v>4</v>
      </c>
    </row>
    <row r="365" spans="1:9" ht="13.5">
      <c r="A365" s="91" t="s">
        <v>626</v>
      </c>
      <c r="B365" s="92" t="s">
        <v>271</v>
      </c>
      <c r="C365" s="91" t="s">
        <v>626</v>
      </c>
      <c r="D365" s="91" t="s">
        <v>261</v>
      </c>
      <c r="E365" s="93">
        <v>32009</v>
      </c>
      <c r="F365" s="94">
        <f t="shared" ca="1" si="14"/>
        <v>29</v>
      </c>
      <c r="G365" s="95" t="s">
        <v>267</v>
      </c>
      <c r="H365" s="96">
        <v>13090</v>
      </c>
      <c r="I365" s="97">
        <v>4</v>
      </c>
    </row>
    <row r="366" spans="1:9" ht="13.5">
      <c r="A366" s="91" t="s">
        <v>626</v>
      </c>
      <c r="B366" s="92" t="s">
        <v>251</v>
      </c>
      <c r="C366" s="91" t="s">
        <v>626</v>
      </c>
      <c r="D366" s="91" t="s">
        <v>256</v>
      </c>
      <c r="E366" s="93">
        <v>32097</v>
      </c>
      <c r="F366" s="94">
        <f t="shared" ca="1" si="14"/>
        <v>28</v>
      </c>
      <c r="G366" s="95" t="s">
        <v>257</v>
      </c>
      <c r="H366" s="96">
        <v>22900</v>
      </c>
      <c r="I366" s="97">
        <v>1</v>
      </c>
    </row>
    <row r="367" spans="1:9" ht="13.5">
      <c r="A367" s="91" t="s">
        <v>626</v>
      </c>
      <c r="B367" s="92" t="s">
        <v>285</v>
      </c>
      <c r="C367" s="91" t="s">
        <v>626</v>
      </c>
      <c r="D367" s="91" t="s">
        <v>256</v>
      </c>
      <c r="E367" s="93">
        <v>32296</v>
      </c>
      <c r="F367" s="94">
        <f t="shared" ca="1" si="14"/>
        <v>28</v>
      </c>
      <c r="G367" s="95" t="s">
        <v>262</v>
      </c>
      <c r="H367" s="96">
        <v>87120</v>
      </c>
      <c r="I367" s="97">
        <v>3</v>
      </c>
    </row>
    <row r="368" spans="1:9" ht="13.5">
      <c r="A368" s="91" t="s">
        <v>626</v>
      </c>
      <c r="B368" s="92" t="s">
        <v>285</v>
      </c>
      <c r="C368" s="91" t="s">
        <v>626</v>
      </c>
      <c r="D368" s="91" t="s">
        <v>256</v>
      </c>
      <c r="E368" s="93">
        <v>32385</v>
      </c>
      <c r="F368" s="94">
        <f t="shared" ca="1" si="14"/>
        <v>28</v>
      </c>
      <c r="G368" s="95" t="s">
        <v>262</v>
      </c>
      <c r="H368" s="96">
        <v>60560</v>
      </c>
      <c r="I368" s="97">
        <v>4</v>
      </c>
    </row>
    <row r="369" spans="1:9" ht="13.5">
      <c r="A369" s="91" t="s">
        <v>626</v>
      </c>
      <c r="B369" s="92" t="s">
        <v>245</v>
      </c>
      <c r="C369" s="91" t="s">
        <v>626</v>
      </c>
      <c r="D369" s="91" t="s">
        <v>256</v>
      </c>
      <c r="E369" s="93">
        <v>32392</v>
      </c>
      <c r="F369" s="94">
        <f t="shared" ca="1" si="14"/>
        <v>28</v>
      </c>
      <c r="G369" s="95" t="s">
        <v>257</v>
      </c>
      <c r="H369" s="96">
        <v>37020</v>
      </c>
      <c r="I369" s="97">
        <v>2</v>
      </c>
    </row>
    <row r="370" spans="1:9" ht="13.5">
      <c r="A370" s="91" t="s">
        <v>626</v>
      </c>
      <c r="B370" s="92" t="s">
        <v>251</v>
      </c>
      <c r="C370" s="91" t="s">
        <v>626</v>
      </c>
      <c r="D370" s="91" t="s">
        <v>256</v>
      </c>
      <c r="E370" s="93">
        <v>32455</v>
      </c>
      <c r="F370" s="94">
        <f t="shared" ca="1" si="14"/>
        <v>28</v>
      </c>
      <c r="G370" s="95" t="s">
        <v>262</v>
      </c>
      <c r="H370" s="96">
        <v>73930</v>
      </c>
      <c r="I370" s="97">
        <v>1</v>
      </c>
    </row>
    <row r="371" spans="1:9" ht="13.5">
      <c r="A371" s="91" t="s">
        <v>626</v>
      </c>
      <c r="B371" s="92" t="s">
        <v>285</v>
      </c>
      <c r="C371" s="91" t="s">
        <v>626</v>
      </c>
      <c r="D371" s="91" t="s">
        <v>256</v>
      </c>
      <c r="E371" s="93">
        <v>32724</v>
      </c>
      <c r="F371" s="94">
        <f t="shared" ca="1" si="14"/>
        <v>27</v>
      </c>
      <c r="G371" s="95" t="s">
        <v>267</v>
      </c>
      <c r="H371" s="96">
        <v>45180</v>
      </c>
      <c r="I371" s="97">
        <v>5</v>
      </c>
    </row>
    <row r="372" spans="1:9" ht="13.5">
      <c r="A372" s="91" t="s">
        <v>626</v>
      </c>
      <c r="B372" s="92" t="s">
        <v>266</v>
      </c>
      <c r="C372" s="91" t="s">
        <v>626</v>
      </c>
      <c r="D372" s="91" t="s">
        <v>247</v>
      </c>
      <c r="E372" s="93">
        <v>32744</v>
      </c>
      <c r="F372" s="94">
        <f t="shared" ca="1" si="14"/>
        <v>27</v>
      </c>
      <c r="G372" s="95"/>
      <c r="H372" s="96">
        <v>29000</v>
      </c>
      <c r="I372" s="97">
        <v>5</v>
      </c>
    </row>
    <row r="373" spans="1:9" ht="13.5">
      <c r="A373" s="91" t="s">
        <v>626</v>
      </c>
      <c r="B373" s="92" t="s">
        <v>285</v>
      </c>
      <c r="C373" s="91" t="s">
        <v>626</v>
      </c>
      <c r="D373" s="91" t="s">
        <v>256</v>
      </c>
      <c r="E373" s="93">
        <v>32757</v>
      </c>
      <c r="F373" s="94">
        <f t="shared" ca="1" si="14"/>
        <v>27</v>
      </c>
      <c r="G373" s="95" t="s">
        <v>267</v>
      </c>
      <c r="H373" s="96">
        <v>86540</v>
      </c>
      <c r="I373" s="97">
        <v>4</v>
      </c>
    </row>
    <row r="374" spans="1:9" ht="13.5">
      <c r="A374" s="91" t="s">
        <v>626</v>
      </c>
      <c r="B374" s="92" t="s">
        <v>285</v>
      </c>
      <c r="C374" s="91" t="s">
        <v>626</v>
      </c>
      <c r="D374" s="91" t="s">
        <v>256</v>
      </c>
      <c r="E374" s="93">
        <v>32867</v>
      </c>
      <c r="F374" s="94">
        <f t="shared" ca="1" si="14"/>
        <v>26</v>
      </c>
      <c r="G374" s="95" t="s">
        <v>283</v>
      </c>
      <c r="H374" s="96">
        <v>65250</v>
      </c>
      <c r="I374" s="97">
        <v>2</v>
      </c>
    </row>
    <row r="375" spans="1:9" ht="13.5">
      <c r="A375" s="91" t="s">
        <v>626</v>
      </c>
      <c r="B375" s="92" t="s">
        <v>285</v>
      </c>
      <c r="C375" s="91" t="s">
        <v>626</v>
      </c>
      <c r="D375" s="91" t="s">
        <v>256</v>
      </c>
      <c r="E375" s="93">
        <v>33565</v>
      </c>
      <c r="F375" s="94">
        <f t="shared" ca="1" si="14"/>
        <v>24</v>
      </c>
      <c r="G375" s="95" t="s">
        <v>276</v>
      </c>
      <c r="H375" s="96">
        <v>66920</v>
      </c>
      <c r="I375" s="97">
        <v>2</v>
      </c>
    </row>
    <row r="376" spans="1:9" ht="13.5">
      <c r="A376" s="91" t="s">
        <v>626</v>
      </c>
      <c r="B376" s="92" t="s">
        <v>280</v>
      </c>
      <c r="C376" s="91" t="s">
        <v>626</v>
      </c>
      <c r="D376" s="91" t="s">
        <v>247</v>
      </c>
      <c r="E376" s="93">
        <v>33637</v>
      </c>
      <c r="F376" s="94">
        <f t="shared" ca="1" si="14"/>
        <v>24</v>
      </c>
      <c r="G376" s="95"/>
      <c r="H376" s="96">
        <v>81930</v>
      </c>
      <c r="I376" s="97">
        <v>5</v>
      </c>
    </row>
    <row r="377" spans="1:9" ht="13.5">
      <c r="A377" s="91" t="s">
        <v>626</v>
      </c>
      <c r="B377" s="92" t="s">
        <v>280</v>
      </c>
      <c r="C377" s="91" t="s">
        <v>626</v>
      </c>
      <c r="D377" s="91" t="s">
        <v>247</v>
      </c>
      <c r="E377" s="93">
        <v>33637</v>
      </c>
      <c r="F377" s="94">
        <f t="shared" ca="1" si="14"/>
        <v>24</v>
      </c>
      <c r="G377" s="95"/>
      <c r="H377" s="96">
        <v>81930</v>
      </c>
      <c r="I377" s="97">
        <v>5</v>
      </c>
    </row>
    <row r="378" spans="1:9" ht="13.5">
      <c r="A378" s="91" t="s">
        <v>626</v>
      </c>
      <c r="B378" s="92" t="s">
        <v>245</v>
      </c>
      <c r="C378" s="91" t="s">
        <v>626</v>
      </c>
      <c r="D378" s="91" t="s">
        <v>256</v>
      </c>
      <c r="E378" s="93">
        <v>33910</v>
      </c>
      <c r="F378" s="94">
        <f t="shared" ca="1" si="14"/>
        <v>24</v>
      </c>
      <c r="G378" s="95" t="s">
        <v>267</v>
      </c>
      <c r="H378" s="96">
        <v>70480</v>
      </c>
      <c r="I378" s="97">
        <v>4</v>
      </c>
    </row>
    <row r="379" spans="1:9" ht="13.5">
      <c r="A379" s="91" t="s">
        <v>626</v>
      </c>
      <c r="B379" s="92" t="s">
        <v>245</v>
      </c>
      <c r="C379" s="91" t="s">
        <v>626</v>
      </c>
      <c r="D379" s="91" t="s">
        <v>256</v>
      </c>
      <c r="E379" s="93">
        <v>33944</v>
      </c>
      <c r="F379" s="94">
        <f t="shared" ca="1" si="14"/>
        <v>23</v>
      </c>
      <c r="G379" s="95" t="s">
        <v>257</v>
      </c>
      <c r="H379" s="96">
        <v>48800</v>
      </c>
      <c r="I379" s="97">
        <v>4</v>
      </c>
    </row>
    <row r="380" spans="1:9" ht="13.5">
      <c r="A380" s="91" t="s">
        <v>626</v>
      </c>
      <c r="B380" s="92" t="s">
        <v>251</v>
      </c>
      <c r="C380" s="91" t="s">
        <v>626</v>
      </c>
      <c r="D380" s="91" t="s">
        <v>256</v>
      </c>
      <c r="E380" s="93">
        <v>33972</v>
      </c>
      <c r="F380" s="94">
        <f t="shared" ca="1" si="14"/>
        <v>23</v>
      </c>
      <c r="G380" s="95" t="s">
        <v>257</v>
      </c>
      <c r="H380" s="96">
        <v>57560</v>
      </c>
      <c r="I380" s="97">
        <v>4</v>
      </c>
    </row>
    <row r="381" spans="1:9" ht="13.5">
      <c r="A381" s="91" t="s">
        <v>626</v>
      </c>
      <c r="B381" s="92" t="s">
        <v>266</v>
      </c>
      <c r="C381" s="91" t="s">
        <v>626</v>
      </c>
      <c r="D381" s="91" t="s">
        <v>247</v>
      </c>
      <c r="E381" s="93">
        <v>34208</v>
      </c>
      <c r="F381" s="94">
        <f t="shared" ca="1" si="14"/>
        <v>23</v>
      </c>
      <c r="G381" s="95"/>
      <c r="H381" s="96">
        <v>53870</v>
      </c>
      <c r="I381" s="97">
        <v>2</v>
      </c>
    </row>
    <row r="382" spans="1:9" ht="13.5">
      <c r="A382" s="91" t="s">
        <v>626</v>
      </c>
      <c r="B382" s="92" t="s">
        <v>285</v>
      </c>
      <c r="C382" s="91" t="s">
        <v>626</v>
      </c>
      <c r="D382" s="91" t="s">
        <v>256</v>
      </c>
      <c r="E382" s="93">
        <v>34237</v>
      </c>
      <c r="F382" s="94">
        <f t="shared" ca="1" si="14"/>
        <v>23</v>
      </c>
      <c r="G382" s="95" t="s">
        <v>257</v>
      </c>
      <c r="H382" s="96">
        <v>81640</v>
      </c>
      <c r="I382" s="97">
        <v>4</v>
      </c>
    </row>
    <row r="383" spans="1:9" ht="13.5">
      <c r="A383" s="91" t="s">
        <v>626</v>
      </c>
      <c r="B383" s="92" t="s">
        <v>285</v>
      </c>
      <c r="C383" s="91" t="s">
        <v>626</v>
      </c>
      <c r="D383" s="91" t="s">
        <v>256</v>
      </c>
      <c r="E383" s="93">
        <v>34237</v>
      </c>
      <c r="F383" s="94">
        <f t="shared" ca="1" si="14"/>
        <v>23</v>
      </c>
      <c r="G383" s="95" t="s">
        <v>257</v>
      </c>
      <c r="H383" s="96">
        <v>81640</v>
      </c>
      <c r="I383" s="97">
        <v>4</v>
      </c>
    </row>
    <row r="384" spans="1:9" ht="13.5">
      <c r="A384" s="91" t="s">
        <v>626</v>
      </c>
      <c r="B384" s="92" t="s">
        <v>285</v>
      </c>
      <c r="C384" s="91" t="s">
        <v>626</v>
      </c>
      <c r="D384" s="91" t="s">
        <v>247</v>
      </c>
      <c r="E384" s="93">
        <v>34372</v>
      </c>
      <c r="F384" s="94">
        <f t="shared" ca="1" si="14"/>
        <v>22</v>
      </c>
      <c r="G384" s="95"/>
      <c r="H384" s="96">
        <v>63850</v>
      </c>
      <c r="I384" s="97">
        <v>2</v>
      </c>
    </row>
    <row r="385" spans="1:9" ht="13.5">
      <c r="A385" s="91" t="s">
        <v>626</v>
      </c>
      <c r="B385" s="92" t="s">
        <v>271</v>
      </c>
      <c r="C385" s="91" t="s">
        <v>626</v>
      </c>
      <c r="D385" s="91" t="s">
        <v>247</v>
      </c>
      <c r="E385" s="93">
        <v>34466</v>
      </c>
      <c r="F385" s="94">
        <f t="shared" ca="1" si="14"/>
        <v>22</v>
      </c>
      <c r="G385" s="95"/>
      <c r="H385" s="96">
        <v>77930</v>
      </c>
      <c r="I385" s="97">
        <v>5</v>
      </c>
    </row>
    <row r="386" spans="1:9" ht="13.5">
      <c r="A386" s="91" t="s">
        <v>626</v>
      </c>
      <c r="B386" s="92" t="s">
        <v>245</v>
      </c>
      <c r="C386" s="91" t="s">
        <v>626</v>
      </c>
      <c r="D386" s="91" t="s">
        <v>256</v>
      </c>
      <c r="E386" s="93">
        <v>34546</v>
      </c>
      <c r="F386" s="94">
        <f t="shared" ca="1" si="14"/>
        <v>22</v>
      </c>
      <c r="G386" s="95" t="s">
        <v>276</v>
      </c>
      <c r="H386" s="96">
        <v>86830</v>
      </c>
      <c r="I386" s="97">
        <v>3</v>
      </c>
    </row>
    <row r="387" spans="1:9" ht="13.5">
      <c r="A387" s="91" t="s">
        <v>626</v>
      </c>
      <c r="B387" s="92" t="s">
        <v>271</v>
      </c>
      <c r="C387" s="91" t="s">
        <v>626</v>
      </c>
      <c r="D387" s="91" t="s">
        <v>256</v>
      </c>
      <c r="E387" s="93">
        <v>34547</v>
      </c>
      <c r="F387" s="94">
        <f t="shared" ca="1" si="14"/>
        <v>22</v>
      </c>
      <c r="G387" s="95" t="s">
        <v>283</v>
      </c>
      <c r="H387" s="96">
        <v>82110</v>
      </c>
      <c r="I387" s="97">
        <v>3</v>
      </c>
    </row>
    <row r="388" spans="1:9" ht="13.5">
      <c r="A388" s="91" t="s">
        <v>626</v>
      </c>
      <c r="B388" s="92" t="s">
        <v>285</v>
      </c>
      <c r="C388" s="91" t="s">
        <v>626</v>
      </c>
      <c r="D388" s="91" t="s">
        <v>261</v>
      </c>
      <c r="E388" s="93">
        <v>34784</v>
      </c>
      <c r="F388" s="94">
        <f t="shared" ca="1" si="14"/>
        <v>21</v>
      </c>
      <c r="G388" s="95" t="s">
        <v>257</v>
      </c>
      <c r="H388" s="96">
        <v>47885</v>
      </c>
      <c r="I388" s="97">
        <v>1</v>
      </c>
    </row>
    <row r="389" spans="1:9" ht="13.5">
      <c r="A389" s="91" t="s">
        <v>626</v>
      </c>
      <c r="B389" s="92" t="s">
        <v>285</v>
      </c>
      <c r="C389" s="91" t="s">
        <v>626</v>
      </c>
      <c r="D389" s="91" t="s">
        <v>256</v>
      </c>
      <c r="E389" s="93">
        <v>34806</v>
      </c>
      <c r="F389" s="94">
        <f t="shared" ca="1" si="14"/>
        <v>21</v>
      </c>
      <c r="G389" s="95" t="s">
        <v>276</v>
      </c>
      <c r="H389" s="96">
        <v>49770</v>
      </c>
      <c r="I389" s="97">
        <v>1</v>
      </c>
    </row>
    <row r="390" spans="1:9" ht="13.5">
      <c r="A390" s="91" t="s">
        <v>626</v>
      </c>
      <c r="B390" s="92" t="s">
        <v>245</v>
      </c>
      <c r="C390" s="91" t="s">
        <v>626</v>
      </c>
      <c r="D390" s="91" t="s">
        <v>261</v>
      </c>
      <c r="E390" s="93">
        <v>34811</v>
      </c>
      <c r="F390" s="94">
        <f t="shared" ca="1" si="14"/>
        <v>21</v>
      </c>
      <c r="G390" s="95" t="s">
        <v>283</v>
      </c>
      <c r="H390" s="96">
        <v>28880</v>
      </c>
      <c r="I390" s="97">
        <v>3</v>
      </c>
    </row>
    <row r="391" spans="1:9" ht="13.5">
      <c r="A391" s="91" t="s">
        <v>626</v>
      </c>
      <c r="B391" s="92" t="s">
        <v>245</v>
      </c>
      <c r="C391" s="91" t="s">
        <v>626</v>
      </c>
      <c r="D391" s="91" t="s">
        <v>247</v>
      </c>
      <c r="E391" s="93">
        <v>34882</v>
      </c>
      <c r="F391" s="94">
        <f t="shared" ca="1" si="14"/>
        <v>21</v>
      </c>
      <c r="G391" s="95"/>
      <c r="H391" s="96">
        <v>47620</v>
      </c>
      <c r="I391" s="97">
        <v>5</v>
      </c>
    </row>
    <row r="392" spans="1:9" ht="13.5">
      <c r="A392" s="91" t="s">
        <v>626</v>
      </c>
      <c r="B392" s="92" t="s">
        <v>251</v>
      </c>
      <c r="C392" s="91" t="s">
        <v>626</v>
      </c>
      <c r="D392" s="91" t="s">
        <v>247</v>
      </c>
      <c r="E392" s="93">
        <v>34889</v>
      </c>
      <c r="F392" s="94">
        <f t="shared" ca="1" si="14"/>
        <v>21</v>
      </c>
      <c r="G392" s="95"/>
      <c r="H392" s="96">
        <v>31270</v>
      </c>
      <c r="I392" s="97">
        <v>5</v>
      </c>
    </row>
    <row r="393" spans="1:9" ht="13.5">
      <c r="A393" s="91" t="s">
        <v>626</v>
      </c>
      <c r="B393" s="92" t="s">
        <v>266</v>
      </c>
      <c r="C393" s="91" t="s">
        <v>626</v>
      </c>
      <c r="D393" s="91" t="s">
        <v>256</v>
      </c>
      <c r="E393" s="93">
        <v>34987</v>
      </c>
      <c r="F393" s="94">
        <f t="shared" ca="1" si="14"/>
        <v>21</v>
      </c>
      <c r="G393" s="95" t="s">
        <v>257</v>
      </c>
      <c r="H393" s="96">
        <v>46030</v>
      </c>
      <c r="I393" s="97">
        <v>2</v>
      </c>
    </row>
    <row r="394" spans="1:9" ht="13.5">
      <c r="A394" s="91" t="s">
        <v>626</v>
      </c>
      <c r="B394" s="92" t="s">
        <v>280</v>
      </c>
      <c r="C394" s="91" t="s">
        <v>626</v>
      </c>
      <c r="D394" s="91" t="s">
        <v>261</v>
      </c>
      <c r="E394" s="93">
        <v>35061</v>
      </c>
      <c r="F394" s="94">
        <f t="shared" ca="1" si="14"/>
        <v>20</v>
      </c>
      <c r="G394" s="95" t="s">
        <v>283</v>
      </c>
      <c r="H394" s="96">
        <v>26790</v>
      </c>
      <c r="I394" s="97">
        <v>2</v>
      </c>
    </row>
    <row r="395" spans="1:9" ht="13.5">
      <c r="A395" s="91" t="s">
        <v>626</v>
      </c>
      <c r="B395" s="92" t="s">
        <v>251</v>
      </c>
      <c r="C395" s="91" t="s">
        <v>626</v>
      </c>
      <c r="D395" s="91" t="s">
        <v>256</v>
      </c>
      <c r="E395" s="93">
        <v>35082</v>
      </c>
      <c r="F395" s="94">
        <f t="shared" ca="1" si="14"/>
        <v>20</v>
      </c>
      <c r="G395" s="95" t="s">
        <v>283</v>
      </c>
      <c r="H395" s="96">
        <v>51410</v>
      </c>
      <c r="I395" s="97">
        <v>4</v>
      </c>
    </row>
    <row r="396" spans="1:9" ht="13.5">
      <c r="A396" s="91" t="s">
        <v>626</v>
      </c>
      <c r="B396" s="92" t="s">
        <v>271</v>
      </c>
      <c r="C396" s="91" t="s">
        <v>626</v>
      </c>
      <c r="D396" s="91" t="s">
        <v>256</v>
      </c>
      <c r="E396" s="93">
        <v>35146</v>
      </c>
      <c r="F396" s="94">
        <f t="shared" ca="1" si="14"/>
        <v>20</v>
      </c>
      <c r="G396" s="95" t="s">
        <v>283</v>
      </c>
      <c r="H396" s="96">
        <v>43460</v>
      </c>
      <c r="I396" s="97">
        <v>5</v>
      </c>
    </row>
    <row r="397" spans="1:9" ht="13.5">
      <c r="A397" s="91" t="s">
        <v>626</v>
      </c>
      <c r="B397" s="92" t="s">
        <v>285</v>
      </c>
      <c r="C397" s="91" t="s">
        <v>626</v>
      </c>
      <c r="D397" s="91" t="s">
        <v>256</v>
      </c>
      <c r="E397" s="93">
        <v>35153</v>
      </c>
      <c r="F397" s="94">
        <f t="shared" ca="1" si="14"/>
        <v>20</v>
      </c>
      <c r="G397" s="95" t="s">
        <v>257</v>
      </c>
      <c r="H397" s="96">
        <v>44220</v>
      </c>
      <c r="I397" s="97">
        <v>3</v>
      </c>
    </row>
    <row r="398" spans="1:9" ht="13.5">
      <c r="A398" s="91" t="s">
        <v>626</v>
      </c>
      <c r="B398" s="92" t="s">
        <v>245</v>
      </c>
      <c r="C398" s="91" t="s">
        <v>626</v>
      </c>
      <c r="D398" s="91" t="s">
        <v>256</v>
      </c>
      <c r="E398" s="93">
        <v>35352</v>
      </c>
      <c r="F398" s="94">
        <f t="shared" ca="1" si="14"/>
        <v>20</v>
      </c>
      <c r="G398" s="95" t="s">
        <v>283</v>
      </c>
      <c r="H398" s="96">
        <v>52490</v>
      </c>
      <c r="I398" s="97">
        <v>4</v>
      </c>
    </row>
    <row r="399" spans="1:9" ht="13.5">
      <c r="A399" s="91" t="s">
        <v>626</v>
      </c>
      <c r="B399" s="92" t="s">
        <v>285</v>
      </c>
      <c r="C399" s="91" t="s">
        <v>626</v>
      </c>
      <c r="D399" s="91" t="s">
        <v>247</v>
      </c>
      <c r="E399" s="93">
        <v>35393</v>
      </c>
      <c r="F399" s="94">
        <f t="shared" ca="1" si="14"/>
        <v>19</v>
      </c>
      <c r="G399" s="95"/>
      <c r="H399" s="96">
        <v>50200</v>
      </c>
      <c r="I399" s="97">
        <v>4</v>
      </c>
    </row>
    <row r="400" spans="1:9" ht="13.5">
      <c r="A400" s="91" t="s">
        <v>626</v>
      </c>
      <c r="B400" s="92" t="s">
        <v>245</v>
      </c>
      <c r="C400" s="91" t="s">
        <v>626</v>
      </c>
      <c r="D400" s="91" t="s">
        <v>256</v>
      </c>
      <c r="E400" s="93">
        <v>35630</v>
      </c>
      <c r="F400" s="94">
        <f t="shared" ca="1" si="14"/>
        <v>19</v>
      </c>
      <c r="G400" s="95" t="s">
        <v>257</v>
      </c>
      <c r="H400" s="96">
        <v>48990</v>
      </c>
      <c r="I400" s="97">
        <v>5</v>
      </c>
    </row>
    <row r="401" spans="1:9" ht="13.5">
      <c r="A401" s="91" t="s">
        <v>626</v>
      </c>
      <c r="B401" s="92" t="s">
        <v>245</v>
      </c>
      <c r="C401" s="91" t="s">
        <v>626</v>
      </c>
      <c r="D401" s="91" t="s">
        <v>261</v>
      </c>
      <c r="E401" s="93">
        <v>35828</v>
      </c>
      <c r="F401" s="94">
        <f t="shared" ca="1" si="14"/>
        <v>18</v>
      </c>
      <c r="G401" s="95" t="s">
        <v>262</v>
      </c>
      <c r="H401" s="96">
        <v>31110</v>
      </c>
      <c r="I401" s="97">
        <v>1</v>
      </c>
    </row>
    <row r="402" spans="1:9" ht="13.5">
      <c r="A402" s="91" t="s">
        <v>626</v>
      </c>
      <c r="B402" s="92" t="s">
        <v>280</v>
      </c>
      <c r="C402" s="91" t="s">
        <v>626</v>
      </c>
      <c r="D402" s="91" t="s">
        <v>261</v>
      </c>
      <c r="E402" s="93">
        <v>35831</v>
      </c>
      <c r="F402" s="94">
        <f t="shared" ca="1" si="14"/>
        <v>18</v>
      </c>
      <c r="G402" s="95" t="s">
        <v>276</v>
      </c>
      <c r="H402" s="96">
        <v>15910</v>
      </c>
      <c r="I402" s="97">
        <v>3</v>
      </c>
    </row>
    <row r="403" spans="1:9" ht="13.5">
      <c r="A403" s="91" t="s">
        <v>626</v>
      </c>
      <c r="B403" s="92" t="s">
        <v>271</v>
      </c>
      <c r="C403" s="91" t="s">
        <v>626</v>
      </c>
      <c r="D403" s="91" t="s">
        <v>261</v>
      </c>
      <c r="E403" s="93">
        <v>35856</v>
      </c>
      <c r="F403" s="94">
        <f t="shared" ca="1" si="14"/>
        <v>18</v>
      </c>
      <c r="G403" s="95" t="s">
        <v>262</v>
      </c>
      <c r="H403" s="96">
        <v>47295</v>
      </c>
      <c r="I403" s="97">
        <v>4</v>
      </c>
    </row>
    <row r="404" spans="1:9" ht="13.5">
      <c r="A404" s="91" t="s">
        <v>626</v>
      </c>
      <c r="B404" s="92" t="s">
        <v>285</v>
      </c>
      <c r="C404" s="91" t="s">
        <v>626</v>
      </c>
      <c r="D404" s="91" t="s">
        <v>261</v>
      </c>
      <c r="E404" s="93">
        <v>37052</v>
      </c>
      <c r="F404" s="94">
        <f t="shared" ca="1" si="14"/>
        <v>15</v>
      </c>
      <c r="G404" s="95" t="s">
        <v>257</v>
      </c>
      <c r="H404" s="96">
        <v>31255</v>
      </c>
      <c r="I404" s="97">
        <v>5</v>
      </c>
    </row>
    <row r="405" spans="1:9" ht="13.5">
      <c r="A405" s="91" t="s">
        <v>626</v>
      </c>
      <c r="B405" s="92" t="s">
        <v>251</v>
      </c>
      <c r="C405" s="91" t="s">
        <v>626</v>
      </c>
      <c r="D405" s="91" t="s">
        <v>247</v>
      </c>
      <c r="E405" s="93">
        <v>37186</v>
      </c>
      <c r="F405" s="94">
        <f t="shared" ca="1" si="14"/>
        <v>15</v>
      </c>
      <c r="G405" s="95"/>
      <c r="H405" s="96">
        <v>57520</v>
      </c>
      <c r="I405" s="97">
        <v>3</v>
      </c>
    </row>
    <row r="406" spans="1:9" ht="13.5">
      <c r="A406" s="91" t="s">
        <v>626</v>
      </c>
      <c r="B406" s="92" t="s">
        <v>245</v>
      </c>
      <c r="C406" s="91" t="s">
        <v>626</v>
      </c>
      <c r="D406" s="91" t="s">
        <v>261</v>
      </c>
      <c r="E406" s="93">
        <v>37788</v>
      </c>
      <c r="F406" s="94">
        <f t="shared" ca="1" si="14"/>
        <v>13</v>
      </c>
      <c r="G406" s="95" t="s">
        <v>283</v>
      </c>
      <c r="H406" s="96">
        <v>47705</v>
      </c>
      <c r="I406" s="97">
        <v>5</v>
      </c>
    </row>
    <row r="407" spans="1:9" ht="13.5">
      <c r="A407" s="91" t="s">
        <v>626</v>
      </c>
      <c r="B407" s="92" t="s">
        <v>245</v>
      </c>
      <c r="C407" s="91" t="s">
        <v>626</v>
      </c>
      <c r="D407" s="91" t="s">
        <v>261</v>
      </c>
      <c r="E407" s="93">
        <v>37788</v>
      </c>
      <c r="F407" s="94">
        <f t="shared" ca="1" si="14"/>
        <v>13</v>
      </c>
      <c r="G407" s="95" t="s">
        <v>283</v>
      </c>
      <c r="H407" s="96">
        <v>47705</v>
      </c>
      <c r="I407" s="97">
        <v>5</v>
      </c>
    </row>
    <row r="408" spans="1:9" ht="13.5">
      <c r="A408" s="91" t="s">
        <v>626</v>
      </c>
      <c r="B408" s="92" t="s">
        <v>245</v>
      </c>
      <c r="C408" s="91" t="s">
        <v>626</v>
      </c>
      <c r="D408" s="91" t="s">
        <v>256</v>
      </c>
      <c r="E408" s="93">
        <v>37847</v>
      </c>
      <c r="F408" s="94">
        <f t="shared" ca="1" si="14"/>
        <v>13</v>
      </c>
      <c r="G408" s="95" t="s">
        <v>283</v>
      </c>
      <c r="H408" s="96">
        <v>47610</v>
      </c>
      <c r="I408" s="97">
        <v>4</v>
      </c>
    </row>
    <row r="409" spans="1:9" ht="13.5">
      <c r="A409" s="91" t="s">
        <v>626</v>
      </c>
      <c r="B409" s="92" t="s">
        <v>271</v>
      </c>
      <c r="C409" s="91" t="s">
        <v>626</v>
      </c>
      <c r="D409" s="91" t="s">
        <v>247</v>
      </c>
      <c r="E409" s="93">
        <v>37973</v>
      </c>
      <c r="F409" s="94">
        <f t="shared" ca="1" si="14"/>
        <v>12</v>
      </c>
      <c r="G409" s="95"/>
      <c r="H409" s="96">
        <v>74470</v>
      </c>
      <c r="I409" s="97">
        <v>3</v>
      </c>
    </row>
    <row r="410" spans="1:9" ht="13.5">
      <c r="A410" s="91" t="s">
        <v>626</v>
      </c>
      <c r="B410" s="92" t="s">
        <v>245</v>
      </c>
      <c r="C410" s="91" t="s">
        <v>626</v>
      </c>
      <c r="D410" s="91" t="s">
        <v>261</v>
      </c>
      <c r="E410" s="93">
        <v>38561</v>
      </c>
      <c r="F410" s="94">
        <f t="shared" ca="1" si="14"/>
        <v>11</v>
      </c>
      <c r="G410" s="95" t="s">
        <v>267</v>
      </c>
      <c r="H410" s="96">
        <v>38575</v>
      </c>
      <c r="I410" s="97">
        <v>2</v>
      </c>
    </row>
    <row r="411" spans="1:9" ht="13.5">
      <c r="A411" s="91" t="s">
        <v>626</v>
      </c>
      <c r="B411" s="92" t="s">
        <v>266</v>
      </c>
      <c r="C411" s="91" t="s">
        <v>626</v>
      </c>
      <c r="D411" s="91" t="s">
        <v>256</v>
      </c>
      <c r="E411" s="93">
        <v>38773</v>
      </c>
      <c r="F411" s="94">
        <f t="shared" ca="1" si="14"/>
        <v>10</v>
      </c>
      <c r="G411" s="95" t="s">
        <v>283</v>
      </c>
      <c r="H411" s="96">
        <v>44150</v>
      </c>
      <c r="I411" s="97">
        <v>4</v>
      </c>
    </row>
    <row r="412" spans="1:9" ht="13.5">
      <c r="A412" s="91" t="s">
        <v>626</v>
      </c>
      <c r="B412" s="92" t="s">
        <v>271</v>
      </c>
      <c r="C412" s="91" t="s">
        <v>626</v>
      </c>
      <c r="D412" s="91" t="s">
        <v>256</v>
      </c>
      <c r="E412" s="93">
        <v>38899</v>
      </c>
      <c r="F412" s="94">
        <f t="shared" ca="1" si="14"/>
        <v>10</v>
      </c>
      <c r="G412" s="95" t="s">
        <v>283</v>
      </c>
      <c r="H412" s="96">
        <v>45260</v>
      </c>
      <c r="I412" s="97">
        <v>4</v>
      </c>
    </row>
    <row r="413" spans="1:9" ht="13.5">
      <c r="A413" s="91" t="s">
        <v>626</v>
      </c>
      <c r="B413" s="92" t="s">
        <v>271</v>
      </c>
      <c r="C413" s="91" t="s">
        <v>626</v>
      </c>
      <c r="D413" s="91" t="s">
        <v>261</v>
      </c>
      <c r="E413" s="93">
        <v>39041</v>
      </c>
      <c r="F413" s="94">
        <f t="shared" ca="1" si="14"/>
        <v>9</v>
      </c>
      <c r="G413" s="95" t="s">
        <v>283</v>
      </c>
      <c r="H413" s="96">
        <v>20040</v>
      </c>
      <c r="I413" s="97">
        <v>3</v>
      </c>
    </row>
    <row r="414" spans="1:9" ht="13.5">
      <c r="A414" s="91" t="s">
        <v>626</v>
      </c>
      <c r="B414" s="92" t="s">
        <v>271</v>
      </c>
      <c r="C414" s="91" t="s">
        <v>626</v>
      </c>
      <c r="D414" s="91" t="s">
        <v>256</v>
      </c>
      <c r="E414" s="93">
        <v>39051</v>
      </c>
      <c r="F414" s="94">
        <f t="shared" ca="1" si="14"/>
        <v>9</v>
      </c>
      <c r="G414" s="95" t="s">
        <v>267</v>
      </c>
      <c r="H414" s="96">
        <v>75780</v>
      </c>
      <c r="I414" s="97">
        <v>2</v>
      </c>
    </row>
    <row r="415" spans="1:9" ht="13.5">
      <c r="A415" s="91" t="s">
        <v>626</v>
      </c>
      <c r="B415" s="92" t="s">
        <v>271</v>
      </c>
      <c r="C415" s="91" t="s">
        <v>626</v>
      </c>
      <c r="D415" s="91" t="s">
        <v>256</v>
      </c>
      <c r="E415" s="93">
        <v>39137</v>
      </c>
      <c r="F415" s="94">
        <f t="shared" ca="1" si="14"/>
        <v>9</v>
      </c>
      <c r="G415" s="95" t="s">
        <v>257</v>
      </c>
      <c r="H415" s="96">
        <v>33970</v>
      </c>
      <c r="I415" s="97">
        <v>4</v>
      </c>
    </row>
    <row r="416" spans="1:9" ht="13.5">
      <c r="A416" s="91" t="s">
        <v>626</v>
      </c>
      <c r="B416" s="92" t="s">
        <v>271</v>
      </c>
      <c r="C416" s="91" t="s">
        <v>626</v>
      </c>
      <c r="D416" s="91" t="s">
        <v>256</v>
      </c>
      <c r="E416" s="93">
        <v>39137</v>
      </c>
      <c r="F416" s="94">
        <f t="shared" ca="1" si="14"/>
        <v>9</v>
      </c>
      <c r="G416" s="95" t="s">
        <v>257</v>
      </c>
      <c r="H416" s="96">
        <v>33970</v>
      </c>
      <c r="I416" s="97">
        <v>4</v>
      </c>
    </row>
    <row r="417" spans="1:9" ht="13.5">
      <c r="A417" s="98" t="s">
        <v>1049</v>
      </c>
      <c r="B417" s="92"/>
      <c r="C417" s="98"/>
      <c r="D417" s="91"/>
      <c r="E417" s="93"/>
      <c r="F417" s="94"/>
      <c r="G417" s="95"/>
      <c r="H417" s="96"/>
      <c r="I417" s="97"/>
    </row>
    <row r="418" spans="1:9" ht="13.5">
      <c r="A418" s="91" t="s">
        <v>678</v>
      </c>
      <c r="B418" s="92" t="s">
        <v>280</v>
      </c>
      <c r="C418" s="91" t="s">
        <v>678</v>
      </c>
      <c r="D418" s="91" t="s">
        <v>256</v>
      </c>
      <c r="E418" s="93">
        <v>32307</v>
      </c>
      <c r="F418" s="94">
        <f t="shared" ref="F418:F438" ca="1" si="15">DATEDIF(E418,TODAY(),"Y")</f>
        <v>28</v>
      </c>
      <c r="G418" s="95" t="s">
        <v>257</v>
      </c>
      <c r="H418" s="96">
        <v>39110</v>
      </c>
      <c r="I418" s="97">
        <v>5</v>
      </c>
    </row>
    <row r="419" spans="1:9" ht="13.5">
      <c r="A419" s="91" t="s">
        <v>678</v>
      </c>
      <c r="B419" s="92" t="s">
        <v>285</v>
      </c>
      <c r="C419" s="91" t="s">
        <v>678</v>
      </c>
      <c r="D419" s="91" t="s">
        <v>256</v>
      </c>
      <c r="E419" s="93">
        <v>32431</v>
      </c>
      <c r="F419" s="94">
        <f t="shared" ca="1" si="15"/>
        <v>28</v>
      </c>
      <c r="G419" s="95" t="s">
        <v>257</v>
      </c>
      <c r="H419" s="96">
        <v>48550</v>
      </c>
      <c r="I419" s="97">
        <v>5</v>
      </c>
    </row>
    <row r="420" spans="1:9" ht="13.5">
      <c r="A420" s="91" t="s">
        <v>678</v>
      </c>
      <c r="B420" s="92" t="s">
        <v>285</v>
      </c>
      <c r="C420" s="91" t="s">
        <v>678</v>
      </c>
      <c r="D420" s="91" t="s">
        <v>256</v>
      </c>
      <c r="E420" s="93">
        <v>32594</v>
      </c>
      <c r="F420" s="94">
        <f t="shared" ca="1" si="15"/>
        <v>27</v>
      </c>
      <c r="G420" s="95" t="s">
        <v>262</v>
      </c>
      <c r="H420" s="96">
        <v>87980</v>
      </c>
      <c r="I420" s="97">
        <v>1</v>
      </c>
    </row>
    <row r="421" spans="1:9" ht="13.5">
      <c r="A421" s="91" t="s">
        <v>678</v>
      </c>
      <c r="B421" s="92" t="s">
        <v>285</v>
      </c>
      <c r="C421" s="91" t="s">
        <v>678</v>
      </c>
      <c r="D421" s="91" t="s">
        <v>256</v>
      </c>
      <c r="E421" s="93">
        <v>33811</v>
      </c>
      <c r="F421" s="94">
        <f t="shared" ca="1" si="15"/>
        <v>24</v>
      </c>
      <c r="G421" s="95" t="s">
        <v>283</v>
      </c>
      <c r="H421" s="96">
        <v>22860</v>
      </c>
      <c r="I421" s="97">
        <v>5</v>
      </c>
    </row>
    <row r="422" spans="1:9" ht="13.5">
      <c r="A422" s="91" t="s">
        <v>678</v>
      </c>
      <c r="B422" s="92" t="s">
        <v>280</v>
      </c>
      <c r="C422" s="91" t="s">
        <v>678</v>
      </c>
      <c r="D422" s="91" t="s">
        <v>261</v>
      </c>
      <c r="E422" s="93">
        <v>33840</v>
      </c>
      <c r="F422" s="94">
        <f t="shared" ca="1" si="15"/>
        <v>24</v>
      </c>
      <c r="G422" s="95" t="s">
        <v>257</v>
      </c>
      <c r="H422" s="96">
        <v>49405</v>
      </c>
      <c r="I422" s="97">
        <v>4</v>
      </c>
    </row>
    <row r="423" spans="1:9" ht="13.5">
      <c r="A423" s="91" t="s">
        <v>678</v>
      </c>
      <c r="B423" s="92" t="s">
        <v>271</v>
      </c>
      <c r="C423" s="91" t="s">
        <v>678</v>
      </c>
      <c r="D423" s="91" t="s">
        <v>252</v>
      </c>
      <c r="E423" s="93">
        <v>34071</v>
      </c>
      <c r="F423" s="94">
        <f t="shared" ca="1" si="15"/>
        <v>23</v>
      </c>
      <c r="G423" s="95"/>
      <c r="H423" s="96">
        <v>35312</v>
      </c>
      <c r="I423" s="97">
        <v>3</v>
      </c>
    </row>
    <row r="424" spans="1:9" ht="13.5">
      <c r="A424" s="91" t="s">
        <v>678</v>
      </c>
      <c r="B424" s="92" t="s">
        <v>285</v>
      </c>
      <c r="C424" s="91" t="s">
        <v>678</v>
      </c>
      <c r="D424" s="91" t="s">
        <v>247</v>
      </c>
      <c r="E424" s="93">
        <v>34137</v>
      </c>
      <c r="F424" s="94">
        <f t="shared" ca="1" si="15"/>
        <v>23</v>
      </c>
      <c r="G424" s="95"/>
      <c r="H424" s="96">
        <v>54190</v>
      </c>
      <c r="I424" s="97">
        <v>4</v>
      </c>
    </row>
    <row r="425" spans="1:9" ht="13.5">
      <c r="A425" s="91" t="s">
        <v>678</v>
      </c>
      <c r="B425" s="92" t="s">
        <v>251</v>
      </c>
      <c r="C425" s="91" t="s">
        <v>678</v>
      </c>
      <c r="D425" s="91" t="s">
        <v>247</v>
      </c>
      <c r="E425" s="93">
        <v>34414</v>
      </c>
      <c r="F425" s="94">
        <f t="shared" ca="1" si="15"/>
        <v>22</v>
      </c>
      <c r="G425" s="95"/>
      <c r="H425" s="96">
        <v>86470</v>
      </c>
      <c r="I425" s="97">
        <v>4</v>
      </c>
    </row>
    <row r="426" spans="1:9" ht="13.5">
      <c r="A426" s="91" t="s">
        <v>678</v>
      </c>
      <c r="B426" s="92" t="s">
        <v>271</v>
      </c>
      <c r="C426" s="91" t="s">
        <v>678</v>
      </c>
      <c r="D426" s="91" t="s">
        <v>261</v>
      </c>
      <c r="E426" s="93">
        <v>34651</v>
      </c>
      <c r="F426" s="94">
        <f t="shared" ca="1" si="15"/>
        <v>21</v>
      </c>
      <c r="G426" s="95" t="s">
        <v>257</v>
      </c>
      <c r="H426" s="96">
        <v>20500</v>
      </c>
      <c r="I426" s="97">
        <v>3</v>
      </c>
    </row>
    <row r="427" spans="1:9" ht="13.5">
      <c r="A427" s="91" t="s">
        <v>678</v>
      </c>
      <c r="B427" s="92" t="s">
        <v>245</v>
      </c>
      <c r="C427" s="91" t="s">
        <v>678</v>
      </c>
      <c r="D427" s="91" t="s">
        <v>247</v>
      </c>
      <c r="E427" s="93">
        <v>34737</v>
      </c>
      <c r="F427" s="94">
        <f t="shared" ca="1" si="15"/>
        <v>21</v>
      </c>
      <c r="G427" s="95"/>
      <c r="H427" s="96">
        <v>72480</v>
      </c>
      <c r="I427" s="97">
        <v>2</v>
      </c>
    </row>
    <row r="428" spans="1:9" ht="13.5">
      <c r="A428" s="91" t="s">
        <v>678</v>
      </c>
      <c r="B428" s="92" t="s">
        <v>271</v>
      </c>
      <c r="C428" s="91" t="s">
        <v>678</v>
      </c>
      <c r="D428" s="91" t="s">
        <v>252</v>
      </c>
      <c r="E428" s="93">
        <v>34774</v>
      </c>
      <c r="F428" s="94">
        <f t="shared" ca="1" si="15"/>
        <v>21</v>
      </c>
      <c r="G428" s="95"/>
      <c r="H428" s="96">
        <v>21668</v>
      </c>
      <c r="I428" s="97">
        <v>4</v>
      </c>
    </row>
    <row r="429" spans="1:9" ht="13.5">
      <c r="A429" s="91" t="s">
        <v>678</v>
      </c>
      <c r="B429" s="92" t="s">
        <v>271</v>
      </c>
      <c r="C429" s="91" t="s">
        <v>678</v>
      </c>
      <c r="D429" s="91" t="s">
        <v>256</v>
      </c>
      <c r="E429" s="93">
        <v>34865</v>
      </c>
      <c r="F429" s="94">
        <f t="shared" ca="1" si="15"/>
        <v>21</v>
      </c>
      <c r="G429" s="95" t="s">
        <v>283</v>
      </c>
      <c r="H429" s="96">
        <v>23520</v>
      </c>
      <c r="I429" s="97">
        <v>2</v>
      </c>
    </row>
    <row r="430" spans="1:9" ht="13.5">
      <c r="A430" s="91" t="s">
        <v>678</v>
      </c>
      <c r="B430" s="92" t="s">
        <v>266</v>
      </c>
      <c r="C430" s="91" t="s">
        <v>678</v>
      </c>
      <c r="D430" s="91" t="s">
        <v>256</v>
      </c>
      <c r="E430" s="93">
        <v>35156</v>
      </c>
      <c r="F430" s="94">
        <f t="shared" ca="1" si="15"/>
        <v>20</v>
      </c>
      <c r="G430" s="95" t="s">
        <v>283</v>
      </c>
      <c r="H430" s="96">
        <v>68410</v>
      </c>
      <c r="I430" s="97">
        <v>5</v>
      </c>
    </row>
    <row r="431" spans="1:9" ht="13.5">
      <c r="A431" s="91" t="s">
        <v>678</v>
      </c>
      <c r="B431" s="92" t="s">
        <v>280</v>
      </c>
      <c r="C431" s="91" t="s">
        <v>678</v>
      </c>
      <c r="D431" s="91" t="s">
        <v>256</v>
      </c>
      <c r="E431" s="93">
        <v>35257</v>
      </c>
      <c r="F431" s="94">
        <f t="shared" ca="1" si="15"/>
        <v>20</v>
      </c>
      <c r="G431" s="95" t="s">
        <v>276</v>
      </c>
      <c r="H431" s="96">
        <v>45450</v>
      </c>
      <c r="I431" s="97">
        <v>5</v>
      </c>
    </row>
    <row r="432" spans="1:9" ht="13.5">
      <c r="A432" s="91" t="s">
        <v>678</v>
      </c>
      <c r="B432" s="92" t="s">
        <v>271</v>
      </c>
      <c r="C432" s="91" t="s">
        <v>678</v>
      </c>
      <c r="D432" s="91" t="s">
        <v>256</v>
      </c>
      <c r="E432" s="93">
        <v>35588</v>
      </c>
      <c r="F432" s="94">
        <f t="shared" ca="1" si="15"/>
        <v>19</v>
      </c>
      <c r="G432" s="95" t="s">
        <v>257</v>
      </c>
      <c r="H432" s="96">
        <v>71820</v>
      </c>
      <c r="I432" s="97">
        <v>2</v>
      </c>
    </row>
    <row r="433" spans="1:9" ht="13.5">
      <c r="A433" s="91" t="s">
        <v>678</v>
      </c>
      <c r="B433" s="92" t="s">
        <v>245</v>
      </c>
      <c r="C433" s="91" t="s">
        <v>678</v>
      </c>
      <c r="D433" s="91" t="s">
        <v>247</v>
      </c>
      <c r="E433" s="93">
        <v>35926</v>
      </c>
      <c r="F433" s="94">
        <f t="shared" ca="1" si="15"/>
        <v>18</v>
      </c>
      <c r="G433" s="95"/>
      <c r="H433" s="96">
        <v>29540</v>
      </c>
      <c r="I433" s="97">
        <v>3</v>
      </c>
    </row>
    <row r="434" spans="1:9" ht="13.5">
      <c r="A434" s="91" t="s">
        <v>678</v>
      </c>
      <c r="B434" s="92" t="s">
        <v>285</v>
      </c>
      <c r="C434" s="91" t="s">
        <v>678</v>
      </c>
      <c r="D434" s="91" t="s">
        <v>247</v>
      </c>
      <c r="E434" s="93">
        <v>36493</v>
      </c>
      <c r="F434" s="94">
        <f t="shared" ca="1" si="15"/>
        <v>16</v>
      </c>
      <c r="G434" s="95"/>
      <c r="H434" s="96">
        <v>78100</v>
      </c>
      <c r="I434" s="97">
        <v>3</v>
      </c>
    </row>
    <row r="435" spans="1:9" ht="13.5">
      <c r="A435" s="91" t="s">
        <v>678</v>
      </c>
      <c r="B435" s="92" t="s">
        <v>266</v>
      </c>
      <c r="C435" s="91" t="s">
        <v>678</v>
      </c>
      <c r="D435" s="91" t="s">
        <v>252</v>
      </c>
      <c r="E435" s="93">
        <v>36517</v>
      </c>
      <c r="F435" s="94">
        <f t="shared" ca="1" si="15"/>
        <v>16</v>
      </c>
      <c r="G435" s="95"/>
      <c r="H435" s="96">
        <v>11044</v>
      </c>
      <c r="I435" s="97">
        <v>2</v>
      </c>
    </row>
    <row r="436" spans="1:9" ht="13.5">
      <c r="A436" s="91" t="s">
        <v>678</v>
      </c>
      <c r="B436" s="92" t="s">
        <v>251</v>
      </c>
      <c r="C436" s="91" t="s">
        <v>678</v>
      </c>
      <c r="D436" s="91" t="s">
        <v>247</v>
      </c>
      <c r="E436" s="93">
        <v>39023</v>
      </c>
      <c r="F436" s="94">
        <f t="shared" ca="1" si="15"/>
        <v>10</v>
      </c>
      <c r="G436" s="95"/>
      <c r="H436" s="96">
        <v>74020</v>
      </c>
      <c r="I436" s="97">
        <v>2</v>
      </c>
    </row>
    <row r="437" spans="1:9" ht="13.5">
      <c r="A437" s="91" t="s">
        <v>678</v>
      </c>
      <c r="B437" s="92" t="s">
        <v>271</v>
      </c>
      <c r="C437" s="91" t="s">
        <v>678</v>
      </c>
      <c r="D437" s="91" t="s">
        <v>247</v>
      </c>
      <c r="E437" s="93">
        <v>39062</v>
      </c>
      <c r="F437" s="94">
        <f t="shared" ca="1" si="15"/>
        <v>9</v>
      </c>
      <c r="G437" s="95"/>
      <c r="H437" s="96">
        <v>75100</v>
      </c>
      <c r="I437" s="97">
        <v>4</v>
      </c>
    </row>
    <row r="438" spans="1:9" ht="13.5">
      <c r="A438" s="91" t="s">
        <v>678</v>
      </c>
      <c r="B438" s="92" t="s">
        <v>280</v>
      </c>
      <c r="C438" s="91" t="s">
        <v>678</v>
      </c>
      <c r="D438" s="91" t="s">
        <v>256</v>
      </c>
      <c r="E438" s="93">
        <v>39223</v>
      </c>
      <c r="F438" s="94">
        <f t="shared" ca="1" si="15"/>
        <v>9</v>
      </c>
      <c r="G438" s="95" t="s">
        <v>276</v>
      </c>
      <c r="H438" s="96">
        <v>62180</v>
      </c>
      <c r="I438" s="97">
        <v>2</v>
      </c>
    </row>
    <row r="439" spans="1:9" ht="13.5">
      <c r="A439" s="98" t="s">
        <v>1050</v>
      </c>
      <c r="B439" s="92"/>
      <c r="C439" s="98"/>
      <c r="D439" s="91"/>
      <c r="E439" s="93"/>
      <c r="F439" s="94"/>
      <c r="G439" s="95"/>
      <c r="H439" s="96"/>
      <c r="I439" s="97"/>
    </row>
    <row r="440" spans="1:9" ht="13.5">
      <c r="A440" s="91" t="s">
        <v>700</v>
      </c>
      <c r="B440" s="92" t="s">
        <v>245</v>
      </c>
      <c r="C440" s="91" t="s">
        <v>700</v>
      </c>
      <c r="D440" s="91" t="s">
        <v>247</v>
      </c>
      <c r="E440" s="93">
        <v>33098</v>
      </c>
      <c r="F440" s="94">
        <f ca="1">DATEDIF(E440,TODAY(),"Y")</f>
        <v>26</v>
      </c>
      <c r="G440" s="95"/>
      <c r="H440" s="96">
        <v>71700</v>
      </c>
      <c r="I440" s="97">
        <v>2</v>
      </c>
    </row>
    <row r="441" spans="1:9" ht="13.5">
      <c r="A441" s="91" t="s">
        <v>700</v>
      </c>
      <c r="B441" s="92" t="s">
        <v>285</v>
      </c>
      <c r="C441" s="91" t="s">
        <v>700</v>
      </c>
      <c r="D441" s="91" t="s">
        <v>256</v>
      </c>
      <c r="E441" s="93">
        <v>33504</v>
      </c>
      <c r="F441" s="94">
        <f ca="1">DATEDIF(E441,TODAY(),"Y")</f>
        <v>25</v>
      </c>
      <c r="G441" s="95" t="s">
        <v>257</v>
      </c>
      <c r="H441" s="96">
        <v>63190</v>
      </c>
      <c r="I441" s="97">
        <v>1</v>
      </c>
    </row>
    <row r="442" spans="1:9" ht="13.5">
      <c r="A442" s="91" t="s">
        <v>700</v>
      </c>
      <c r="B442" s="92" t="s">
        <v>245</v>
      </c>
      <c r="C442" s="91" t="s">
        <v>700</v>
      </c>
      <c r="D442" s="91" t="s">
        <v>247</v>
      </c>
      <c r="E442" s="93">
        <v>34141</v>
      </c>
      <c r="F442" s="94">
        <f ca="1">DATEDIF(E442,TODAY(),"Y")</f>
        <v>23</v>
      </c>
      <c r="G442" s="95"/>
      <c r="H442" s="96">
        <v>25120</v>
      </c>
      <c r="I442" s="97">
        <v>2</v>
      </c>
    </row>
    <row r="443" spans="1:9" ht="13.5">
      <c r="A443" s="91" t="s">
        <v>700</v>
      </c>
      <c r="B443" s="92" t="s">
        <v>271</v>
      </c>
      <c r="C443" s="91" t="s">
        <v>700</v>
      </c>
      <c r="D443" s="91" t="s">
        <v>247</v>
      </c>
      <c r="E443" s="93">
        <v>34257</v>
      </c>
      <c r="F443" s="94">
        <f ca="1">DATEDIF(E443,TODAY(),"Y")</f>
        <v>23</v>
      </c>
      <c r="G443" s="95"/>
      <c r="H443" s="96">
        <v>44820</v>
      </c>
      <c r="I443" s="97">
        <v>4</v>
      </c>
    </row>
    <row r="444" spans="1:9" ht="13.5">
      <c r="A444" s="98" t="s">
        <v>1051</v>
      </c>
      <c r="B444" s="92"/>
      <c r="C444" s="98"/>
      <c r="D444" s="91"/>
      <c r="E444" s="93"/>
      <c r="F444" s="94"/>
      <c r="G444" s="95"/>
      <c r="H444" s="96"/>
      <c r="I444" s="97"/>
    </row>
    <row r="445" spans="1:9" ht="13.5">
      <c r="A445" s="91" t="s">
        <v>705</v>
      </c>
      <c r="B445" s="92" t="s">
        <v>285</v>
      </c>
      <c r="C445" s="91" t="s">
        <v>705</v>
      </c>
      <c r="D445" s="91" t="s">
        <v>256</v>
      </c>
      <c r="E445" s="93">
        <v>32147</v>
      </c>
      <c r="F445" s="94">
        <f t="shared" ref="F445:F488" ca="1" si="16">DATEDIF(E445,TODAY(),"Y")</f>
        <v>28</v>
      </c>
      <c r="G445" s="95" t="s">
        <v>267</v>
      </c>
      <c r="H445" s="96">
        <v>61470</v>
      </c>
      <c r="I445" s="97">
        <v>5</v>
      </c>
    </row>
    <row r="446" spans="1:9" ht="13.5">
      <c r="A446" s="91" t="s">
        <v>705</v>
      </c>
      <c r="B446" s="92" t="s">
        <v>271</v>
      </c>
      <c r="C446" s="91" t="s">
        <v>705</v>
      </c>
      <c r="D446" s="91" t="s">
        <v>261</v>
      </c>
      <c r="E446" s="93">
        <v>32192</v>
      </c>
      <c r="F446" s="94">
        <f t="shared" ca="1" si="16"/>
        <v>28</v>
      </c>
      <c r="G446" s="95" t="s">
        <v>262</v>
      </c>
      <c r="H446" s="96">
        <v>35045</v>
      </c>
      <c r="I446" s="97">
        <v>4</v>
      </c>
    </row>
    <row r="447" spans="1:9" ht="13.5">
      <c r="A447" s="91" t="s">
        <v>705</v>
      </c>
      <c r="B447" s="92" t="s">
        <v>271</v>
      </c>
      <c r="C447" s="91" t="s">
        <v>705</v>
      </c>
      <c r="D447" s="91" t="s">
        <v>256</v>
      </c>
      <c r="E447" s="93">
        <v>32268</v>
      </c>
      <c r="F447" s="94">
        <f t="shared" ca="1" si="16"/>
        <v>28</v>
      </c>
      <c r="G447" s="95" t="s">
        <v>257</v>
      </c>
      <c r="H447" s="96">
        <v>43580</v>
      </c>
      <c r="I447" s="97">
        <v>5</v>
      </c>
    </row>
    <row r="448" spans="1:9" ht="13.5">
      <c r="A448" s="91" t="s">
        <v>705</v>
      </c>
      <c r="B448" s="92" t="s">
        <v>245</v>
      </c>
      <c r="C448" s="91" t="s">
        <v>705</v>
      </c>
      <c r="D448" s="91" t="s">
        <v>256</v>
      </c>
      <c r="E448" s="93">
        <v>32310</v>
      </c>
      <c r="F448" s="94">
        <f t="shared" ca="1" si="16"/>
        <v>28</v>
      </c>
      <c r="G448" s="95" t="s">
        <v>283</v>
      </c>
      <c r="H448" s="96">
        <v>43190</v>
      </c>
      <c r="I448" s="97">
        <v>2</v>
      </c>
    </row>
    <row r="449" spans="1:9" ht="13.5">
      <c r="A449" s="91" t="s">
        <v>705</v>
      </c>
      <c r="B449" s="92" t="s">
        <v>245</v>
      </c>
      <c r="C449" s="91" t="s">
        <v>705</v>
      </c>
      <c r="D449" s="91" t="s">
        <v>256</v>
      </c>
      <c r="E449" s="93">
        <v>32326</v>
      </c>
      <c r="F449" s="94">
        <f t="shared" ca="1" si="16"/>
        <v>28</v>
      </c>
      <c r="G449" s="95" t="s">
        <v>257</v>
      </c>
      <c r="H449" s="96">
        <v>26360</v>
      </c>
      <c r="I449" s="97">
        <v>1</v>
      </c>
    </row>
    <row r="450" spans="1:9" ht="13.5">
      <c r="A450" s="91" t="s">
        <v>705</v>
      </c>
      <c r="B450" s="92" t="s">
        <v>285</v>
      </c>
      <c r="C450" s="91" t="s">
        <v>705</v>
      </c>
      <c r="D450" s="91" t="s">
        <v>256</v>
      </c>
      <c r="E450" s="93">
        <v>32332</v>
      </c>
      <c r="F450" s="94">
        <f t="shared" ca="1" si="16"/>
        <v>28</v>
      </c>
      <c r="G450" s="95" t="s">
        <v>257</v>
      </c>
      <c r="H450" s="96">
        <v>79770</v>
      </c>
      <c r="I450" s="97">
        <v>4</v>
      </c>
    </row>
    <row r="451" spans="1:9" ht="13.5">
      <c r="A451" s="91" t="s">
        <v>705</v>
      </c>
      <c r="B451" s="92" t="s">
        <v>285</v>
      </c>
      <c r="C451" s="91" t="s">
        <v>705</v>
      </c>
      <c r="D451" s="91" t="s">
        <v>247</v>
      </c>
      <c r="E451" s="93">
        <v>32501</v>
      </c>
      <c r="F451" s="94">
        <f t="shared" ca="1" si="16"/>
        <v>27</v>
      </c>
      <c r="G451" s="95"/>
      <c r="H451" s="96">
        <v>32650</v>
      </c>
      <c r="I451" s="97">
        <v>1</v>
      </c>
    </row>
    <row r="452" spans="1:9" ht="13.5">
      <c r="A452" s="91" t="s">
        <v>705</v>
      </c>
      <c r="B452" s="92" t="s">
        <v>285</v>
      </c>
      <c r="C452" s="91" t="s">
        <v>705</v>
      </c>
      <c r="D452" s="91" t="s">
        <v>256</v>
      </c>
      <c r="E452" s="93">
        <v>32568</v>
      </c>
      <c r="F452" s="94">
        <f t="shared" ca="1" si="16"/>
        <v>27</v>
      </c>
      <c r="G452" s="95" t="s">
        <v>276</v>
      </c>
      <c r="H452" s="96">
        <v>75370</v>
      </c>
      <c r="I452" s="97">
        <v>2</v>
      </c>
    </row>
    <row r="453" spans="1:9" ht="13.5">
      <c r="A453" s="91" t="s">
        <v>705</v>
      </c>
      <c r="B453" s="92" t="s">
        <v>271</v>
      </c>
      <c r="C453" s="91" t="s">
        <v>705</v>
      </c>
      <c r="D453" s="91" t="s">
        <v>256</v>
      </c>
      <c r="E453" s="93">
        <v>32571</v>
      </c>
      <c r="F453" s="94">
        <f t="shared" ca="1" si="16"/>
        <v>27</v>
      </c>
      <c r="G453" s="95" t="s">
        <v>276</v>
      </c>
      <c r="H453" s="96">
        <v>46910</v>
      </c>
      <c r="I453" s="97">
        <v>3</v>
      </c>
    </row>
    <row r="454" spans="1:9" ht="13.5">
      <c r="A454" s="91" t="s">
        <v>705</v>
      </c>
      <c r="B454" s="92" t="s">
        <v>285</v>
      </c>
      <c r="C454" s="91" t="s">
        <v>705</v>
      </c>
      <c r="D454" s="91" t="s">
        <v>256</v>
      </c>
      <c r="E454" s="93">
        <v>32618</v>
      </c>
      <c r="F454" s="94">
        <f t="shared" ca="1" si="16"/>
        <v>27</v>
      </c>
      <c r="G454" s="95" t="s">
        <v>262</v>
      </c>
      <c r="H454" s="96">
        <v>68010</v>
      </c>
      <c r="I454" s="97">
        <v>1</v>
      </c>
    </row>
    <row r="455" spans="1:9" ht="13.5">
      <c r="A455" s="91" t="s">
        <v>705</v>
      </c>
      <c r="B455" s="92" t="s">
        <v>271</v>
      </c>
      <c r="C455" s="91" t="s">
        <v>705</v>
      </c>
      <c r="D455" s="91" t="s">
        <v>256</v>
      </c>
      <c r="E455" s="93">
        <v>32801</v>
      </c>
      <c r="F455" s="94">
        <f t="shared" ca="1" si="16"/>
        <v>27</v>
      </c>
      <c r="G455" s="95" t="s">
        <v>283</v>
      </c>
      <c r="H455" s="96">
        <v>73030</v>
      </c>
      <c r="I455" s="97">
        <v>5</v>
      </c>
    </row>
    <row r="456" spans="1:9" ht="13.5">
      <c r="A456" s="91" t="s">
        <v>705</v>
      </c>
      <c r="B456" s="92" t="s">
        <v>251</v>
      </c>
      <c r="C456" s="91" t="s">
        <v>705</v>
      </c>
      <c r="D456" s="91" t="s">
        <v>247</v>
      </c>
      <c r="E456" s="93">
        <v>33192</v>
      </c>
      <c r="F456" s="94">
        <f t="shared" ca="1" si="16"/>
        <v>25</v>
      </c>
      <c r="G456" s="95"/>
      <c r="H456" s="96">
        <v>66710</v>
      </c>
      <c r="I456" s="97">
        <v>2</v>
      </c>
    </row>
    <row r="457" spans="1:9" ht="13.5">
      <c r="A457" s="91" t="s">
        <v>705</v>
      </c>
      <c r="B457" s="92" t="s">
        <v>251</v>
      </c>
      <c r="C457" s="91" t="s">
        <v>705</v>
      </c>
      <c r="D457" s="91" t="s">
        <v>261</v>
      </c>
      <c r="E457" s="93">
        <v>33307</v>
      </c>
      <c r="F457" s="94">
        <f t="shared" ca="1" si="16"/>
        <v>25</v>
      </c>
      <c r="G457" s="95" t="s">
        <v>257</v>
      </c>
      <c r="H457" s="96">
        <v>13435</v>
      </c>
      <c r="I457" s="97">
        <v>1</v>
      </c>
    </row>
    <row r="458" spans="1:9" ht="13.5">
      <c r="A458" s="91" t="s">
        <v>705</v>
      </c>
      <c r="B458" s="92" t="s">
        <v>280</v>
      </c>
      <c r="C458" s="91" t="s">
        <v>705</v>
      </c>
      <c r="D458" s="91" t="s">
        <v>256</v>
      </c>
      <c r="E458" s="93">
        <v>33392</v>
      </c>
      <c r="F458" s="94">
        <f t="shared" ca="1" si="16"/>
        <v>25</v>
      </c>
      <c r="G458" s="95" t="s">
        <v>257</v>
      </c>
      <c r="H458" s="96">
        <v>87030</v>
      </c>
      <c r="I458" s="97">
        <v>3</v>
      </c>
    </row>
    <row r="459" spans="1:9" ht="13.5">
      <c r="A459" s="91" t="s">
        <v>705</v>
      </c>
      <c r="B459" s="92" t="s">
        <v>285</v>
      </c>
      <c r="C459" s="91" t="s">
        <v>705</v>
      </c>
      <c r="D459" s="91" t="s">
        <v>256</v>
      </c>
      <c r="E459" s="93">
        <v>33427</v>
      </c>
      <c r="F459" s="94">
        <f t="shared" ca="1" si="16"/>
        <v>25</v>
      </c>
      <c r="G459" s="95" t="s">
        <v>257</v>
      </c>
      <c r="H459" s="96">
        <v>88850</v>
      </c>
      <c r="I459" s="97">
        <v>3</v>
      </c>
    </row>
    <row r="460" spans="1:9" ht="13.5">
      <c r="A460" s="91" t="s">
        <v>705</v>
      </c>
      <c r="B460" s="92" t="s">
        <v>266</v>
      </c>
      <c r="C460" s="91" t="s">
        <v>705</v>
      </c>
      <c r="D460" s="91" t="s">
        <v>256</v>
      </c>
      <c r="E460" s="93">
        <v>33430</v>
      </c>
      <c r="F460" s="94">
        <f t="shared" ca="1" si="16"/>
        <v>25</v>
      </c>
      <c r="G460" s="95" t="s">
        <v>267</v>
      </c>
      <c r="H460" s="96">
        <v>77840</v>
      </c>
      <c r="I460" s="97">
        <v>2</v>
      </c>
    </row>
    <row r="461" spans="1:9" ht="13.5">
      <c r="A461" s="91" t="s">
        <v>705</v>
      </c>
      <c r="B461" s="92" t="s">
        <v>271</v>
      </c>
      <c r="C461" s="91" t="s">
        <v>705</v>
      </c>
      <c r="D461" s="91" t="s">
        <v>256</v>
      </c>
      <c r="E461" s="93">
        <v>33591</v>
      </c>
      <c r="F461" s="94">
        <f t="shared" ca="1" si="16"/>
        <v>24</v>
      </c>
      <c r="G461" s="95" t="s">
        <v>257</v>
      </c>
      <c r="H461" s="96">
        <v>25830</v>
      </c>
      <c r="I461" s="97">
        <v>5</v>
      </c>
    </row>
    <row r="462" spans="1:9" ht="13.5">
      <c r="A462" s="91" t="s">
        <v>705</v>
      </c>
      <c r="B462" s="92" t="s">
        <v>280</v>
      </c>
      <c r="C462" s="91" t="s">
        <v>705</v>
      </c>
      <c r="D462" s="91" t="s">
        <v>256</v>
      </c>
      <c r="E462" s="93">
        <v>33823</v>
      </c>
      <c r="F462" s="94">
        <f t="shared" ca="1" si="16"/>
        <v>24</v>
      </c>
      <c r="G462" s="95" t="s">
        <v>283</v>
      </c>
      <c r="H462" s="96">
        <v>63080</v>
      </c>
      <c r="I462" s="97">
        <v>5</v>
      </c>
    </row>
    <row r="463" spans="1:9" ht="13.5">
      <c r="A463" s="91" t="s">
        <v>705</v>
      </c>
      <c r="B463" s="92" t="s">
        <v>245</v>
      </c>
      <c r="C463" s="91" t="s">
        <v>705</v>
      </c>
      <c r="D463" s="91" t="s">
        <v>256</v>
      </c>
      <c r="E463" s="93">
        <v>34029</v>
      </c>
      <c r="F463" s="94">
        <f t="shared" ca="1" si="16"/>
        <v>23</v>
      </c>
      <c r="G463" s="95" t="s">
        <v>283</v>
      </c>
      <c r="H463" s="96">
        <v>43410</v>
      </c>
      <c r="I463" s="97">
        <v>1</v>
      </c>
    </row>
    <row r="464" spans="1:9" ht="13.5">
      <c r="A464" s="91" t="s">
        <v>705</v>
      </c>
      <c r="B464" s="92" t="s">
        <v>285</v>
      </c>
      <c r="C464" s="91" t="s">
        <v>705</v>
      </c>
      <c r="D464" s="91" t="s">
        <v>256</v>
      </c>
      <c r="E464" s="93">
        <v>34069</v>
      </c>
      <c r="F464" s="94">
        <f t="shared" ca="1" si="16"/>
        <v>23</v>
      </c>
      <c r="G464" s="95" t="s">
        <v>276</v>
      </c>
      <c r="H464" s="96">
        <v>67230</v>
      </c>
      <c r="I464" s="97">
        <v>4</v>
      </c>
    </row>
    <row r="465" spans="1:9" ht="13.5">
      <c r="A465" s="91" t="s">
        <v>705</v>
      </c>
      <c r="B465" s="92" t="s">
        <v>271</v>
      </c>
      <c r="C465" s="91" t="s">
        <v>705</v>
      </c>
      <c r="D465" s="91" t="s">
        <v>256</v>
      </c>
      <c r="E465" s="93">
        <v>34102</v>
      </c>
      <c r="F465" s="94">
        <f t="shared" ca="1" si="16"/>
        <v>23</v>
      </c>
      <c r="G465" s="95" t="s">
        <v>262</v>
      </c>
      <c r="H465" s="96">
        <v>77950</v>
      </c>
      <c r="I465" s="97">
        <v>4</v>
      </c>
    </row>
    <row r="466" spans="1:9" ht="13.5">
      <c r="A466" s="91" t="s">
        <v>705</v>
      </c>
      <c r="B466" s="92" t="s">
        <v>285</v>
      </c>
      <c r="C466" s="91" t="s">
        <v>705</v>
      </c>
      <c r="D466" s="91" t="s">
        <v>256</v>
      </c>
      <c r="E466" s="93">
        <v>34593</v>
      </c>
      <c r="F466" s="94">
        <f t="shared" ca="1" si="16"/>
        <v>22</v>
      </c>
      <c r="G466" s="95" t="s">
        <v>257</v>
      </c>
      <c r="H466" s="96">
        <v>68520</v>
      </c>
      <c r="I466" s="97">
        <v>5</v>
      </c>
    </row>
    <row r="467" spans="1:9" ht="13.5">
      <c r="A467" s="91" t="s">
        <v>705</v>
      </c>
      <c r="B467" s="92" t="s">
        <v>280</v>
      </c>
      <c r="C467" s="91" t="s">
        <v>705</v>
      </c>
      <c r="D467" s="91" t="s">
        <v>247</v>
      </c>
      <c r="E467" s="93">
        <v>34611</v>
      </c>
      <c r="F467" s="94">
        <f t="shared" ca="1" si="16"/>
        <v>22</v>
      </c>
      <c r="G467" s="95"/>
      <c r="H467" s="96">
        <v>63330</v>
      </c>
      <c r="I467" s="97">
        <v>4</v>
      </c>
    </row>
    <row r="468" spans="1:9" ht="13.5">
      <c r="A468" s="91" t="s">
        <v>705</v>
      </c>
      <c r="B468" s="92" t="s">
        <v>271</v>
      </c>
      <c r="C468" s="91" t="s">
        <v>705</v>
      </c>
      <c r="D468" s="91" t="s">
        <v>256</v>
      </c>
      <c r="E468" s="93">
        <v>34659</v>
      </c>
      <c r="F468" s="94">
        <f t="shared" ca="1" si="16"/>
        <v>21</v>
      </c>
      <c r="G468" s="95" t="s">
        <v>257</v>
      </c>
      <c r="H468" s="96">
        <v>74530</v>
      </c>
      <c r="I468" s="97">
        <v>5</v>
      </c>
    </row>
    <row r="469" spans="1:9" ht="13.5">
      <c r="A469" s="91" t="s">
        <v>705</v>
      </c>
      <c r="B469" s="92" t="s">
        <v>271</v>
      </c>
      <c r="C469" s="91" t="s">
        <v>705</v>
      </c>
      <c r="D469" s="91" t="s">
        <v>252</v>
      </c>
      <c r="E469" s="93">
        <v>35019</v>
      </c>
      <c r="F469" s="94">
        <f t="shared" ca="1" si="16"/>
        <v>20</v>
      </c>
      <c r="G469" s="95"/>
      <c r="H469" s="96">
        <v>39764</v>
      </c>
      <c r="I469" s="97">
        <v>1</v>
      </c>
    </row>
    <row r="470" spans="1:9" ht="13.5">
      <c r="A470" s="91" t="s">
        <v>705</v>
      </c>
      <c r="B470" s="92" t="s">
        <v>271</v>
      </c>
      <c r="C470" s="91" t="s">
        <v>705</v>
      </c>
      <c r="D470" s="91" t="s">
        <v>247</v>
      </c>
      <c r="E470" s="93">
        <v>35313</v>
      </c>
      <c r="F470" s="94">
        <f t="shared" ca="1" si="16"/>
        <v>20</v>
      </c>
      <c r="G470" s="95"/>
      <c r="H470" s="96">
        <v>30300</v>
      </c>
      <c r="I470" s="97">
        <v>1</v>
      </c>
    </row>
    <row r="471" spans="1:9" ht="13.5">
      <c r="A471" s="91" t="s">
        <v>705</v>
      </c>
      <c r="B471" s="92" t="s">
        <v>285</v>
      </c>
      <c r="C471" s="91" t="s">
        <v>705</v>
      </c>
      <c r="D471" s="91" t="s">
        <v>261</v>
      </c>
      <c r="E471" s="93">
        <v>35385</v>
      </c>
      <c r="F471" s="94">
        <f t="shared" ca="1" si="16"/>
        <v>19</v>
      </c>
      <c r="G471" s="95" t="s">
        <v>283</v>
      </c>
      <c r="H471" s="96">
        <v>29005</v>
      </c>
      <c r="I471" s="97">
        <v>1</v>
      </c>
    </row>
    <row r="472" spans="1:9" ht="13.5">
      <c r="A472" s="91" t="s">
        <v>705</v>
      </c>
      <c r="B472" s="92" t="s">
        <v>245</v>
      </c>
      <c r="C472" s="91" t="s">
        <v>705</v>
      </c>
      <c r="D472" s="91" t="s">
        <v>261</v>
      </c>
      <c r="E472" s="93">
        <v>36160</v>
      </c>
      <c r="F472" s="94">
        <f t="shared" ca="1" si="16"/>
        <v>17</v>
      </c>
      <c r="G472" s="95" t="s">
        <v>257</v>
      </c>
      <c r="H472" s="96">
        <v>33810</v>
      </c>
      <c r="I472" s="97">
        <v>5</v>
      </c>
    </row>
    <row r="473" spans="1:9" ht="13.5">
      <c r="A473" s="91" t="s">
        <v>705</v>
      </c>
      <c r="B473" s="92" t="s">
        <v>271</v>
      </c>
      <c r="C473" s="91" t="s">
        <v>705</v>
      </c>
      <c r="D473" s="91" t="s">
        <v>252</v>
      </c>
      <c r="E473" s="93">
        <v>36401</v>
      </c>
      <c r="F473" s="94">
        <f t="shared" ca="1" si="16"/>
        <v>17</v>
      </c>
      <c r="G473" s="95"/>
      <c r="H473" s="96">
        <v>21648</v>
      </c>
      <c r="I473" s="97">
        <v>2</v>
      </c>
    </row>
    <row r="474" spans="1:9" ht="13.5">
      <c r="A474" s="91" t="s">
        <v>705</v>
      </c>
      <c r="B474" s="92" t="s">
        <v>285</v>
      </c>
      <c r="C474" s="91" t="s">
        <v>705</v>
      </c>
      <c r="D474" s="91" t="s">
        <v>252</v>
      </c>
      <c r="E474" s="93">
        <v>36834</v>
      </c>
      <c r="F474" s="94">
        <f t="shared" ca="1" si="16"/>
        <v>16</v>
      </c>
      <c r="G474" s="95"/>
      <c r="H474" s="96">
        <v>33512</v>
      </c>
      <c r="I474" s="97">
        <v>4</v>
      </c>
    </row>
    <row r="475" spans="1:9" ht="13.5">
      <c r="A475" s="91" t="s">
        <v>705</v>
      </c>
      <c r="B475" s="92" t="s">
        <v>271</v>
      </c>
      <c r="C475" s="91" t="s">
        <v>705</v>
      </c>
      <c r="D475" s="91" t="s">
        <v>256</v>
      </c>
      <c r="E475" s="93">
        <v>36917</v>
      </c>
      <c r="F475" s="94">
        <f t="shared" ca="1" si="16"/>
        <v>15</v>
      </c>
      <c r="G475" s="95" t="s">
        <v>283</v>
      </c>
      <c r="H475" s="96">
        <v>86200</v>
      </c>
      <c r="I475" s="97">
        <v>3</v>
      </c>
    </row>
    <row r="476" spans="1:9" ht="13.5">
      <c r="A476" s="91" t="s">
        <v>705</v>
      </c>
      <c r="B476" s="92" t="s">
        <v>285</v>
      </c>
      <c r="C476" s="91" t="s">
        <v>705</v>
      </c>
      <c r="D476" s="91" t="s">
        <v>256</v>
      </c>
      <c r="E476" s="93">
        <v>37497</v>
      </c>
      <c r="F476" s="94">
        <f t="shared" ca="1" si="16"/>
        <v>14</v>
      </c>
      <c r="G476" s="95" t="s">
        <v>257</v>
      </c>
      <c r="H476" s="96">
        <v>47060</v>
      </c>
      <c r="I476" s="97">
        <v>4</v>
      </c>
    </row>
    <row r="477" spans="1:9" ht="13.5">
      <c r="A477" s="91" t="s">
        <v>705</v>
      </c>
      <c r="B477" s="92" t="s">
        <v>285</v>
      </c>
      <c r="C477" s="91" t="s">
        <v>705</v>
      </c>
      <c r="D477" s="91" t="s">
        <v>256</v>
      </c>
      <c r="E477" s="93">
        <v>37606</v>
      </c>
      <c r="F477" s="94">
        <f t="shared" ca="1" si="16"/>
        <v>13</v>
      </c>
      <c r="G477" s="95" t="s">
        <v>262</v>
      </c>
      <c r="H477" s="96">
        <v>27560</v>
      </c>
      <c r="I477" s="97">
        <v>2</v>
      </c>
    </row>
    <row r="478" spans="1:9" ht="13.5">
      <c r="A478" s="91" t="s">
        <v>705</v>
      </c>
      <c r="B478" s="92" t="s">
        <v>251</v>
      </c>
      <c r="C478" s="91" t="s">
        <v>705</v>
      </c>
      <c r="D478" s="91" t="s">
        <v>261</v>
      </c>
      <c r="E478" s="93">
        <v>37989</v>
      </c>
      <c r="F478" s="94">
        <f t="shared" ca="1" si="16"/>
        <v>12</v>
      </c>
      <c r="G478" s="95" t="s">
        <v>276</v>
      </c>
      <c r="H478" s="96">
        <v>47760</v>
      </c>
      <c r="I478" s="97">
        <v>3</v>
      </c>
    </row>
    <row r="479" spans="1:9" ht="13.5">
      <c r="A479" s="91" t="s">
        <v>705</v>
      </c>
      <c r="B479" s="92" t="s">
        <v>285</v>
      </c>
      <c r="C479" s="91" t="s">
        <v>705</v>
      </c>
      <c r="D479" s="91" t="s">
        <v>256</v>
      </c>
      <c r="E479" s="93">
        <v>38094</v>
      </c>
      <c r="F479" s="94">
        <f t="shared" ca="1" si="16"/>
        <v>12</v>
      </c>
      <c r="G479" s="95" t="s">
        <v>267</v>
      </c>
      <c r="H479" s="96">
        <v>50990</v>
      </c>
      <c r="I479" s="97">
        <v>4</v>
      </c>
    </row>
    <row r="480" spans="1:9" ht="13.5">
      <c r="A480" s="91" t="s">
        <v>705</v>
      </c>
      <c r="B480" s="92" t="s">
        <v>245</v>
      </c>
      <c r="C480" s="91" t="s">
        <v>705</v>
      </c>
      <c r="D480" s="91" t="s">
        <v>256</v>
      </c>
      <c r="E480" s="93">
        <v>38347</v>
      </c>
      <c r="F480" s="94">
        <f t="shared" ca="1" si="16"/>
        <v>11</v>
      </c>
      <c r="G480" s="95" t="s">
        <v>276</v>
      </c>
      <c r="H480" s="96">
        <v>80880</v>
      </c>
      <c r="I480" s="97">
        <v>1</v>
      </c>
    </row>
    <row r="481" spans="1:9" ht="13.5">
      <c r="A481" s="91" t="s">
        <v>705</v>
      </c>
      <c r="B481" s="92" t="s">
        <v>266</v>
      </c>
      <c r="C481" s="91" t="s">
        <v>705</v>
      </c>
      <c r="D481" s="91" t="s">
        <v>256</v>
      </c>
      <c r="E481" s="93">
        <v>38368</v>
      </c>
      <c r="F481" s="94">
        <f t="shared" ca="1" si="16"/>
        <v>11</v>
      </c>
      <c r="G481" s="95" t="s">
        <v>283</v>
      </c>
      <c r="H481" s="96">
        <v>80090</v>
      </c>
      <c r="I481" s="97">
        <v>2</v>
      </c>
    </row>
    <row r="482" spans="1:9" ht="13.5">
      <c r="A482" s="91" t="s">
        <v>705</v>
      </c>
      <c r="B482" s="92" t="s">
        <v>280</v>
      </c>
      <c r="C482" s="91" t="s">
        <v>705</v>
      </c>
      <c r="D482" s="91" t="s">
        <v>247</v>
      </c>
      <c r="E482" s="93">
        <v>38473</v>
      </c>
      <c r="F482" s="94">
        <f t="shared" ca="1" si="16"/>
        <v>11</v>
      </c>
      <c r="G482" s="95"/>
      <c r="H482" s="96">
        <v>54000</v>
      </c>
      <c r="I482" s="97">
        <v>3</v>
      </c>
    </row>
    <row r="483" spans="1:9" ht="13.5">
      <c r="A483" s="91" t="s">
        <v>705</v>
      </c>
      <c r="B483" s="92" t="s">
        <v>251</v>
      </c>
      <c r="C483" s="91" t="s">
        <v>705</v>
      </c>
      <c r="D483" s="91" t="s">
        <v>256</v>
      </c>
      <c r="E483" s="93">
        <v>39060</v>
      </c>
      <c r="F483" s="94">
        <f t="shared" ca="1" si="16"/>
        <v>9</v>
      </c>
      <c r="G483" s="95" t="s">
        <v>257</v>
      </c>
      <c r="H483" s="96">
        <v>66840</v>
      </c>
      <c r="I483" s="97">
        <v>4</v>
      </c>
    </row>
    <row r="484" spans="1:9" ht="13.5">
      <c r="A484" s="91" t="s">
        <v>705</v>
      </c>
      <c r="B484" s="92" t="s">
        <v>266</v>
      </c>
      <c r="C484" s="91" t="s">
        <v>705</v>
      </c>
      <c r="D484" s="91" t="s">
        <v>261</v>
      </c>
      <c r="E484" s="99">
        <v>39083</v>
      </c>
      <c r="F484" s="94">
        <f t="shared" ca="1" si="16"/>
        <v>9</v>
      </c>
      <c r="G484" s="95" t="s">
        <v>257</v>
      </c>
      <c r="H484" s="96">
        <v>16925</v>
      </c>
      <c r="I484" s="97">
        <v>1</v>
      </c>
    </row>
    <row r="485" spans="1:9" ht="13.5">
      <c r="A485" s="91" t="s">
        <v>705</v>
      </c>
      <c r="B485" s="92" t="s">
        <v>245</v>
      </c>
      <c r="C485" s="91" t="s">
        <v>705</v>
      </c>
      <c r="D485" s="91" t="s">
        <v>252</v>
      </c>
      <c r="E485" s="99">
        <v>39093</v>
      </c>
      <c r="F485" s="94">
        <f t="shared" ca="1" si="16"/>
        <v>9</v>
      </c>
      <c r="G485" s="95"/>
      <c r="H485" s="96">
        <v>15056</v>
      </c>
      <c r="I485" s="97">
        <v>5</v>
      </c>
    </row>
    <row r="486" spans="1:9" ht="13.5">
      <c r="A486" s="91" t="s">
        <v>705</v>
      </c>
      <c r="B486" s="92" t="s">
        <v>271</v>
      </c>
      <c r="C486" s="91" t="s">
        <v>705</v>
      </c>
      <c r="D486" s="91" t="s">
        <v>252</v>
      </c>
      <c r="E486" s="99">
        <v>39142</v>
      </c>
      <c r="F486" s="94">
        <f t="shared" ca="1" si="16"/>
        <v>9</v>
      </c>
      <c r="G486" s="95"/>
      <c r="H486" s="96">
        <v>9180</v>
      </c>
      <c r="I486" s="97">
        <v>3</v>
      </c>
    </row>
    <row r="487" spans="1:9" ht="13.5">
      <c r="A487" s="91" t="s">
        <v>705</v>
      </c>
      <c r="B487" s="92" t="s">
        <v>251</v>
      </c>
      <c r="C487" s="91" t="s">
        <v>705</v>
      </c>
      <c r="D487" s="91" t="s">
        <v>247</v>
      </c>
      <c r="E487" s="93">
        <v>39158</v>
      </c>
      <c r="F487" s="94">
        <f t="shared" ca="1" si="16"/>
        <v>9</v>
      </c>
      <c r="G487" s="95"/>
      <c r="H487" s="96">
        <v>39440</v>
      </c>
      <c r="I487" s="97">
        <v>4</v>
      </c>
    </row>
    <row r="488" spans="1:9" ht="13.5">
      <c r="A488" s="91" t="s">
        <v>705</v>
      </c>
      <c r="B488" s="92" t="s">
        <v>251</v>
      </c>
      <c r="C488" s="91" t="s">
        <v>705</v>
      </c>
      <c r="D488" s="91" t="s">
        <v>247</v>
      </c>
      <c r="E488" s="99">
        <v>39310</v>
      </c>
      <c r="F488" s="94">
        <f t="shared" ca="1" si="16"/>
        <v>9</v>
      </c>
      <c r="G488" s="95"/>
      <c r="H488" s="96">
        <v>84300</v>
      </c>
      <c r="I488" s="97">
        <v>1</v>
      </c>
    </row>
    <row r="489" spans="1:9" ht="13.5">
      <c r="A489" s="98" t="s">
        <v>1052</v>
      </c>
      <c r="B489" s="92"/>
      <c r="C489" s="98"/>
      <c r="D489" s="91"/>
      <c r="E489" s="99"/>
      <c r="F489" s="94"/>
      <c r="G489" s="95"/>
      <c r="H489" s="96"/>
      <c r="I489" s="97"/>
    </row>
    <row r="490" spans="1:9" ht="13.5">
      <c r="A490" s="91" t="s">
        <v>750</v>
      </c>
      <c r="B490" s="92" t="s">
        <v>285</v>
      </c>
      <c r="C490" s="91" t="s">
        <v>750</v>
      </c>
      <c r="D490" s="91" t="s">
        <v>261</v>
      </c>
      <c r="E490" s="93">
        <v>31802</v>
      </c>
      <c r="F490" s="94">
        <f t="shared" ref="F490:F505" ca="1" si="17">DATEDIF(E490,TODAY(),"Y")</f>
        <v>29</v>
      </c>
      <c r="G490" s="95" t="s">
        <v>267</v>
      </c>
      <c r="H490" s="96">
        <v>24815</v>
      </c>
      <c r="I490" s="97">
        <v>1</v>
      </c>
    </row>
    <row r="491" spans="1:9" ht="13.5">
      <c r="A491" s="91" t="s">
        <v>750</v>
      </c>
      <c r="B491" s="92" t="s">
        <v>271</v>
      </c>
      <c r="C491" s="91" t="s">
        <v>750</v>
      </c>
      <c r="D491" s="91" t="s">
        <v>256</v>
      </c>
      <c r="E491" s="93">
        <v>31803</v>
      </c>
      <c r="F491" s="94">
        <f t="shared" ca="1" si="17"/>
        <v>29</v>
      </c>
      <c r="G491" s="95" t="s">
        <v>257</v>
      </c>
      <c r="H491" s="96">
        <v>32600</v>
      </c>
      <c r="I491" s="97">
        <v>5</v>
      </c>
    </row>
    <row r="492" spans="1:9" ht="13.5">
      <c r="A492" s="91" t="s">
        <v>750</v>
      </c>
      <c r="B492" s="92" t="s">
        <v>285</v>
      </c>
      <c r="C492" s="91" t="s">
        <v>750</v>
      </c>
      <c r="D492" s="91" t="s">
        <v>252</v>
      </c>
      <c r="E492" s="93">
        <v>31848</v>
      </c>
      <c r="F492" s="94">
        <f t="shared" ca="1" si="17"/>
        <v>29</v>
      </c>
      <c r="G492" s="95"/>
      <c r="H492" s="96">
        <v>33232</v>
      </c>
      <c r="I492" s="97">
        <v>4</v>
      </c>
    </row>
    <row r="493" spans="1:9" ht="13.5">
      <c r="A493" s="91" t="s">
        <v>750</v>
      </c>
      <c r="B493" s="92" t="s">
        <v>245</v>
      </c>
      <c r="C493" s="91" t="s">
        <v>750</v>
      </c>
      <c r="D493" s="91" t="s">
        <v>261</v>
      </c>
      <c r="E493" s="93">
        <v>31850</v>
      </c>
      <c r="F493" s="94">
        <f t="shared" ca="1" si="17"/>
        <v>29</v>
      </c>
      <c r="G493" s="95" t="s">
        <v>262</v>
      </c>
      <c r="H493" s="96">
        <v>39620</v>
      </c>
      <c r="I493" s="97">
        <v>5</v>
      </c>
    </row>
    <row r="494" spans="1:9" ht="13.5">
      <c r="A494" s="91" t="s">
        <v>750</v>
      </c>
      <c r="B494" s="92" t="s">
        <v>266</v>
      </c>
      <c r="C494" s="91" t="s">
        <v>750</v>
      </c>
      <c r="D494" s="91" t="s">
        <v>256</v>
      </c>
      <c r="E494" s="93">
        <v>31869</v>
      </c>
      <c r="F494" s="94">
        <f t="shared" ca="1" si="17"/>
        <v>29</v>
      </c>
      <c r="G494" s="95" t="s">
        <v>283</v>
      </c>
      <c r="H494" s="96">
        <v>43110</v>
      </c>
      <c r="I494" s="97">
        <v>2</v>
      </c>
    </row>
    <row r="495" spans="1:9" ht="13.5">
      <c r="A495" s="91" t="s">
        <v>750</v>
      </c>
      <c r="B495" s="92" t="s">
        <v>285</v>
      </c>
      <c r="C495" s="91" t="s">
        <v>750</v>
      </c>
      <c r="D495" s="91" t="s">
        <v>256</v>
      </c>
      <c r="E495" s="93">
        <v>31876</v>
      </c>
      <c r="F495" s="94">
        <f t="shared" ca="1" si="17"/>
        <v>29</v>
      </c>
      <c r="G495" s="95" t="s">
        <v>257</v>
      </c>
      <c r="H495" s="96">
        <v>40940</v>
      </c>
      <c r="I495" s="97">
        <v>3</v>
      </c>
    </row>
    <row r="496" spans="1:9" ht="13.5">
      <c r="A496" s="91" t="s">
        <v>750</v>
      </c>
      <c r="B496" s="92" t="s">
        <v>285</v>
      </c>
      <c r="C496" s="91" t="s">
        <v>750</v>
      </c>
      <c r="D496" s="91" t="s">
        <v>256</v>
      </c>
      <c r="E496" s="93">
        <v>31936</v>
      </c>
      <c r="F496" s="94">
        <f t="shared" ca="1" si="17"/>
        <v>29</v>
      </c>
      <c r="G496" s="95" t="s">
        <v>257</v>
      </c>
      <c r="H496" s="96">
        <v>71730</v>
      </c>
      <c r="I496" s="97">
        <v>1</v>
      </c>
    </row>
    <row r="497" spans="1:9" ht="13.5">
      <c r="A497" s="91" t="s">
        <v>750</v>
      </c>
      <c r="B497" s="92" t="s">
        <v>285</v>
      </c>
      <c r="C497" s="91" t="s">
        <v>750</v>
      </c>
      <c r="D497" s="91" t="s">
        <v>256</v>
      </c>
      <c r="E497" s="93">
        <v>31970</v>
      </c>
      <c r="F497" s="94">
        <f t="shared" ca="1" si="17"/>
        <v>29</v>
      </c>
      <c r="G497" s="95" t="s">
        <v>257</v>
      </c>
      <c r="H497" s="96">
        <v>87950</v>
      </c>
      <c r="I497" s="97">
        <v>4</v>
      </c>
    </row>
    <row r="498" spans="1:9" ht="13.5">
      <c r="A498" s="91" t="s">
        <v>750</v>
      </c>
      <c r="B498" s="92" t="s">
        <v>251</v>
      </c>
      <c r="C498" s="91" t="s">
        <v>750</v>
      </c>
      <c r="D498" s="91" t="s">
        <v>247</v>
      </c>
      <c r="E498" s="93">
        <v>31976</v>
      </c>
      <c r="F498" s="94">
        <f t="shared" ca="1" si="17"/>
        <v>29</v>
      </c>
      <c r="G498" s="95"/>
      <c r="H498" s="96">
        <v>49070</v>
      </c>
      <c r="I498" s="97">
        <v>3</v>
      </c>
    </row>
    <row r="499" spans="1:9" ht="13.5">
      <c r="A499" s="91" t="s">
        <v>750</v>
      </c>
      <c r="B499" s="92" t="s">
        <v>271</v>
      </c>
      <c r="C499" s="91" t="s">
        <v>750</v>
      </c>
      <c r="D499" s="91" t="s">
        <v>256</v>
      </c>
      <c r="E499" s="93">
        <v>32010</v>
      </c>
      <c r="F499" s="94">
        <f t="shared" ca="1" si="17"/>
        <v>29</v>
      </c>
      <c r="G499" s="95" t="s">
        <v>276</v>
      </c>
      <c r="H499" s="96">
        <v>35320</v>
      </c>
      <c r="I499" s="97">
        <v>3</v>
      </c>
    </row>
    <row r="500" spans="1:9" ht="13.5">
      <c r="A500" s="91" t="s">
        <v>750</v>
      </c>
      <c r="B500" s="92" t="s">
        <v>285</v>
      </c>
      <c r="C500" s="91" t="s">
        <v>750</v>
      </c>
      <c r="D500" s="91" t="s">
        <v>261</v>
      </c>
      <c r="E500" s="93">
        <v>32039</v>
      </c>
      <c r="F500" s="94">
        <f t="shared" ca="1" si="17"/>
        <v>29</v>
      </c>
      <c r="G500" s="95" t="s">
        <v>276</v>
      </c>
      <c r="H500" s="96">
        <v>16015</v>
      </c>
      <c r="I500" s="97">
        <v>3</v>
      </c>
    </row>
    <row r="501" spans="1:9" ht="13.5">
      <c r="A501" s="91" t="s">
        <v>750</v>
      </c>
      <c r="B501" s="92" t="s">
        <v>271</v>
      </c>
      <c r="C501" s="91" t="s">
        <v>750</v>
      </c>
      <c r="D501" s="91" t="s">
        <v>256</v>
      </c>
      <c r="E501" s="93">
        <v>32130</v>
      </c>
      <c r="F501" s="94">
        <f t="shared" ca="1" si="17"/>
        <v>28</v>
      </c>
      <c r="G501" s="95" t="s">
        <v>257</v>
      </c>
      <c r="H501" s="96">
        <v>69400</v>
      </c>
      <c r="I501" s="97">
        <v>5</v>
      </c>
    </row>
    <row r="502" spans="1:9" ht="13.5">
      <c r="A502" s="91" t="s">
        <v>750</v>
      </c>
      <c r="B502" s="92" t="s">
        <v>271</v>
      </c>
      <c r="C502" s="91" t="s">
        <v>750</v>
      </c>
      <c r="D502" s="91" t="s">
        <v>256</v>
      </c>
      <c r="E502" s="93">
        <v>32150</v>
      </c>
      <c r="F502" s="94">
        <f t="shared" ca="1" si="17"/>
        <v>28</v>
      </c>
      <c r="G502" s="95" t="s">
        <v>283</v>
      </c>
      <c r="H502" s="96">
        <v>77720</v>
      </c>
      <c r="I502" s="97">
        <v>3</v>
      </c>
    </row>
    <row r="503" spans="1:9" ht="13.5">
      <c r="A503" s="91" t="s">
        <v>750</v>
      </c>
      <c r="B503" s="92" t="s">
        <v>266</v>
      </c>
      <c r="C503" s="91" t="s">
        <v>750</v>
      </c>
      <c r="D503" s="91" t="s">
        <v>256</v>
      </c>
      <c r="E503" s="93">
        <v>32203</v>
      </c>
      <c r="F503" s="94">
        <f t="shared" ca="1" si="17"/>
        <v>28</v>
      </c>
      <c r="G503" s="95" t="s">
        <v>267</v>
      </c>
      <c r="H503" s="96">
        <v>44560</v>
      </c>
      <c r="I503" s="97">
        <v>2</v>
      </c>
    </row>
    <row r="504" spans="1:9" ht="13.5">
      <c r="A504" s="91" t="s">
        <v>750</v>
      </c>
      <c r="B504" s="92" t="s">
        <v>271</v>
      </c>
      <c r="C504" s="91" t="s">
        <v>750</v>
      </c>
      <c r="D504" s="91" t="s">
        <v>256</v>
      </c>
      <c r="E504" s="93">
        <v>32226</v>
      </c>
      <c r="F504" s="94">
        <f t="shared" ca="1" si="17"/>
        <v>28</v>
      </c>
      <c r="G504" s="95" t="s">
        <v>257</v>
      </c>
      <c r="H504" s="96">
        <v>81530</v>
      </c>
      <c r="I504" s="97">
        <v>5</v>
      </c>
    </row>
    <row r="505" spans="1:9" ht="13.5">
      <c r="A505" s="91" t="s">
        <v>750</v>
      </c>
      <c r="B505" s="92" t="s">
        <v>245</v>
      </c>
      <c r="C505" s="91" t="s">
        <v>750</v>
      </c>
      <c r="D505" s="91" t="s">
        <v>256</v>
      </c>
      <c r="E505" s="93">
        <v>32278</v>
      </c>
      <c r="F505" s="94">
        <f t="shared" ca="1" si="17"/>
        <v>28</v>
      </c>
      <c r="G505" s="95" t="s">
        <v>283</v>
      </c>
      <c r="H505" s="96">
        <v>44620</v>
      </c>
      <c r="I505" s="97">
        <v>5</v>
      </c>
    </row>
    <row r="506" spans="1:9" ht="13.5">
      <c r="A506" s="98" t="s">
        <v>1053</v>
      </c>
      <c r="B506" s="92"/>
      <c r="C506" s="98"/>
      <c r="D506" s="91"/>
      <c r="E506" s="93"/>
      <c r="F506" s="94"/>
      <c r="G506" s="95"/>
      <c r="H506" s="96"/>
      <c r="I506" s="97"/>
    </row>
    <row r="507" spans="1:9" ht="13.5">
      <c r="A507" s="91" t="s">
        <v>767</v>
      </c>
      <c r="B507" s="92" t="s">
        <v>271</v>
      </c>
      <c r="C507" s="91" t="s">
        <v>767</v>
      </c>
      <c r="D507" s="91" t="s">
        <v>256</v>
      </c>
      <c r="E507" s="93">
        <v>31788</v>
      </c>
      <c r="F507" s="94">
        <f t="shared" ref="F507:F570" ca="1" si="18">DATEDIF(E507,TODAY(),"Y")</f>
        <v>29</v>
      </c>
      <c r="G507" s="95" t="s">
        <v>257</v>
      </c>
      <c r="H507" s="96">
        <v>48080</v>
      </c>
      <c r="I507" s="97">
        <v>2</v>
      </c>
    </row>
    <row r="508" spans="1:9" ht="13.5">
      <c r="A508" s="91" t="s">
        <v>767</v>
      </c>
      <c r="B508" s="92" t="s">
        <v>285</v>
      </c>
      <c r="C508" s="91" t="s">
        <v>767</v>
      </c>
      <c r="D508" s="91" t="s">
        <v>256</v>
      </c>
      <c r="E508" s="93">
        <v>31818</v>
      </c>
      <c r="F508" s="94">
        <f t="shared" ca="1" si="18"/>
        <v>29</v>
      </c>
      <c r="G508" s="95" t="s">
        <v>267</v>
      </c>
      <c r="H508" s="96">
        <v>46110</v>
      </c>
      <c r="I508" s="97">
        <v>4</v>
      </c>
    </row>
    <row r="509" spans="1:9" ht="13.5">
      <c r="A509" s="91" t="s">
        <v>767</v>
      </c>
      <c r="B509" s="92" t="s">
        <v>245</v>
      </c>
      <c r="C509" s="91" t="s">
        <v>767</v>
      </c>
      <c r="D509" s="91" t="s">
        <v>247</v>
      </c>
      <c r="E509" s="93">
        <v>31857</v>
      </c>
      <c r="F509" s="94">
        <f t="shared" ca="1" si="18"/>
        <v>29</v>
      </c>
      <c r="G509" s="95"/>
      <c r="H509" s="96">
        <v>23020</v>
      </c>
      <c r="I509" s="97">
        <v>4</v>
      </c>
    </row>
    <row r="510" spans="1:9" ht="13.5">
      <c r="A510" s="91" t="s">
        <v>767</v>
      </c>
      <c r="B510" s="92" t="s">
        <v>271</v>
      </c>
      <c r="C510" s="91" t="s">
        <v>767</v>
      </c>
      <c r="D510" s="91" t="s">
        <v>247</v>
      </c>
      <c r="E510" s="93">
        <v>31924</v>
      </c>
      <c r="F510" s="94">
        <f t="shared" ca="1" si="18"/>
        <v>29</v>
      </c>
      <c r="G510" s="95"/>
      <c r="H510" s="96">
        <v>58650</v>
      </c>
      <c r="I510" s="97">
        <v>4</v>
      </c>
    </row>
    <row r="511" spans="1:9" ht="13.5">
      <c r="A511" s="91" t="s">
        <v>767</v>
      </c>
      <c r="B511" s="92" t="s">
        <v>271</v>
      </c>
      <c r="C511" s="91" t="s">
        <v>767</v>
      </c>
      <c r="D511" s="91" t="s">
        <v>256</v>
      </c>
      <c r="E511" s="93">
        <v>32051</v>
      </c>
      <c r="F511" s="94">
        <f t="shared" ca="1" si="18"/>
        <v>29</v>
      </c>
      <c r="G511" s="95" t="s">
        <v>257</v>
      </c>
      <c r="H511" s="96">
        <v>24090</v>
      </c>
      <c r="I511" s="97">
        <v>4</v>
      </c>
    </row>
    <row r="512" spans="1:9" ht="13.5">
      <c r="A512" s="91" t="s">
        <v>767</v>
      </c>
      <c r="B512" s="92" t="s">
        <v>271</v>
      </c>
      <c r="C512" s="91" t="s">
        <v>767</v>
      </c>
      <c r="D512" s="91" t="s">
        <v>247</v>
      </c>
      <c r="E512" s="93">
        <v>32092</v>
      </c>
      <c r="F512" s="94">
        <f t="shared" ca="1" si="18"/>
        <v>28</v>
      </c>
      <c r="G512" s="95"/>
      <c r="H512" s="96">
        <v>79380</v>
      </c>
      <c r="I512" s="97">
        <v>1</v>
      </c>
    </row>
    <row r="513" spans="1:9" ht="13.5">
      <c r="A513" s="91" t="s">
        <v>767</v>
      </c>
      <c r="B513" s="92" t="s">
        <v>271</v>
      </c>
      <c r="C513" s="91" t="s">
        <v>767</v>
      </c>
      <c r="D513" s="91" t="s">
        <v>256</v>
      </c>
      <c r="E513" s="93">
        <v>32150</v>
      </c>
      <c r="F513" s="94">
        <f t="shared" ca="1" si="18"/>
        <v>28</v>
      </c>
      <c r="G513" s="95" t="s">
        <v>267</v>
      </c>
      <c r="H513" s="96">
        <v>77740</v>
      </c>
      <c r="I513" s="97">
        <v>1</v>
      </c>
    </row>
    <row r="514" spans="1:9" ht="13.5">
      <c r="A514" s="91" t="s">
        <v>767</v>
      </c>
      <c r="B514" s="92" t="s">
        <v>271</v>
      </c>
      <c r="C514" s="91" t="s">
        <v>767</v>
      </c>
      <c r="D514" s="91" t="s">
        <v>256</v>
      </c>
      <c r="E514" s="93">
        <v>32200</v>
      </c>
      <c r="F514" s="94">
        <f t="shared" ca="1" si="18"/>
        <v>28</v>
      </c>
      <c r="G514" s="95" t="s">
        <v>262</v>
      </c>
      <c r="H514" s="96">
        <v>54500</v>
      </c>
      <c r="I514" s="97">
        <v>5</v>
      </c>
    </row>
    <row r="515" spans="1:9" ht="13.5">
      <c r="A515" s="91" t="s">
        <v>767</v>
      </c>
      <c r="B515" s="92" t="s">
        <v>271</v>
      </c>
      <c r="C515" s="91" t="s">
        <v>767</v>
      </c>
      <c r="D515" s="91" t="s">
        <v>247</v>
      </c>
      <c r="E515" s="93">
        <v>32205</v>
      </c>
      <c r="F515" s="94">
        <f t="shared" ca="1" si="18"/>
        <v>28</v>
      </c>
      <c r="G515" s="95"/>
      <c r="H515" s="96">
        <v>52750</v>
      </c>
      <c r="I515" s="97">
        <v>1</v>
      </c>
    </row>
    <row r="516" spans="1:9" ht="13.5">
      <c r="A516" s="91" t="s">
        <v>767</v>
      </c>
      <c r="B516" s="92" t="s">
        <v>271</v>
      </c>
      <c r="C516" s="91" t="s">
        <v>767</v>
      </c>
      <c r="D516" s="91" t="s">
        <v>256</v>
      </c>
      <c r="E516" s="93">
        <v>32216</v>
      </c>
      <c r="F516" s="94">
        <f t="shared" ca="1" si="18"/>
        <v>28</v>
      </c>
      <c r="G516" s="95" t="s">
        <v>267</v>
      </c>
      <c r="H516" s="96">
        <v>79400</v>
      </c>
      <c r="I516" s="97">
        <v>4</v>
      </c>
    </row>
    <row r="517" spans="1:9" ht="13.5">
      <c r="A517" s="91" t="s">
        <v>767</v>
      </c>
      <c r="B517" s="92" t="s">
        <v>285</v>
      </c>
      <c r="C517" s="91" t="s">
        <v>767</v>
      </c>
      <c r="D517" s="91" t="s">
        <v>256</v>
      </c>
      <c r="E517" s="93">
        <v>32263</v>
      </c>
      <c r="F517" s="94">
        <f t="shared" ca="1" si="18"/>
        <v>28</v>
      </c>
      <c r="G517" s="95" t="s">
        <v>276</v>
      </c>
      <c r="H517" s="96">
        <v>71680</v>
      </c>
      <c r="I517" s="97">
        <v>4</v>
      </c>
    </row>
    <row r="518" spans="1:9" ht="13.5">
      <c r="A518" s="91" t="s">
        <v>767</v>
      </c>
      <c r="B518" s="92" t="s">
        <v>245</v>
      </c>
      <c r="C518" s="91" t="s">
        <v>767</v>
      </c>
      <c r="D518" s="91" t="s">
        <v>247</v>
      </c>
      <c r="E518" s="93">
        <v>32268</v>
      </c>
      <c r="F518" s="94">
        <f t="shared" ca="1" si="18"/>
        <v>28</v>
      </c>
      <c r="G518" s="95"/>
      <c r="H518" s="96">
        <v>50840</v>
      </c>
      <c r="I518" s="97">
        <v>4</v>
      </c>
    </row>
    <row r="519" spans="1:9" ht="13.5">
      <c r="A519" s="91" t="s">
        <v>767</v>
      </c>
      <c r="B519" s="92" t="s">
        <v>245</v>
      </c>
      <c r="C519" s="91" t="s">
        <v>767</v>
      </c>
      <c r="D519" s="91" t="s">
        <v>247</v>
      </c>
      <c r="E519" s="93">
        <v>32328</v>
      </c>
      <c r="F519" s="94">
        <f t="shared" ca="1" si="18"/>
        <v>28</v>
      </c>
      <c r="G519" s="95"/>
      <c r="H519" s="96">
        <v>47590</v>
      </c>
      <c r="I519" s="97">
        <v>3</v>
      </c>
    </row>
    <row r="520" spans="1:9" ht="13.5">
      <c r="A520" s="91" t="s">
        <v>767</v>
      </c>
      <c r="B520" s="92" t="s">
        <v>245</v>
      </c>
      <c r="C520" s="91" t="s">
        <v>767</v>
      </c>
      <c r="D520" s="91" t="s">
        <v>247</v>
      </c>
      <c r="E520" s="93">
        <v>32348</v>
      </c>
      <c r="F520" s="94">
        <f t="shared" ca="1" si="18"/>
        <v>28</v>
      </c>
      <c r="G520" s="95"/>
      <c r="H520" s="96">
        <v>60550</v>
      </c>
      <c r="I520" s="97">
        <v>2</v>
      </c>
    </row>
    <row r="521" spans="1:9" ht="13.5">
      <c r="A521" s="91" t="s">
        <v>767</v>
      </c>
      <c r="B521" s="92" t="s">
        <v>245</v>
      </c>
      <c r="C521" s="91" t="s">
        <v>767</v>
      </c>
      <c r="D521" s="91" t="s">
        <v>261</v>
      </c>
      <c r="E521" s="93">
        <v>32361</v>
      </c>
      <c r="F521" s="94">
        <f t="shared" ca="1" si="18"/>
        <v>28</v>
      </c>
      <c r="G521" s="95" t="s">
        <v>257</v>
      </c>
      <c r="H521" s="96">
        <v>46380</v>
      </c>
      <c r="I521" s="97">
        <v>3</v>
      </c>
    </row>
    <row r="522" spans="1:9" ht="13.5">
      <c r="A522" s="91" t="s">
        <v>767</v>
      </c>
      <c r="B522" s="92" t="s">
        <v>271</v>
      </c>
      <c r="C522" s="91" t="s">
        <v>767</v>
      </c>
      <c r="D522" s="91" t="s">
        <v>247</v>
      </c>
      <c r="E522" s="93">
        <v>32639</v>
      </c>
      <c r="F522" s="94">
        <f t="shared" ca="1" si="18"/>
        <v>27</v>
      </c>
      <c r="G522" s="95"/>
      <c r="H522" s="96">
        <v>44720</v>
      </c>
      <c r="I522" s="97">
        <v>2</v>
      </c>
    </row>
    <row r="523" spans="1:9" ht="13.5">
      <c r="A523" s="91" t="s">
        <v>767</v>
      </c>
      <c r="B523" s="92" t="s">
        <v>271</v>
      </c>
      <c r="C523" s="91" t="s">
        <v>767</v>
      </c>
      <c r="D523" s="91" t="s">
        <v>256</v>
      </c>
      <c r="E523" s="93">
        <v>32751</v>
      </c>
      <c r="F523" s="94">
        <f t="shared" ca="1" si="18"/>
        <v>27</v>
      </c>
      <c r="G523" s="95" t="s">
        <v>257</v>
      </c>
      <c r="H523" s="96">
        <v>23320</v>
      </c>
      <c r="I523" s="97">
        <v>4</v>
      </c>
    </row>
    <row r="524" spans="1:9" ht="13.5">
      <c r="A524" s="91" t="s">
        <v>767</v>
      </c>
      <c r="B524" s="92" t="s">
        <v>285</v>
      </c>
      <c r="C524" s="91" t="s">
        <v>767</v>
      </c>
      <c r="D524" s="91" t="s">
        <v>256</v>
      </c>
      <c r="E524" s="93">
        <v>32839</v>
      </c>
      <c r="F524" s="94">
        <f t="shared" ca="1" si="18"/>
        <v>26</v>
      </c>
      <c r="G524" s="95" t="s">
        <v>276</v>
      </c>
      <c r="H524" s="96">
        <v>63440</v>
      </c>
      <c r="I524" s="97">
        <v>3</v>
      </c>
    </row>
    <row r="525" spans="1:9" ht="13.5">
      <c r="A525" s="91" t="s">
        <v>767</v>
      </c>
      <c r="B525" s="92" t="s">
        <v>271</v>
      </c>
      <c r="C525" s="91" t="s">
        <v>767</v>
      </c>
      <c r="D525" s="91" t="s">
        <v>256</v>
      </c>
      <c r="E525" s="93">
        <v>32859</v>
      </c>
      <c r="F525" s="94">
        <f t="shared" ca="1" si="18"/>
        <v>26</v>
      </c>
      <c r="G525" s="95" t="s">
        <v>267</v>
      </c>
      <c r="H525" s="96">
        <v>69420</v>
      </c>
      <c r="I525" s="97">
        <v>2</v>
      </c>
    </row>
    <row r="526" spans="1:9" ht="13.5">
      <c r="A526" s="91" t="s">
        <v>767</v>
      </c>
      <c r="B526" s="92" t="s">
        <v>271</v>
      </c>
      <c r="C526" s="91" t="s">
        <v>767</v>
      </c>
      <c r="D526" s="91" t="s">
        <v>256</v>
      </c>
      <c r="E526" s="93">
        <v>32912</v>
      </c>
      <c r="F526" s="94">
        <f t="shared" ca="1" si="18"/>
        <v>26</v>
      </c>
      <c r="G526" s="95" t="s">
        <v>257</v>
      </c>
      <c r="H526" s="96">
        <v>62688</v>
      </c>
      <c r="I526" s="97">
        <v>2</v>
      </c>
    </row>
    <row r="527" spans="1:9" ht="13.5">
      <c r="A527" s="91" t="s">
        <v>767</v>
      </c>
      <c r="B527" s="92" t="s">
        <v>271</v>
      </c>
      <c r="C527" s="91" t="s">
        <v>767</v>
      </c>
      <c r="D527" s="91" t="s">
        <v>247</v>
      </c>
      <c r="E527" s="93">
        <v>33168</v>
      </c>
      <c r="F527" s="94">
        <f t="shared" ca="1" si="18"/>
        <v>26</v>
      </c>
      <c r="G527" s="95"/>
      <c r="H527" s="96">
        <v>56650</v>
      </c>
      <c r="I527" s="97">
        <v>1</v>
      </c>
    </row>
    <row r="528" spans="1:9" ht="13.5">
      <c r="A528" s="91" t="s">
        <v>767</v>
      </c>
      <c r="B528" s="92" t="s">
        <v>285</v>
      </c>
      <c r="C528" s="91" t="s">
        <v>767</v>
      </c>
      <c r="D528" s="91" t="s">
        <v>247</v>
      </c>
      <c r="E528" s="93">
        <v>33348</v>
      </c>
      <c r="F528" s="94">
        <f t="shared" ca="1" si="18"/>
        <v>25</v>
      </c>
      <c r="G528" s="95"/>
      <c r="H528" s="96">
        <v>85980</v>
      </c>
      <c r="I528" s="97">
        <v>2</v>
      </c>
    </row>
    <row r="529" spans="1:9" ht="13.5">
      <c r="A529" s="91" t="s">
        <v>767</v>
      </c>
      <c r="B529" s="92" t="s">
        <v>280</v>
      </c>
      <c r="C529" s="91" t="s">
        <v>767</v>
      </c>
      <c r="D529" s="91" t="s">
        <v>256</v>
      </c>
      <c r="E529" s="93">
        <v>33383</v>
      </c>
      <c r="F529" s="94">
        <f t="shared" ca="1" si="18"/>
        <v>25</v>
      </c>
      <c r="G529" s="95" t="s">
        <v>262</v>
      </c>
      <c r="H529" s="96">
        <v>88820</v>
      </c>
      <c r="I529" s="97">
        <v>2</v>
      </c>
    </row>
    <row r="530" spans="1:9" ht="13.5">
      <c r="A530" s="91" t="s">
        <v>767</v>
      </c>
      <c r="B530" s="92" t="s">
        <v>271</v>
      </c>
      <c r="C530" s="91" t="s">
        <v>767</v>
      </c>
      <c r="D530" s="91" t="s">
        <v>247</v>
      </c>
      <c r="E530" s="93">
        <v>33416</v>
      </c>
      <c r="F530" s="94">
        <f t="shared" ca="1" si="18"/>
        <v>25</v>
      </c>
      <c r="G530" s="95"/>
      <c r="H530" s="96">
        <v>33120</v>
      </c>
      <c r="I530" s="97">
        <v>2</v>
      </c>
    </row>
    <row r="531" spans="1:9" ht="13.5">
      <c r="A531" s="91" t="s">
        <v>767</v>
      </c>
      <c r="B531" s="92" t="s">
        <v>245</v>
      </c>
      <c r="C531" s="91" t="s">
        <v>767</v>
      </c>
      <c r="D531" s="91" t="s">
        <v>261</v>
      </c>
      <c r="E531" s="93">
        <v>33483</v>
      </c>
      <c r="F531" s="94">
        <f t="shared" ca="1" si="18"/>
        <v>25</v>
      </c>
      <c r="G531" s="95" t="s">
        <v>283</v>
      </c>
      <c r="H531" s="96">
        <v>10700</v>
      </c>
      <c r="I531" s="97">
        <v>4</v>
      </c>
    </row>
    <row r="532" spans="1:9" ht="13.5">
      <c r="A532" s="91" t="s">
        <v>767</v>
      </c>
      <c r="B532" s="92" t="s">
        <v>280</v>
      </c>
      <c r="C532" s="91" t="s">
        <v>767</v>
      </c>
      <c r="D532" s="91" t="s">
        <v>247</v>
      </c>
      <c r="E532" s="93">
        <v>33605</v>
      </c>
      <c r="F532" s="94">
        <f t="shared" ca="1" si="18"/>
        <v>24</v>
      </c>
      <c r="G532" s="95"/>
      <c r="H532" s="96">
        <v>76870</v>
      </c>
      <c r="I532" s="97">
        <v>5</v>
      </c>
    </row>
    <row r="533" spans="1:9" ht="13.5">
      <c r="A533" s="91" t="s">
        <v>767</v>
      </c>
      <c r="B533" s="92" t="s">
        <v>245</v>
      </c>
      <c r="C533" s="91" t="s">
        <v>767</v>
      </c>
      <c r="D533" s="91" t="s">
        <v>256</v>
      </c>
      <c r="E533" s="93">
        <v>33679</v>
      </c>
      <c r="F533" s="94">
        <f t="shared" ca="1" si="18"/>
        <v>24</v>
      </c>
      <c r="G533" s="95" t="s">
        <v>257</v>
      </c>
      <c r="H533" s="96">
        <v>50570</v>
      </c>
      <c r="I533" s="97">
        <v>4</v>
      </c>
    </row>
    <row r="534" spans="1:9" ht="13.5">
      <c r="A534" s="91" t="s">
        <v>767</v>
      </c>
      <c r="B534" s="92" t="s">
        <v>245</v>
      </c>
      <c r="C534" s="91" t="s">
        <v>767</v>
      </c>
      <c r="D534" s="91" t="s">
        <v>256</v>
      </c>
      <c r="E534" s="93">
        <v>33784</v>
      </c>
      <c r="F534" s="94">
        <f t="shared" ca="1" si="18"/>
        <v>24</v>
      </c>
      <c r="G534" s="95" t="s">
        <v>262</v>
      </c>
      <c r="H534" s="96">
        <v>61148</v>
      </c>
      <c r="I534" s="97">
        <v>2</v>
      </c>
    </row>
    <row r="535" spans="1:9" ht="13.5">
      <c r="A535" s="91" t="s">
        <v>767</v>
      </c>
      <c r="B535" s="92" t="s">
        <v>285</v>
      </c>
      <c r="C535" s="91" t="s">
        <v>767</v>
      </c>
      <c r="D535" s="91" t="s">
        <v>247</v>
      </c>
      <c r="E535" s="93">
        <v>33836</v>
      </c>
      <c r="F535" s="94">
        <f t="shared" ca="1" si="18"/>
        <v>24</v>
      </c>
      <c r="G535" s="95"/>
      <c r="H535" s="96">
        <v>73190</v>
      </c>
      <c r="I535" s="97">
        <v>1</v>
      </c>
    </row>
    <row r="536" spans="1:9" ht="13.5">
      <c r="A536" s="91" t="s">
        <v>767</v>
      </c>
      <c r="B536" s="92" t="s">
        <v>245</v>
      </c>
      <c r="C536" s="91" t="s">
        <v>767</v>
      </c>
      <c r="D536" s="91" t="s">
        <v>256</v>
      </c>
      <c r="E536" s="93">
        <v>33841</v>
      </c>
      <c r="F536" s="94">
        <f t="shared" ca="1" si="18"/>
        <v>24</v>
      </c>
      <c r="G536" s="95" t="s">
        <v>276</v>
      </c>
      <c r="H536" s="96">
        <v>29760</v>
      </c>
      <c r="I536" s="97">
        <v>2</v>
      </c>
    </row>
    <row r="537" spans="1:9" ht="13.5">
      <c r="A537" s="91" t="s">
        <v>767</v>
      </c>
      <c r="B537" s="92" t="s">
        <v>245</v>
      </c>
      <c r="C537" s="91" t="s">
        <v>767</v>
      </c>
      <c r="D537" s="91" t="s">
        <v>256</v>
      </c>
      <c r="E537" s="93">
        <v>33841</v>
      </c>
      <c r="F537" s="94">
        <f t="shared" ca="1" si="18"/>
        <v>24</v>
      </c>
      <c r="G537" s="95" t="s">
        <v>276</v>
      </c>
      <c r="H537" s="96">
        <v>29760</v>
      </c>
      <c r="I537" s="97">
        <v>2</v>
      </c>
    </row>
    <row r="538" spans="1:9" ht="13.5">
      <c r="A538" s="91" t="s">
        <v>767</v>
      </c>
      <c r="B538" s="92" t="s">
        <v>285</v>
      </c>
      <c r="C538" s="91" t="s">
        <v>767</v>
      </c>
      <c r="D538" s="91" t="s">
        <v>256</v>
      </c>
      <c r="E538" s="93">
        <v>33859</v>
      </c>
      <c r="F538" s="94">
        <f t="shared" ca="1" si="18"/>
        <v>24</v>
      </c>
      <c r="G538" s="95" t="s">
        <v>276</v>
      </c>
      <c r="H538" s="96">
        <v>72640</v>
      </c>
      <c r="I538" s="97">
        <v>3</v>
      </c>
    </row>
    <row r="539" spans="1:9" ht="13.5">
      <c r="A539" s="91" t="s">
        <v>767</v>
      </c>
      <c r="B539" s="92" t="s">
        <v>271</v>
      </c>
      <c r="C539" s="91" t="s">
        <v>767</v>
      </c>
      <c r="D539" s="91" t="s">
        <v>256</v>
      </c>
      <c r="E539" s="93">
        <v>33909</v>
      </c>
      <c r="F539" s="94">
        <f t="shared" ca="1" si="18"/>
        <v>24</v>
      </c>
      <c r="G539" s="95" t="s">
        <v>257</v>
      </c>
      <c r="H539" s="96">
        <v>47340</v>
      </c>
      <c r="I539" s="97">
        <v>2</v>
      </c>
    </row>
    <row r="540" spans="1:9" ht="13.5">
      <c r="A540" s="91" t="s">
        <v>767</v>
      </c>
      <c r="B540" s="92" t="s">
        <v>245</v>
      </c>
      <c r="C540" s="91" t="s">
        <v>767</v>
      </c>
      <c r="D540" s="91" t="s">
        <v>256</v>
      </c>
      <c r="E540" s="93">
        <v>33976</v>
      </c>
      <c r="F540" s="94">
        <f t="shared" ca="1" si="18"/>
        <v>23</v>
      </c>
      <c r="G540" s="95" t="s">
        <v>262</v>
      </c>
      <c r="H540" s="96">
        <v>72700</v>
      </c>
      <c r="I540" s="97">
        <v>5</v>
      </c>
    </row>
    <row r="541" spans="1:9" ht="13.5">
      <c r="A541" s="91" t="s">
        <v>767</v>
      </c>
      <c r="B541" s="92" t="s">
        <v>285</v>
      </c>
      <c r="C541" s="91" t="s">
        <v>767</v>
      </c>
      <c r="D541" s="91" t="s">
        <v>247</v>
      </c>
      <c r="E541" s="93">
        <v>33991</v>
      </c>
      <c r="F541" s="94">
        <f t="shared" ca="1" si="18"/>
        <v>23</v>
      </c>
      <c r="G541" s="95"/>
      <c r="H541" s="96">
        <v>60070</v>
      </c>
      <c r="I541" s="97">
        <v>2</v>
      </c>
    </row>
    <row r="542" spans="1:9" ht="13.5">
      <c r="A542" s="91" t="s">
        <v>767</v>
      </c>
      <c r="B542" s="92" t="s">
        <v>285</v>
      </c>
      <c r="C542" s="91" t="s">
        <v>767</v>
      </c>
      <c r="D542" s="91" t="s">
        <v>256</v>
      </c>
      <c r="E542" s="93">
        <v>34218</v>
      </c>
      <c r="F542" s="94">
        <f t="shared" ca="1" si="18"/>
        <v>23</v>
      </c>
      <c r="G542" s="95" t="s">
        <v>257</v>
      </c>
      <c r="H542" s="96">
        <v>63270</v>
      </c>
      <c r="I542" s="97">
        <v>1</v>
      </c>
    </row>
    <row r="543" spans="1:9" ht="13.5">
      <c r="A543" s="91" t="s">
        <v>767</v>
      </c>
      <c r="B543" s="92" t="s">
        <v>245</v>
      </c>
      <c r="C543" s="91" t="s">
        <v>767</v>
      </c>
      <c r="D543" s="91" t="s">
        <v>247</v>
      </c>
      <c r="E543" s="93">
        <v>34231</v>
      </c>
      <c r="F543" s="94">
        <f t="shared" ca="1" si="18"/>
        <v>23</v>
      </c>
      <c r="G543" s="95"/>
      <c r="H543" s="96">
        <v>49530</v>
      </c>
      <c r="I543" s="97">
        <v>4</v>
      </c>
    </row>
    <row r="544" spans="1:9" ht="13.5">
      <c r="A544" s="91" t="s">
        <v>767</v>
      </c>
      <c r="B544" s="92" t="s">
        <v>285</v>
      </c>
      <c r="C544" s="91" t="s">
        <v>767</v>
      </c>
      <c r="D544" s="91" t="s">
        <v>256</v>
      </c>
      <c r="E544" s="93">
        <v>34306</v>
      </c>
      <c r="F544" s="94">
        <f t="shared" ca="1" si="18"/>
        <v>22</v>
      </c>
      <c r="G544" s="95" t="s">
        <v>283</v>
      </c>
      <c r="H544" s="96">
        <v>34060</v>
      </c>
      <c r="I544" s="97">
        <v>2</v>
      </c>
    </row>
    <row r="545" spans="1:9" ht="13.5">
      <c r="A545" s="91" t="s">
        <v>767</v>
      </c>
      <c r="B545" s="92" t="s">
        <v>285</v>
      </c>
      <c r="C545" s="91" t="s">
        <v>767</v>
      </c>
      <c r="D545" s="91" t="s">
        <v>256</v>
      </c>
      <c r="E545" s="93">
        <v>34383</v>
      </c>
      <c r="F545" s="94">
        <f t="shared" ca="1" si="18"/>
        <v>22</v>
      </c>
      <c r="G545" s="95" t="s">
        <v>262</v>
      </c>
      <c r="H545" s="96">
        <v>24340</v>
      </c>
      <c r="I545" s="97">
        <v>4</v>
      </c>
    </row>
    <row r="546" spans="1:9" ht="13.5">
      <c r="A546" s="91" t="s">
        <v>767</v>
      </c>
      <c r="B546" s="92" t="s">
        <v>251</v>
      </c>
      <c r="C546" s="91" t="s">
        <v>767</v>
      </c>
      <c r="D546" s="91" t="s">
        <v>247</v>
      </c>
      <c r="E546" s="93">
        <v>34389</v>
      </c>
      <c r="F546" s="94">
        <f t="shared" ca="1" si="18"/>
        <v>22</v>
      </c>
      <c r="G546" s="95"/>
      <c r="H546" s="96">
        <v>36230</v>
      </c>
      <c r="I546" s="97">
        <v>2</v>
      </c>
    </row>
    <row r="547" spans="1:9" ht="13.5">
      <c r="A547" s="91" t="s">
        <v>767</v>
      </c>
      <c r="B547" s="92" t="s">
        <v>245</v>
      </c>
      <c r="C547" s="91" t="s">
        <v>767</v>
      </c>
      <c r="D547" s="91" t="s">
        <v>256</v>
      </c>
      <c r="E547" s="93">
        <v>34511</v>
      </c>
      <c r="F547" s="94">
        <f t="shared" ca="1" si="18"/>
        <v>22</v>
      </c>
      <c r="G547" s="95" t="s">
        <v>267</v>
      </c>
      <c r="H547" s="96">
        <v>22870</v>
      </c>
      <c r="I547" s="97">
        <v>3</v>
      </c>
    </row>
    <row r="548" spans="1:9" ht="13.5">
      <c r="A548" s="91" t="s">
        <v>767</v>
      </c>
      <c r="B548" s="92" t="s">
        <v>280</v>
      </c>
      <c r="C548" s="91" t="s">
        <v>767</v>
      </c>
      <c r="D548" s="91" t="s">
        <v>261</v>
      </c>
      <c r="E548" s="93">
        <v>34516</v>
      </c>
      <c r="F548" s="94">
        <f t="shared" ca="1" si="18"/>
        <v>22</v>
      </c>
      <c r="G548" s="95" t="s">
        <v>257</v>
      </c>
      <c r="H548" s="96">
        <v>31205</v>
      </c>
      <c r="I548" s="97">
        <v>2</v>
      </c>
    </row>
    <row r="549" spans="1:9" ht="13.5">
      <c r="A549" s="91" t="s">
        <v>767</v>
      </c>
      <c r="B549" s="92" t="s">
        <v>251</v>
      </c>
      <c r="C549" s="91" t="s">
        <v>767</v>
      </c>
      <c r="D549" s="91" t="s">
        <v>256</v>
      </c>
      <c r="E549" s="93">
        <v>34608</v>
      </c>
      <c r="F549" s="94">
        <f t="shared" ca="1" si="18"/>
        <v>22</v>
      </c>
      <c r="G549" s="95" t="s">
        <v>262</v>
      </c>
      <c r="H549" s="96">
        <v>73740</v>
      </c>
      <c r="I549" s="97">
        <v>4</v>
      </c>
    </row>
    <row r="550" spans="1:9" ht="13.5">
      <c r="A550" s="91" t="s">
        <v>767</v>
      </c>
      <c r="B550" s="92" t="s">
        <v>245</v>
      </c>
      <c r="C550" s="91" t="s">
        <v>767</v>
      </c>
      <c r="D550" s="91" t="s">
        <v>252</v>
      </c>
      <c r="E550" s="93">
        <v>34636</v>
      </c>
      <c r="F550" s="94">
        <f t="shared" ca="1" si="18"/>
        <v>22</v>
      </c>
      <c r="G550" s="95"/>
      <c r="H550" s="96">
        <v>14332</v>
      </c>
      <c r="I550" s="97">
        <v>5</v>
      </c>
    </row>
    <row r="551" spans="1:9" ht="13.5">
      <c r="A551" s="91" t="s">
        <v>767</v>
      </c>
      <c r="B551" s="92" t="s">
        <v>285</v>
      </c>
      <c r="C551" s="91" t="s">
        <v>767</v>
      </c>
      <c r="D551" s="91" t="s">
        <v>256</v>
      </c>
      <c r="E551" s="93">
        <v>34648</v>
      </c>
      <c r="F551" s="94">
        <f t="shared" ca="1" si="18"/>
        <v>22</v>
      </c>
      <c r="G551" s="95" t="s">
        <v>283</v>
      </c>
      <c r="H551" s="96">
        <v>61420</v>
      </c>
      <c r="I551" s="97">
        <v>4</v>
      </c>
    </row>
    <row r="552" spans="1:9" ht="13.5">
      <c r="A552" s="91" t="s">
        <v>767</v>
      </c>
      <c r="B552" s="92" t="s">
        <v>271</v>
      </c>
      <c r="C552" s="91" t="s">
        <v>767</v>
      </c>
      <c r="D552" s="91" t="s">
        <v>256</v>
      </c>
      <c r="E552" s="93">
        <v>34680</v>
      </c>
      <c r="F552" s="94">
        <f t="shared" ca="1" si="18"/>
        <v>21</v>
      </c>
      <c r="G552" s="95" t="s">
        <v>276</v>
      </c>
      <c r="H552" s="96">
        <v>36890</v>
      </c>
      <c r="I552" s="97">
        <v>1</v>
      </c>
    </row>
    <row r="553" spans="1:9" ht="13.5">
      <c r="A553" s="91" t="s">
        <v>767</v>
      </c>
      <c r="B553" s="92" t="s">
        <v>285</v>
      </c>
      <c r="C553" s="91" t="s">
        <v>767</v>
      </c>
      <c r="D553" s="91" t="s">
        <v>252</v>
      </c>
      <c r="E553" s="93">
        <v>34718</v>
      </c>
      <c r="F553" s="94">
        <f t="shared" ca="1" si="18"/>
        <v>21</v>
      </c>
      <c r="G553" s="95"/>
      <c r="H553" s="96">
        <v>16688</v>
      </c>
      <c r="I553" s="97">
        <v>3</v>
      </c>
    </row>
    <row r="554" spans="1:9" ht="13.5">
      <c r="A554" s="91" t="s">
        <v>767</v>
      </c>
      <c r="B554" s="92" t="s">
        <v>285</v>
      </c>
      <c r="C554" s="91" t="s">
        <v>767</v>
      </c>
      <c r="D554" s="91" t="s">
        <v>261</v>
      </c>
      <c r="E554" s="93">
        <v>34774</v>
      </c>
      <c r="F554" s="94">
        <f t="shared" ca="1" si="18"/>
        <v>21</v>
      </c>
      <c r="G554" s="95" t="s">
        <v>262</v>
      </c>
      <c r="H554" s="96">
        <v>45750</v>
      </c>
      <c r="I554" s="97">
        <v>5</v>
      </c>
    </row>
    <row r="555" spans="1:9" ht="13.5">
      <c r="A555" s="91" t="s">
        <v>767</v>
      </c>
      <c r="B555" s="92" t="s">
        <v>245</v>
      </c>
      <c r="C555" s="91" t="s">
        <v>767</v>
      </c>
      <c r="D555" s="91" t="s">
        <v>247</v>
      </c>
      <c r="E555" s="93">
        <v>34776</v>
      </c>
      <c r="F555" s="94">
        <f t="shared" ca="1" si="18"/>
        <v>21</v>
      </c>
      <c r="G555" s="95"/>
      <c r="H555" s="96">
        <v>47520</v>
      </c>
      <c r="I555" s="97">
        <v>1</v>
      </c>
    </row>
    <row r="556" spans="1:9" ht="13.5">
      <c r="A556" s="91" t="s">
        <v>767</v>
      </c>
      <c r="B556" s="92" t="s">
        <v>271</v>
      </c>
      <c r="C556" s="91" t="s">
        <v>767</v>
      </c>
      <c r="D556" s="91" t="s">
        <v>256</v>
      </c>
      <c r="E556" s="93">
        <v>34778</v>
      </c>
      <c r="F556" s="94">
        <f t="shared" ca="1" si="18"/>
        <v>21</v>
      </c>
      <c r="G556" s="95" t="s">
        <v>267</v>
      </c>
      <c r="H556" s="96">
        <v>54580</v>
      </c>
      <c r="I556" s="97">
        <v>4</v>
      </c>
    </row>
    <row r="557" spans="1:9" ht="13.5">
      <c r="A557" s="91" t="s">
        <v>767</v>
      </c>
      <c r="B557" s="92" t="s">
        <v>251</v>
      </c>
      <c r="C557" s="91" t="s">
        <v>767</v>
      </c>
      <c r="D557" s="91" t="s">
        <v>256</v>
      </c>
      <c r="E557" s="93">
        <v>34826</v>
      </c>
      <c r="F557" s="94">
        <f t="shared" ca="1" si="18"/>
        <v>21</v>
      </c>
      <c r="G557" s="95" t="s">
        <v>283</v>
      </c>
      <c r="H557" s="96">
        <v>45000</v>
      </c>
      <c r="I557" s="97">
        <v>4</v>
      </c>
    </row>
    <row r="558" spans="1:9" ht="13.5">
      <c r="A558" s="91" t="s">
        <v>767</v>
      </c>
      <c r="B558" s="92" t="s">
        <v>271</v>
      </c>
      <c r="C558" s="91" t="s">
        <v>767</v>
      </c>
      <c r="D558" s="91" t="s">
        <v>256</v>
      </c>
      <c r="E558" s="93">
        <v>34885</v>
      </c>
      <c r="F558" s="94">
        <f t="shared" ca="1" si="18"/>
        <v>21</v>
      </c>
      <c r="G558" s="95" t="s">
        <v>267</v>
      </c>
      <c r="H558" s="96">
        <v>46360</v>
      </c>
      <c r="I558" s="97">
        <v>5</v>
      </c>
    </row>
    <row r="559" spans="1:9" ht="13.5">
      <c r="A559" s="91" t="s">
        <v>767</v>
      </c>
      <c r="B559" s="92" t="s">
        <v>271</v>
      </c>
      <c r="C559" s="91" t="s">
        <v>767</v>
      </c>
      <c r="D559" s="91" t="s">
        <v>256</v>
      </c>
      <c r="E559" s="93">
        <v>34885</v>
      </c>
      <c r="F559" s="94">
        <f t="shared" ca="1" si="18"/>
        <v>21</v>
      </c>
      <c r="G559" s="95" t="s">
        <v>267</v>
      </c>
      <c r="H559" s="96">
        <v>46360</v>
      </c>
      <c r="I559" s="97">
        <v>5</v>
      </c>
    </row>
    <row r="560" spans="1:9" ht="13.5">
      <c r="A560" s="91" t="s">
        <v>767</v>
      </c>
      <c r="B560" s="92" t="s">
        <v>280</v>
      </c>
      <c r="C560" s="91" t="s">
        <v>767</v>
      </c>
      <c r="D560" s="91" t="s">
        <v>261</v>
      </c>
      <c r="E560" s="93">
        <v>34907</v>
      </c>
      <c r="F560" s="94">
        <f t="shared" ca="1" si="18"/>
        <v>21</v>
      </c>
      <c r="G560" s="95" t="s">
        <v>283</v>
      </c>
      <c r="H560" s="96">
        <v>22475</v>
      </c>
      <c r="I560" s="97">
        <v>4</v>
      </c>
    </row>
    <row r="561" spans="1:9" ht="13.5">
      <c r="A561" s="91" t="s">
        <v>767</v>
      </c>
      <c r="B561" s="92" t="s">
        <v>271</v>
      </c>
      <c r="C561" s="91" t="s">
        <v>767</v>
      </c>
      <c r="D561" s="91" t="s">
        <v>247</v>
      </c>
      <c r="E561" s="93">
        <v>34987</v>
      </c>
      <c r="F561" s="94">
        <f t="shared" ca="1" si="18"/>
        <v>21</v>
      </c>
      <c r="G561" s="95"/>
      <c r="H561" s="96">
        <v>57990</v>
      </c>
      <c r="I561" s="97">
        <v>5</v>
      </c>
    </row>
    <row r="562" spans="1:9" ht="13.5">
      <c r="A562" s="91" t="s">
        <v>767</v>
      </c>
      <c r="B562" s="92" t="s">
        <v>285</v>
      </c>
      <c r="C562" s="91" t="s">
        <v>767</v>
      </c>
      <c r="D562" s="91" t="s">
        <v>252</v>
      </c>
      <c r="E562" s="93">
        <v>35030</v>
      </c>
      <c r="F562" s="94">
        <f t="shared" ca="1" si="18"/>
        <v>20</v>
      </c>
      <c r="G562" s="95"/>
      <c r="H562" s="96">
        <v>37016</v>
      </c>
      <c r="I562" s="97">
        <v>4</v>
      </c>
    </row>
    <row r="563" spans="1:9" ht="13.5">
      <c r="A563" s="91" t="s">
        <v>767</v>
      </c>
      <c r="B563" s="92" t="s">
        <v>266</v>
      </c>
      <c r="C563" s="91" t="s">
        <v>767</v>
      </c>
      <c r="D563" s="91" t="s">
        <v>247</v>
      </c>
      <c r="E563" s="93">
        <v>35065</v>
      </c>
      <c r="F563" s="94">
        <f t="shared" ca="1" si="18"/>
        <v>20</v>
      </c>
      <c r="G563" s="95"/>
      <c r="H563" s="96">
        <v>71300</v>
      </c>
      <c r="I563" s="97">
        <v>5</v>
      </c>
    </row>
    <row r="564" spans="1:9" ht="13.5">
      <c r="A564" s="91" t="s">
        <v>767</v>
      </c>
      <c r="B564" s="92" t="s">
        <v>271</v>
      </c>
      <c r="C564" s="91" t="s">
        <v>767</v>
      </c>
      <c r="D564" s="91" t="s">
        <v>252</v>
      </c>
      <c r="E564" s="93">
        <v>35070</v>
      </c>
      <c r="F564" s="94">
        <f t="shared" ca="1" si="18"/>
        <v>20</v>
      </c>
      <c r="G564" s="95"/>
      <c r="H564" s="96">
        <v>36052</v>
      </c>
      <c r="I564" s="97">
        <v>5</v>
      </c>
    </row>
    <row r="565" spans="1:9" ht="13.5">
      <c r="A565" s="91" t="s">
        <v>767</v>
      </c>
      <c r="B565" s="92" t="s">
        <v>271</v>
      </c>
      <c r="C565" s="91" t="s">
        <v>767</v>
      </c>
      <c r="D565" s="91" t="s">
        <v>256</v>
      </c>
      <c r="E565" s="93">
        <v>35083</v>
      </c>
      <c r="F565" s="94">
        <f t="shared" ca="1" si="18"/>
        <v>20</v>
      </c>
      <c r="G565" s="95" t="s">
        <v>283</v>
      </c>
      <c r="H565" s="96">
        <v>65910</v>
      </c>
      <c r="I565" s="97">
        <v>5</v>
      </c>
    </row>
    <row r="566" spans="1:9" ht="13.5">
      <c r="A566" s="91" t="s">
        <v>767</v>
      </c>
      <c r="B566" s="92" t="s">
        <v>271</v>
      </c>
      <c r="C566" s="91" t="s">
        <v>767</v>
      </c>
      <c r="D566" s="91" t="s">
        <v>256</v>
      </c>
      <c r="E566" s="93">
        <v>35226</v>
      </c>
      <c r="F566" s="94">
        <f t="shared" ca="1" si="18"/>
        <v>20</v>
      </c>
      <c r="G566" s="95" t="s">
        <v>257</v>
      </c>
      <c r="H566" s="96">
        <v>62400</v>
      </c>
      <c r="I566" s="97">
        <v>4</v>
      </c>
    </row>
    <row r="567" spans="1:9" ht="13.5">
      <c r="A567" s="91" t="s">
        <v>767</v>
      </c>
      <c r="B567" s="92" t="s">
        <v>271</v>
      </c>
      <c r="C567" s="91" t="s">
        <v>767</v>
      </c>
      <c r="D567" s="91" t="s">
        <v>256</v>
      </c>
      <c r="E567" s="93">
        <v>35363</v>
      </c>
      <c r="F567" s="94">
        <f t="shared" ca="1" si="18"/>
        <v>20</v>
      </c>
      <c r="G567" s="95" t="s">
        <v>276</v>
      </c>
      <c r="H567" s="96">
        <v>48330</v>
      </c>
      <c r="I567" s="97">
        <v>1</v>
      </c>
    </row>
    <row r="568" spans="1:9" ht="13.5">
      <c r="A568" s="91" t="s">
        <v>767</v>
      </c>
      <c r="B568" s="92" t="s">
        <v>285</v>
      </c>
      <c r="C568" s="91" t="s">
        <v>767</v>
      </c>
      <c r="D568" s="91" t="s">
        <v>247</v>
      </c>
      <c r="E568" s="93">
        <v>35477</v>
      </c>
      <c r="F568" s="94">
        <f t="shared" ca="1" si="18"/>
        <v>19</v>
      </c>
      <c r="G568" s="95"/>
      <c r="H568" s="96">
        <v>89640</v>
      </c>
      <c r="I568" s="97">
        <v>4</v>
      </c>
    </row>
    <row r="569" spans="1:9" ht="13.5">
      <c r="A569" s="91" t="s">
        <v>767</v>
      </c>
      <c r="B569" s="92" t="s">
        <v>271</v>
      </c>
      <c r="C569" s="91" t="s">
        <v>767</v>
      </c>
      <c r="D569" s="91" t="s">
        <v>256</v>
      </c>
      <c r="E569" s="93">
        <v>35828</v>
      </c>
      <c r="F569" s="94">
        <f t="shared" ca="1" si="18"/>
        <v>18</v>
      </c>
      <c r="G569" s="95" t="s">
        <v>257</v>
      </c>
      <c r="H569" s="96">
        <v>29130</v>
      </c>
      <c r="I569" s="97">
        <v>1</v>
      </c>
    </row>
    <row r="570" spans="1:9" ht="13.5">
      <c r="A570" s="91" t="s">
        <v>767</v>
      </c>
      <c r="B570" s="92" t="s">
        <v>271</v>
      </c>
      <c r="C570" s="91" t="s">
        <v>767</v>
      </c>
      <c r="D570" s="91" t="s">
        <v>261</v>
      </c>
      <c r="E570" s="93">
        <v>35939</v>
      </c>
      <c r="F570" s="94">
        <f t="shared" ca="1" si="18"/>
        <v>18</v>
      </c>
      <c r="G570" s="95" t="s">
        <v>276</v>
      </c>
      <c r="H570" s="96">
        <v>12545</v>
      </c>
      <c r="I570" s="97">
        <v>4</v>
      </c>
    </row>
    <row r="571" spans="1:9" ht="13.5">
      <c r="A571" s="91" t="s">
        <v>767</v>
      </c>
      <c r="B571" s="92" t="s">
        <v>271</v>
      </c>
      <c r="C571" s="91" t="s">
        <v>767</v>
      </c>
      <c r="D571" s="91" t="s">
        <v>247</v>
      </c>
      <c r="E571" s="93">
        <v>36094</v>
      </c>
      <c r="F571" s="94">
        <f t="shared" ref="F571:F597" ca="1" si="19">DATEDIF(E571,TODAY(),"Y")</f>
        <v>18</v>
      </c>
      <c r="G571" s="95"/>
      <c r="H571" s="96">
        <v>60070</v>
      </c>
      <c r="I571" s="97">
        <v>3</v>
      </c>
    </row>
    <row r="572" spans="1:9" ht="13.5">
      <c r="A572" s="91" t="s">
        <v>767</v>
      </c>
      <c r="B572" s="92" t="s">
        <v>285</v>
      </c>
      <c r="C572" s="91" t="s">
        <v>767</v>
      </c>
      <c r="D572" s="91" t="s">
        <v>247</v>
      </c>
      <c r="E572" s="93">
        <v>36216</v>
      </c>
      <c r="F572" s="94">
        <f t="shared" ca="1" si="19"/>
        <v>17</v>
      </c>
      <c r="G572" s="95"/>
      <c r="H572" s="96">
        <v>61580</v>
      </c>
      <c r="I572" s="97">
        <v>3</v>
      </c>
    </row>
    <row r="573" spans="1:9" ht="13.5">
      <c r="A573" s="91" t="s">
        <v>767</v>
      </c>
      <c r="B573" s="92" t="s">
        <v>285</v>
      </c>
      <c r="C573" s="91" t="s">
        <v>767</v>
      </c>
      <c r="D573" s="91" t="s">
        <v>256</v>
      </c>
      <c r="E573" s="93">
        <v>36258</v>
      </c>
      <c r="F573" s="94">
        <f t="shared" ca="1" si="19"/>
        <v>17</v>
      </c>
      <c r="G573" s="95" t="s">
        <v>262</v>
      </c>
      <c r="H573" s="96">
        <v>45100</v>
      </c>
      <c r="I573" s="97">
        <v>2</v>
      </c>
    </row>
    <row r="574" spans="1:9" ht="13.5">
      <c r="A574" s="91" t="s">
        <v>767</v>
      </c>
      <c r="B574" s="92" t="s">
        <v>285</v>
      </c>
      <c r="C574" s="91" t="s">
        <v>767</v>
      </c>
      <c r="D574" s="91" t="s">
        <v>256</v>
      </c>
      <c r="E574" s="93">
        <v>36391</v>
      </c>
      <c r="F574" s="94">
        <f t="shared" ca="1" si="19"/>
        <v>17</v>
      </c>
      <c r="G574" s="95" t="s">
        <v>262</v>
      </c>
      <c r="H574" s="96">
        <v>23560</v>
      </c>
      <c r="I574" s="97">
        <v>3</v>
      </c>
    </row>
    <row r="575" spans="1:9" ht="13.5">
      <c r="A575" s="91" t="s">
        <v>767</v>
      </c>
      <c r="B575" s="92" t="s">
        <v>280</v>
      </c>
      <c r="C575" s="91" t="s">
        <v>767</v>
      </c>
      <c r="D575" s="91" t="s">
        <v>256</v>
      </c>
      <c r="E575" s="93">
        <v>36538</v>
      </c>
      <c r="F575" s="94">
        <f t="shared" ca="1" si="19"/>
        <v>16</v>
      </c>
      <c r="G575" s="95" t="s">
        <v>262</v>
      </c>
      <c r="H575" s="96">
        <v>76910</v>
      </c>
      <c r="I575" s="97">
        <v>2</v>
      </c>
    </row>
    <row r="576" spans="1:9" ht="13.5">
      <c r="A576" s="91" t="s">
        <v>767</v>
      </c>
      <c r="B576" s="92" t="s">
        <v>285</v>
      </c>
      <c r="C576" s="91" t="s">
        <v>767</v>
      </c>
      <c r="D576" s="91" t="s">
        <v>261</v>
      </c>
      <c r="E576" s="93">
        <v>36863</v>
      </c>
      <c r="F576" s="94">
        <f t="shared" ca="1" si="19"/>
        <v>15</v>
      </c>
      <c r="G576" s="95" t="s">
        <v>283</v>
      </c>
      <c r="H576" s="96">
        <v>32900</v>
      </c>
      <c r="I576" s="97">
        <v>2</v>
      </c>
    </row>
    <row r="577" spans="1:9" ht="13.5">
      <c r="A577" s="91" t="s">
        <v>767</v>
      </c>
      <c r="B577" s="92" t="s">
        <v>266</v>
      </c>
      <c r="C577" s="91" t="s">
        <v>767</v>
      </c>
      <c r="D577" s="91" t="s">
        <v>256</v>
      </c>
      <c r="E577" s="93">
        <v>37113</v>
      </c>
      <c r="F577" s="94">
        <f t="shared" ca="1" si="19"/>
        <v>15</v>
      </c>
      <c r="G577" s="95" t="s">
        <v>276</v>
      </c>
      <c r="H577" s="96">
        <v>61330</v>
      </c>
      <c r="I577" s="97">
        <v>2</v>
      </c>
    </row>
    <row r="578" spans="1:9" ht="13.5">
      <c r="A578" s="91" t="s">
        <v>767</v>
      </c>
      <c r="B578" s="92" t="s">
        <v>266</v>
      </c>
      <c r="C578" s="91" t="s">
        <v>767</v>
      </c>
      <c r="D578" s="91" t="s">
        <v>261</v>
      </c>
      <c r="E578" s="93">
        <v>37413</v>
      </c>
      <c r="F578" s="94">
        <f t="shared" ca="1" si="19"/>
        <v>14</v>
      </c>
      <c r="G578" s="95" t="s">
        <v>283</v>
      </c>
      <c r="H578" s="96">
        <v>10630</v>
      </c>
      <c r="I578" s="97">
        <v>3</v>
      </c>
    </row>
    <row r="579" spans="1:9" ht="13.5">
      <c r="A579" s="91" t="s">
        <v>767</v>
      </c>
      <c r="B579" s="92" t="s">
        <v>266</v>
      </c>
      <c r="C579" s="91" t="s">
        <v>767</v>
      </c>
      <c r="D579" s="91" t="s">
        <v>256</v>
      </c>
      <c r="E579" s="93">
        <v>37480</v>
      </c>
      <c r="F579" s="94">
        <f t="shared" ca="1" si="19"/>
        <v>14</v>
      </c>
      <c r="G579" s="95" t="s">
        <v>262</v>
      </c>
      <c r="H579" s="96">
        <v>62688</v>
      </c>
      <c r="I579" s="97">
        <v>3</v>
      </c>
    </row>
    <row r="580" spans="1:9" ht="13.5">
      <c r="A580" s="91" t="s">
        <v>767</v>
      </c>
      <c r="B580" s="92" t="s">
        <v>271</v>
      </c>
      <c r="C580" s="91" t="s">
        <v>767</v>
      </c>
      <c r="D580" s="91" t="s">
        <v>256</v>
      </c>
      <c r="E580" s="93">
        <v>37737</v>
      </c>
      <c r="F580" s="94">
        <f t="shared" ca="1" si="19"/>
        <v>13</v>
      </c>
      <c r="G580" s="95" t="s">
        <v>283</v>
      </c>
      <c r="H580" s="96">
        <v>65880</v>
      </c>
      <c r="I580" s="97">
        <v>5</v>
      </c>
    </row>
    <row r="581" spans="1:9" ht="13.5">
      <c r="A581" s="91" t="s">
        <v>767</v>
      </c>
      <c r="B581" s="92" t="s">
        <v>271</v>
      </c>
      <c r="C581" s="91" t="s">
        <v>767</v>
      </c>
      <c r="D581" s="91" t="s">
        <v>256</v>
      </c>
      <c r="E581" s="93">
        <v>37737</v>
      </c>
      <c r="F581" s="94">
        <f t="shared" ca="1" si="19"/>
        <v>13</v>
      </c>
      <c r="G581" s="95" t="s">
        <v>283</v>
      </c>
      <c r="H581" s="96">
        <v>65880</v>
      </c>
      <c r="I581" s="97">
        <v>5</v>
      </c>
    </row>
    <row r="582" spans="1:9" ht="13.5">
      <c r="A582" s="91" t="s">
        <v>767</v>
      </c>
      <c r="B582" s="92" t="s">
        <v>266</v>
      </c>
      <c r="C582" s="91" t="s">
        <v>767</v>
      </c>
      <c r="D582" s="91" t="s">
        <v>256</v>
      </c>
      <c r="E582" s="93">
        <v>37907</v>
      </c>
      <c r="F582" s="94">
        <f t="shared" ca="1" si="19"/>
        <v>13</v>
      </c>
      <c r="G582" s="95" t="s">
        <v>257</v>
      </c>
      <c r="H582" s="96">
        <v>73830</v>
      </c>
      <c r="I582" s="97">
        <v>2</v>
      </c>
    </row>
    <row r="583" spans="1:9" ht="13.5">
      <c r="A583" s="91" t="s">
        <v>767</v>
      </c>
      <c r="B583" s="92" t="s">
        <v>285</v>
      </c>
      <c r="C583" s="91" t="s">
        <v>767</v>
      </c>
      <c r="D583" s="91" t="s">
        <v>256</v>
      </c>
      <c r="E583" s="93">
        <v>38052</v>
      </c>
      <c r="F583" s="94">
        <f t="shared" ca="1" si="19"/>
        <v>12</v>
      </c>
      <c r="G583" s="95" t="s">
        <v>262</v>
      </c>
      <c r="H583" s="96">
        <v>42020</v>
      </c>
      <c r="I583" s="97">
        <v>5</v>
      </c>
    </row>
    <row r="584" spans="1:9" ht="13.5">
      <c r="A584" s="91" t="s">
        <v>767</v>
      </c>
      <c r="B584" s="92" t="s">
        <v>285</v>
      </c>
      <c r="C584" s="91" t="s">
        <v>767</v>
      </c>
      <c r="D584" s="91" t="s">
        <v>256</v>
      </c>
      <c r="E584" s="93">
        <v>38136</v>
      </c>
      <c r="F584" s="94">
        <f t="shared" ca="1" si="19"/>
        <v>12</v>
      </c>
      <c r="G584" s="95" t="s">
        <v>257</v>
      </c>
      <c r="H584" s="96">
        <v>44650</v>
      </c>
      <c r="I584" s="97">
        <v>1</v>
      </c>
    </row>
    <row r="585" spans="1:9" ht="13.5">
      <c r="A585" s="91" t="s">
        <v>767</v>
      </c>
      <c r="B585" s="92" t="s">
        <v>280</v>
      </c>
      <c r="C585" s="91" t="s">
        <v>767</v>
      </c>
      <c r="D585" s="91" t="s">
        <v>261</v>
      </c>
      <c r="E585" s="93">
        <v>38418</v>
      </c>
      <c r="F585" s="94">
        <f t="shared" ca="1" si="19"/>
        <v>11</v>
      </c>
      <c r="G585" s="95" t="s">
        <v>257</v>
      </c>
      <c r="H585" s="96">
        <v>45565</v>
      </c>
      <c r="I585" s="97">
        <v>1</v>
      </c>
    </row>
    <row r="586" spans="1:9" ht="13.5">
      <c r="A586" s="91" t="s">
        <v>767</v>
      </c>
      <c r="B586" s="92" t="s">
        <v>285</v>
      </c>
      <c r="C586" s="91" t="s">
        <v>767</v>
      </c>
      <c r="D586" s="91" t="s">
        <v>256</v>
      </c>
      <c r="E586" s="93">
        <v>38554</v>
      </c>
      <c r="F586" s="94">
        <f t="shared" ca="1" si="19"/>
        <v>11</v>
      </c>
      <c r="G586" s="95" t="s">
        <v>257</v>
      </c>
      <c r="H586" s="96">
        <v>64320</v>
      </c>
      <c r="I586" s="97">
        <v>5</v>
      </c>
    </row>
    <row r="587" spans="1:9" ht="13.5">
      <c r="A587" s="91" t="s">
        <v>767</v>
      </c>
      <c r="B587" s="92" t="s">
        <v>245</v>
      </c>
      <c r="C587" s="91" t="s">
        <v>767</v>
      </c>
      <c r="D587" s="91" t="s">
        <v>256</v>
      </c>
      <c r="E587" s="93">
        <v>38589</v>
      </c>
      <c r="F587" s="94">
        <f t="shared" ca="1" si="19"/>
        <v>11</v>
      </c>
      <c r="G587" s="95" t="s">
        <v>257</v>
      </c>
      <c r="H587" s="96">
        <v>24790</v>
      </c>
      <c r="I587" s="97">
        <v>3</v>
      </c>
    </row>
    <row r="588" spans="1:9" ht="13.5">
      <c r="A588" s="91" t="s">
        <v>767</v>
      </c>
      <c r="B588" s="92" t="s">
        <v>271</v>
      </c>
      <c r="C588" s="91" t="s">
        <v>767</v>
      </c>
      <c r="D588" s="91" t="s">
        <v>256</v>
      </c>
      <c r="E588" s="93">
        <v>38827</v>
      </c>
      <c r="F588" s="94">
        <f t="shared" ca="1" si="19"/>
        <v>10</v>
      </c>
      <c r="G588" s="95" t="s">
        <v>257</v>
      </c>
      <c r="H588" s="96">
        <v>54190</v>
      </c>
      <c r="I588" s="97">
        <v>4</v>
      </c>
    </row>
    <row r="589" spans="1:9" ht="13.5">
      <c r="A589" s="91" t="s">
        <v>767</v>
      </c>
      <c r="B589" s="92" t="s">
        <v>271</v>
      </c>
      <c r="C589" s="91" t="s">
        <v>767</v>
      </c>
      <c r="D589" s="91" t="s">
        <v>261</v>
      </c>
      <c r="E589" s="93">
        <v>38856</v>
      </c>
      <c r="F589" s="94">
        <f t="shared" ca="1" si="19"/>
        <v>10</v>
      </c>
      <c r="G589" s="95" t="s">
        <v>276</v>
      </c>
      <c r="H589" s="96">
        <v>25245</v>
      </c>
      <c r="I589" s="97">
        <v>5</v>
      </c>
    </row>
    <row r="590" spans="1:9" ht="13.5">
      <c r="A590" s="91" t="s">
        <v>767</v>
      </c>
      <c r="B590" s="92" t="s">
        <v>251</v>
      </c>
      <c r="C590" s="91" t="s">
        <v>767</v>
      </c>
      <c r="D590" s="91" t="s">
        <v>261</v>
      </c>
      <c r="E590" s="99">
        <v>38944</v>
      </c>
      <c r="F590" s="94">
        <f t="shared" ca="1" si="19"/>
        <v>10</v>
      </c>
      <c r="G590" s="95" t="s">
        <v>283</v>
      </c>
      <c r="H590" s="96">
        <v>48700</v>
      </c>
      <c r="I590" s="97">
        <v>3</v>
      </c>
    </row>
    <row r="591" spans="1:9" ht="13.5">
      <c r="A591" s="91" t="s">
        <v>767</v>
      </c>
      <c r="B591" s="92" t="s">
        <v>266</v>
      </c>
      <c r="C591" s="91" t="s">
        <v>767</v>
      </c>
      <c r="D591" s="91" t="s">
        <v>261</v>
      </c>
      <c r="E591" s="93">
        <v>38983</v>
      </c>
      <c r="F591" s="94">
        <f t="shared" ca="1" si="19"/>
        <v>10</v>
      </c>
      <c r="G591" s="95" t="s">
        <v>257</v>
      </c>
      <c r="H591" s="96">
        <v>11810</v>
      </c>
      <c r="I591" s="97">
        <v>1</v>
      </c>
    </row>
    <row r="592" spans="1:9" ht="13.5">
      <c r="A592" s="91" t="s">
        <v>767</v>
      </c>
      <c r="B592" s="92" t="s">
        <v>271</v>
      </c>
      <c r="C592" s="91" t="s">
        <v>767</v>
      </c>
      <c r="D592" s="91" t="s">
        <v>247</v>
      </c>
      <c r="E592" s="99">
        <v>39094</v>
      </c>
      <c r="F592" s="94">
        <f t="shared" ca="1" si="19"/>
        <v>9</v>
      </c>
      <c r="G592" s="95"/>
      <c r="H592" s="96">
        <v>39550</v>
      </c>
      <c r="I592" s="97">
        <v>5</v>
      </c>
    </row>
    <row r="593" spans="1:9" ht="13.5">
      <c r="A593" s="91" t="s">
        <v>767</v>
      </c>
      <c r="B593" s="92" t="s">
        <v>245</v>
      </c>
      <c r="C593" s="91" t="s">
        <v>767</v>
      </c>
      <c r="D593" s="91" t="s">
        <v>247</v>
      </c>
      <c r="E593" s="99">
        <v>39100</v>
      </c>
      <c r="F593" s="94">
        <f t="shared" ca="1" si="19"/>
        <v>9</v>
      </c>
      <c r="G593" s="95"/>
      <c r="H593" s="96">
        <v>57680</v>
      </c>
      <c r="I593" s="97">
        <v>4</v>
      </c>
    </row>
    <row r="594" spans="1:9" ht="13.5">
      <c r="A594" s="91" t="s">
        <v>767</v>
      </c>
      <c r="B594" s="92" t="s">
        <v>245</v>
      </c>
      <c r="C594" s="91" t="s">
        <v>767</v>
      </c>
      <c r="D594" s="91" t="s">
        <v>261</v>
      </c>
      <c r="E594" s="99">
        <v>39111</v>
      </c>
      <c r="F594" s="94">
        <f t="shared" ca="1" si="19"/>
        <v>9</v>
      </c>
      <c r="G594" s="95" t="s">
        <v>262</v>
      </c>
      <c r="H594" s="96">
        <v>49355</v>
      </c>
      <c r="I594" s="97">
        <v>5</v>
      </c>
    </row>
    <row r="595" spans="1:9" ht="13.5">
      <c r="A595" s="91" t="s">
        <v>767</v>
      </c>
      <c r="B595" s="92" t="s">
        <v>285</v>
      </c>
      <c r="C595" s="91" t="s">
        <v>767</v>
      </c>
      <c r="D595" s="91" t="s">
        <v>256</v>
      </c>
      <c r="E595" s="93">
        <v>39128</v>
      </c>
      <c r="F595" s="94">
        <f t="shared" ca="1" si="19"/>
        <v>9</v>
      </c>
      <c r="G595" s="95" t="s">
        <v>267</v>
      </c>
      <c r="H595" s="96">
        <v>59150</v>
      </c>
      <c r="I595" s="97">
        <v>4</v>
      </c>
    </row>
    <row r="596" spans="1:9" ht="13.5">
      <c r="A596" s="91" t="s">
        <v>767</v>
      </c>
      <c r="B596" s="92" t="s">
        <v>285</v>
      </c>
      <c r="C596" s="91" t="s">
        <v>767</v>
      </c>
      <c r="D596" s="91" t="s">
        <v>256</v>
      </c>
      <c r="E596" s="93">
        <v>39167</v>
      </c>
      <c r="F596" s="94">
        <f t="shared" ca="1" si="19"/>
        <v>9</v>
      </c>
      <c r="G596" s="95" t="s">
        <v>267</v>
      </c>
      <c r="H596" s="96">
        <v>63206</v>
      </c>
      <c r="I596" s="97">
        <v>1</v>
      </c>
    </row>
    <row r="597" spans="1:9" ht="13.5">
      <c r="A597" s="91" t="s">
        <v>767</v>
      </c>
      <c r="B597" s="92" t="s">
        <v>271</v>
      </c>
      <c r="C597" s="91" t="s">
        <v>767</v>
      </c>
      <c r="D597" s="91" t="s">
        <v>256</v>
      </c>
      <c r="E597" s="93">
        <v>39314</v>
      </c>
      <c r="F597" s="94">
        <f t="shared" ca="1" si="19"/>
        <v>9</v>
      </c>
      <c r="G597" s="95" t="s">
        <v>276</v>
      </c>
      <c r="H597" s="96">
        <v>86500</v>
      </c>
      <c r="I597" s="97">
        <v>1</v>
      </c>
    </row>
    <row r="598" spans="1:9" ht="13.5">
      <c r="A598" s="98" t="s">
        <v>1054</v>
      </c>
      <c r="B598" s="92"/>
      <c r="C598" s="98"/>
      <c r="D598" s="91"/>
      <c r="E598" s="93"/>
      <c r="F598" s="94"/>
      <c r="G598" s="95"/>
      <c r="H598" s="96"/>
      <c r="I598" s="97"/>
    </row>
    <row r="599" spans="1:9" ht="13.5">
      <c r="A599" s="91" t="s">
        <v>856</v>
      </c>
      <c r="B599" s="92" t="s">
        <v>285</v>
      </c>
      <c r="C599" s="91" t="s">
        <v>856</v>
      </c>
      <c r="D599" s="91" t="s">
        <v>256</v>
      </c>
      <c r="E599" s="93">
        <v>31912</v>
      </c>
      <c r="F599" s="94">
        <f t="shared" ref="F599:F662" ca="1" si="20">DATEDIF(E599,TODAY(),"Y")</f>
        <v>29</v>
      </c>
      <c r="G599" s="95" t="s">
        <v>257</v>
      </c>
      <c r="H599" s="96">
        <v>53900</v>
      </c>
      <c r="I599" s="97">
        <v>5</v>
      </c>
    </row>
    <row r="600" spans="1:9" ht="13.5">
      <c r="A600" s="91" t="s">
        <v>856</v>
      </c>
      <c r="B600" s="92" t="s">
        <v>245</v>
      </c>
      <c r="C600" s="91" t="s">
        <v>856</v>
      </c>
      <c r="D600" s="91" t="s">
        <v>252</v>
      </c>
      <c r="E600" s="93">
        <v>31946</v>
      </c>
      <c r="F600" s="94">
        <f t="shared" ca="1" si="20"/>
        <v>29</v>
      </c>
      <c r="G600" s="95"/>
      <c r="H600" s="96">
        <v>30468</v>
      </c>
      <c r="I600" s="97">
        <v>2</v>
      </c>
    </row>
    <row r="601" spans="1:9" ht="13.5">
      <c r="A601" s="91" t="s">
        <v>856</v>
      </c>
      <c r="B601" s="92" t="s">
        <v>285</v>
      </c>
      <c r="C601" s="91" t="s">
        <v>856</v>
      </c>
      <c r="D601" s="91" t="s">
        <v>256</v>
      </c>
      <c r="E601" s="93">
        <v>31959</v>
      </c>
      <c r="F601" s="94">
        <f t="shared" ca="1" si="20"/>
        <v>29</v>
      </c>
      <c r="G601" s="95" t="s">
        <v>283</v>
      </c>
      <c r="H601" s="96">
        <v>24840</v>
      </c>
      <c r="I601" s="97">
        <v>1</v>
      </c>
    </row>
    <row r="602" spans="1:9" ht="13.5">
      <c r="A602" s="91" t="s">
        <v>856</v>
      </c>
      <c r="B602" s="92" t="s">
        <v>251</v>
      </c>
      <c r="C602" s="91" t="s">
        <v>856</v>
      </c>
      <c r="D602" s="91" t="s">
        <v>247</v>
      </c>
      <c r="E602" s="93">
        <v>31972</v>
      </c>
      <c r="F602" s="94">
        <f t="shared" ca="1" si="20"/>
        <v>29</v>
      </c>
      <c r="G602" s="95"/>
      <c r="H602" s="96">
        <v>89450</v>
      </c>
      <c r="I602" s="97">
        <v>2</v>
      </c>
    </row>
    <row r="603" spans="1:9" ht="13.5">
      <c r="A603" s="91" t="s">
        <v>856</v>
      </c>
      <c r="B603" s="92" t="s">
        <v>271</v>
      </c>
      <c r="C603" s="91" t="s">
        <v>856</v>
      </c>
      <c r="D603" s="91" t="s">
        <v>247</v>
      </c>
      <c r="E603" s="93">
        <v>32111</v>
      </c>
      <c r="F603" s="94">
        <f t="shared" ca="1" si="20"/>
        <v>28</v>
      </c>
      <c r="G603" s="95"/>
      <c r="H603" s="96">
        <v>46650</v>
      </c>
      <c r="I603" s="97">
        <v>2</v>
      </c>
    </row>
    <row r="604" spans="1:9" ht="13.5">
      <c r="A604" s="91" t="s">
        <v>856</v>
      </c>
      <c r="B604" s="92" t="s">
        <v>251</v>
      </c>
      <c r="C604" s="91" t="s">
        <v>856</v>
      </c>
      <c r="D604" s="91" t="s">
        <v>256</v>
      </c>
      <c r="E604" s="93">
        <v>32144</v>
      </c>
      <c r="F604" s="94">
        <f t="shared" ca="1" si="20"/>
        <v>28</v>
      </c>
      <c r="G604" s="95" t="s">
        <v>257</v>
      </c>
      <c r="H604" s="96">
        <v>67920</v>
      </c>
      <c r="I604" s="97">
        <v>4</v>
      </c>
    </row>
    <row r="605" spans="1:9" ht="13.5">
      <c r="A605" s="91" t="s">
        <v>856</v>
      </c>
      <c r="B605" s="92" t="s">
        <v>266</v>
      </c>
      <c r="C605" s="91" t="s">
        <v>856</v>
      </c>
      <c r="D605" s="91" t="s">
        <v>256</v>
      </c>
      <c r="E605" s="93">
        <v>32238</v>
      </c>
      <c r="F605" s="94">
        <f t="shared" ca="1" si="20"/>
        <v>28</v>
      </c>
      <c r="G605" s="95" t="s">
        <v>283</v>
      </c>
      <c r="H605" s="96">
        <v>63050</v>
      </c>
      <c r="I605" s="97">
        <v>3</v>
      </c>
    </row>
    <row r="606" spans="1:9" ht="13.5">
      <c r="A606" s="91" t="s">
        <v>856</v>
      </c>
      <c r="B606" s="92" t="s">
        <v>285</v>
      </c>
      <c r="C606" s="91" t="s">
        <v>856</v>
      </c>
      <c r="D606" s="91" t="s">
        <v>256</v>
      </c>
      <c r="E606" s="93">
        <v>32294</v>
      </c>
      <c r="F606" s="94">
        <f t="shared" ca="1" si="20"/>
        <v>28</v>
      </c>
      <c r="G606" s="95" t="s">
        <v>257</v>
      </c>
      <c r="H606" s="96">
        <v>54830</v>
      </c>
      <c r="I606" s="97">
        <v>1</v>
      </c>
    </row>
    <row r="607" spans="1:9" ht="13.5">
      <c r="A607" s="91" t="s">
        <v>856</v>
      </c>
      <c r="B607" s="92" t="s">
        <v>285</v>
      </c>
      <c r="C607" s="91" t="s">
        <v>856</v>
      </c>
      <c r="D607" s="91" t="s">
        <v>256</v>
      </c>
      <c r="E607" s="93">
        <v>32375</v>
      </c>
      <c r="F607" s="94">
        <f t="shared" ca="1" si="20"/>
        <v>28</v>
      </c>
      <c r="G607" s="95" t="s">
        <v>257</v>
      </c>
      <c r="H607" s="96">
        <v>65571</v>
      </c>
      <c r="I607" s="97">
        <v>3</v>
      </c>
    </row>
    <row r="608" spans="1:9" ht="13.5">
      <c r="A608" s="91" t="s">
        <v>856</v>
      </c>
      <c r="B608" s="92" t="s">
        <v>285</v>
      </c>
      <c r="C608" s="91" t="s">
        <v>856</v>
      </c>
      <c r="D608" s="91" t="s">
        <v>256</v>
      </c>
      <c r="E608" s="93">
        <v>32401</v>
      </c>
      <c r="F608" s="94">
        <f t="shared" ca="1" si="20"/>
        <v>28</v>
      </c>
      <c r="G608" s="95" t="s">
        <v>257</v>
      </c>
      <c r="H608" s="96">
        <v>68470</v>
      </c>
      <c r="I608" s="97">
        <v>4</v>
      </c>
    </row>
    <row r="609" spans="1:9" ht="13.5">
      <c r="A609" s="91" t="s">
        <v>856</v>
      </c>
      <c r="B609" s="92" t="s">
        <v>271</v>
      </c>
      <c r="C609" s="91" t="s">
        <v>856</v>
      </c>
      <c r="D609" s="91" t="s">
        <v>256</v>
      </c>
      <c r="E609" s="93">
        <v>32542</v>
      </c>
      <c r="F609" s="94">
        <f t="shared" ca="1" si="20"/>
        <v>27</v>
      </c>
      <c r="G609" s="95" t="s">
        <v>276</v>
      </c>
      <c r="H609" s="96">
        <v>86240</v>
      </c>
      <c r="I609" s="97">
        <v>1</v>
      </c>
    </row>
    <row r="610" spans="1:9" ht="13.5">
      <c r="A610" s="91" t="s">
        <v>856</v>
      </c>
      <c r="B610" s="92" t="s">
        <v>266</v>
      </c>
      <c r="C610" s="91" t="s">
        <v>856</v>
      </c>
      <c r="D610" s="91" t="s">
        <v>261</v>
      </c>
      <c r="E610" s="93">
        <v>32580</v>
      </c>
      <c r="F610" s="94">
        <f t="shared" ca="1" si="20"/>
        <v>27</v>
      </c>
      <c r="G610" s="95" t="s">
        <v>283</v>
      </c>
      <c r="H610" s="96">
        <v>25885</v>
      </c>
      <c r="I610" s="97">
        <v>5</v>
      </c>
    </row>
    <row r="611" spans="1:9" ht="13.5">
      <c r="A611" s="91" t="s">
        <v>856</v>
      </c>
      <c r="B611" s="92" t="s">
        <v>285</v>
      </c>
      <c r="C611" s="91" t="s">
        <v>856</v>
      </c>
      <c r="D611" s="91" t="s">
        <v>247</v>
      </c>
      <c r="E611" s="93">
        <v>32604</v>
      </c>
      <c r="F611" s="94">
        <f t="shared" ca="1" si="20"/>
        <v>27</v>
      </c>
      <c r="G611" s="95"/>
      <c r="H611" s="96">
        <v>55690</v>
      </c>
      <c r="I611" s="97">
        <v>2</v>
      </c>
    </row>
    <row r="612" spans="1:9" ht="13.5">
      <c r="A612" s="91" t="s">
        <v>856</v>
      </c>
      <c r="B612" s="92" t="s">
        <v>245</v>
      </c>
      <c r="C612" s="91" t="s">
        <v>856</v>
      </c>
      <c r="D612" s="91" t="s">
        <v>256</v>
      </c>
      <c r="E612" s="93">
        <v>32700</v>
      </c>
      <c r="F612" s="94">
        <f t="shared" ca="1" si="20"/>
        <v>27</v>
      </c>
      <c r="G612" s="95" t="s">
        <v>257</v>
      </c>
      <c r="H612" s="96">
        <v>54270</v>
      </c>
      <c r="I612" s="97">
        <v>3</v>
      </c>
    </row>
    <row r="613" spans="1:9" ht="13.5">
      <c r="A613" s="91" t="s">
        <v>856</v>
      </c>
      <c r="B613" s="92" t="s">
        <v>251</v>
      </c>
      <c r="C613" s="91" t="s">
        <v>856</v>
      </c>
      <c r="D613" s="91" t="s">
        <v>256</v>
      </c>
      <c r="E613" s="93">
        <v>32711</v>
      </c>
      <c r="F613" s="94">
        <f t="shared" ca="1" si="20"/>
        <v>27</v>
      </c>
      <c r="G613" s="95" t="s">
        <v>283</v>
      </c>
      <c r="H613" s="96">
        <v>45110</v>
      </c>
      <c r="I613" s="97">
        <v>2</v>
      </c>
    </row>
    <row r="614" spans="1:9" ht="13.5">
      <c r="A614" s="91" t="s">
        <v>856</v>
      </c>
      <c r="B614" s="92" t="s">
        <v>271</v>
      </c>
      <c r="C614" s="91" t="s">
        <v>856</v>
      </c>
      <c r="D614" s="91" t="s">
        <v>256</v>
      </c>
      <c r="E614" s="93">
        <v>32718</v>
      </c>
      <c r="F614" s="94">
        <f t="shared" ca="1" si="20"/>
        <v>27</v>
      </c>
      <c r="G614" s="95" t="s">
        <v>283</v>
      </c>
      <c r="H614" s="96">
        <v>66824</v>
      </c>
      <c r="I614" s="97">
        <v>2</v>
      </c>
    </row>
    <row r="615" spans="1:9" ht="13.5">
      <c r="A615" s="91" t="s">
        <v>856</v>
      </c>
      <c r="B615" s="92" t="s">
        <v>285</v>
      </c>
      <c r="C615" s="91" t="s">
        <v>856</v>
      </c>
      <c r="D615" s="91" t="s">
        <v>256</v>
      </c>
      <c r="E615" s="93">
        <v>32850</v>
      </c>
      <c r="F615" s="94">
        <f t="shared" ca="1" si="20"/>
        <v>26</v>
      </c>
      <c r="G615" s="95" t="s">
        <v>257</v>
      </c>
      <c r="H615" s="96">
        <v>54200</v>
      </c>
      <c r="I615" s="97">
        <v>4</v>
      </c>
    </row>
    <row r="616" spans="1:9" ht="13.5">
      <c r="A616" s="91" t="s">
        <v>856</v>
      </c>
      <c r="B616" s="92" t="s">
        <v>271</v>
      </c>
      <c r="C616" s="91" t="s">
        <v>856</v>
      </c>
      <c r="D616" s="91" t="s">
        <v>252</v>
      </c>
      <c r="E616" s="93">
        <v>32870</v>
      </c>
      <c r="F616" s="94">
        <f t="shared" ca="1" si="20"/>
        <v>26</v>
      </c>
      <c r="G616" s="95"/>
      <c r="H616" s="96">
        <v>26484</v>
      </c>
      <c r="I616" s="97">
        <v>5</v>
      </c>
    </row>
    <row r="617" spans="1:9" ht="13.5">
      <c r="A617" s="91" t="s">
        <v>856</v>
      </c>
      <c r="B617" s="92" t="s">
        <v>271</v>
      </c>
      <c r="C617" s="91" t="s">
        <v>856</v>
      </c>
      <c r="D617" s="91" t="s">
        <v>256</v>
      </c>
      <c r="E617" s="93">
        <v>32975</v>
      </c>
      <c r="F617" s="94">
        <f t="shared" ca="1" si="20"/>
        <v>26</v>
      </c>
      <c r="G617" s="95" t="s">
        <v>267</v>
      </c>
      <c r="H617" s="96">
        <v>48490</v>
      </c>
      <c r="I617" s="97">
        <v>2</v>
      </c>
    </row>
    <row r="618" spans="1:9" ht="13.5">
      <c r="A618" s="91" t="s">
        <v>856</v>
      </c>
      <c r="B618" s="92" t="s">
        <v>271</v>
      </c>
      <c r="C618" s="91" t="s">
        <v>856</v>
      </c>
      <c r="D618" s="91" t="s">
        <v>252</v>
      </c>
      <c r="E618" s="93">
        <v>33035</v>
      </c>
      <c r="F618" s="94">
        <f t="shared" ca="1" si="20"/>
        <v>26</v>
      </c>
      <c r="G618" s="95"/>
      <c r="H618" s="96">
        <v>36788</v>
      </c>
      <c r="I618" s="97">
        <v>4</v>
      </c>
    </row>
    <row r="619" spans="1:9" ht="13.5">
      <c r="A619" s="91" t="s">
        <v>856</v>
      </c>
      <c r="B619" s="92" t="s">
        <v>271</v>
      </c>
      <c r="C619" s="91" t="s">
        <v>856</v>
      </c>
      <c r="D619" s="91" t="s">
        <v>256</v>
      </c>
      <c r="E619" s="93">
        <v>33444</v>
      </c>
      <c r="F619" s="94">
        <f t="shared" ca="1" si="20"/>
        <v>25</v>
      </c>
      <c r="G619" s="95" t="s">
        <v>257</v>
      </c>
      <c r="H619" s="96">
        <v>39000</v>
      </c>
      <c r="I619" s="97">
        <v>5</v>
      </c>
    </row>
    <row r="620" spans="1:9" ht="13.5">
      <c r="A620" s="91" t="s">
        <v>856</v>
      </c>
      <c r="B620" s="92" t="s">
        <v>285</v>
      </c>
      <c r="C620" s="91" t="s">
        <v>856</v>
      </c>
      <c r="D620" s="91" t="s">
        <v>256</v>
      </c>
      <c r="E620" s="93">
        <v>33490</v>
      </c>
      <c r="F620" s="94">
        <f t="shared" ca="1" si="20"/>
        <v>25</v>
      </c>
      <c r="G620" s="95" t="s">
        <v>262</v>
      </c>
      <c r="H620" s="96">
        <v>82700</v>
      </c>
      <c r="I620" s="97">
        <v>3</v>
      </c>
    </row>
    <row r="621" spans="1:9" ht="13.5">
      <c r="A621" s="91" t="s">
        <v>856</v>
      </c>
      <c r="B621" s="92" t="s">
        <v>266</v>
      </c>
      <c r="C621" s="91" t="s">
        <v>856</v>
      </c>
      <c r="D621" s="91" t="s">
        <v>252</v>
      </c>
      <c r="E621" s="93">
        <v>33724</v>
      </c>
      <c r="F621" s="94">
        <f t="shared" ca="1" si="20"/>
        <v>24</v>
      </c>
      <c r="G621" s="95"/>
      <c r="H621" s="96">
        <v>23692</v>
      </c>
      <c r="I621" s="97">
        <v>4</v>
      </c>
    </row>
    <row r="622" spans="1:9" ht="13.5">
      <c r="A622" s="91" t="s">
        <v>856</v>
      </c>
      <c r="B622" s="92" t="s">
        <v>271</v>
      </c>
      <c r="C622" s="91" t="s">
        <v>856</v>
      </c>
      <c r="D622" s="91" t="s">
        <v>256</v>
      </c>
      <c r="E622" s="93">
        <v>34046</v>
      </c>
      <c r="F622" s="94">
        <f t="shared" ca="1" si="20"/>
        <v>23</v>
      </c>
      <c r="G622" s="95" t="s">
        <v>262</v>
      </c>
      <c r="H622" s="96">
        <v>63030</v>
      </c>
      <c r="I622" s="97">
        <v>1</v>
      </c>
    </row>
    <row r="623" spans="1:9" ht="13.5">
      <c r="A623" s="91" t="s">
        <v>856</v>
      </c>
      <c r="B623" s="92" t="s">
        <v>271</v>
      </c>
      <c r="C623" s="91" t="s">
        <v>856</v>
      </c>
      <c r="D623" s="91" t="s">
        <v>256</v>
      </c>
      <c r="E623" s="93">
        <v>34063</v>
      </c>
      <c r="F623" s="94">
        <f t="shared" ca="1" si="20"/>
        <v>23</v>
      </c>
      <c r="G623" s="95" t="s">
        <v>283</v>
      </c>
      <c r="H623" s="96">
        <v>66440</v>
      </c>
      <c r="I623" s="97">
        <v>3</v>
      </c>
    </row>
    <row r="624" spans="1:9" ht="13.5">
      <c r="A624" s="91" t="s">
        <v>856</v>
      </c>
      <c r="B624" s="92" t="s">
        <v>271</v>
      </c>
      <c r="C624" s="91" t="s">
        <v>856</v>
      </c>
      <c r="D624" s="91" t="s">
        <v>252</v>
      </c>
      <c r="E624" s="93">
        <v>34092</v>
      </c>
      <c r="F624" s="94">
        <f t="shared" ca="1" si="20"/>
        <v>23</v>
      </c>
      <c r="G624" s="95"/>
      <c r="H624" s="96">
        <v>33508</v>
      </c>
      <c r="I624" s="97">
        <v>4</v>
      </c>
    </row>
    <row r="625" spans="1:9" ht="13.5">
      <c r="A625" s="91" t="s">
        <v>856</v>
      </c>
      <c r="B625" s="92" t="s">
        <v>285</v>
      </c>
      <c r="C625" s="91" t="s">
        <v>856</v>
      </c>
      <c r="D625" s="91" t="s">
        <v>256</v>
      </c>
      <c r="E625" s="93">
        <v>34098</v>
      </c>
      <c r="F625" s="94">
        <f t="shared" ca="1" si="20"/>
        <v>23</v>
      </c>
      <c r="G625" s="95" t="s">
        <v>283</v>
      </c>
      <c r="H625" s="96">
        <v>34330</v>
      </c>
      <c r="I625" s="97">
        <v>3</v>
      </c>
    </row>
    <row r="626" spans="1:9" ht="13.5">
      <c r="A626" s="91" t="s">
        <v>856</v>
      </c>
      <c r="B626" s="92" t="s">
        <v>285</v>
      </c>
      <c r="C626" s="91" t="s">
        <v>856</v>
      </c>
      <c r="D626" s="91" t="s">
        <v>256</v>
      </c>
      <c r="E626" s="93">
        <v>34098</v>
      </c>
      <c r="F626" s="94">
        <f t="shared" ca="1" si="20"/>
        <v>23</v>
      </c>
      <c r="G626" s="95" t="s">
        <v>283</v>
      </c>
      <c r="H626" s="96">
        <v>34330</v>
      </c>
      <c r="I626" s="97">
        <v>3</v>
      </c>
    </row>
    <row r="627" spans="1:9" ht="13.5">
      <c r="A627" s="91" t="s">
        <v>856</v>
      </c>
      <c r="B627" s="92" t="s">
        <v>245</v>
      </c>
      <c r="C627" s="91" t="s">
        <v>856</v>
      </c>
      <c r="D627" s="91" t="s">
        <v>256</v>
      </c>
      <c r="E627" s="93">
        <v>34141</v>
      </c>
      <c r="F627" s="94">
        <f t="shared" ca="1" si="20"/>
        <v>23</v>
      </c>
      <c r="G627" s="95" t="s">
        <v>276</v>
      </c>
      <c r="H627" s="96">
        <v>62965</v>
      </c>
      <c r="I627" s="97">
        <v>1</v>
      </c>
    </row>
    <row r="628" spans="1:9" ht="13.5">
      <c r="A628" s="91" t="s">
        <v>856</v>
      </c>
      <c r="B628" s="92" t="s">
        <v>285</v>
      </c>
      <c r="C628" s="91" t="s">
        <v>856</v>
      </c>
      <c r="D628" s="91" t="s">
        <v>256</v>
      </c>
      <c r="E628" s="93">
        <v>34187</v>
      </c>
      <c r="F628" s="94">
        <f t="shared" ca="1" si="20"/>
        <v>23</v>
      </c>
      <c r="G628" s="95" t="s">
        <v>257</v>
      </c>
      <c r="H628" s="96">
        <v>78710</v>
      </c>
      <c r="I628" s="97">
        <v>4</v>
      </c>
    </row>
    <row r="629" spans="1:9" ht="13.5">
      <c r="A629" s="91" t="s">
        <v>856</v>
      </c>
      <c r="B629" s="92" t="s">
        <v>285</v>
      </c>
      <c r="C629" s="91" t="s">
        <v>856</v>
      </c>
      <c r="D629" s="91" t="s">
        <v>256</v>
      </c>
      <c r="E629" s="93">
        <v>34259</v>
      </c>
      <c r="F629" s="94">
        <f t="shared" ca="1" si="20"/>
        <v>23</v>
      </c>
      <c r="G629" s="95" t="s">
        <v>283</v>
      </c>
      <c r="H629" s="96">
        <v>37770</v>
      </c>
      <c r="I629" s="97">
        <v>5</v>
      </c>
    </row>
    <row r="630" spans="1:9" ht="13.5">
      <c r="A630" s="91" t="s">
        <v>856</v>
      </c>
      <c r="B630" s="92" t="s">
        <v>271</v>
      </c>
      <c r="C630" s="91" t="s">
        <v>856</v>
      </c>
      <c r="D630" s="91" t="s">
        <v>261</v>
      </c>
      <c r="E630" s="93">
        <v>34378</v>
      </c>
      <c r="F630" s="94">
        <f t="shared" ca="1" si="20"/>
        <v>22</v>
      </c>
      <c r="G630" s="95" t="s">
        <v>283</v>
      </c>
      <c r="H630" s="96">
        <v>42740</v>
      </c>
      <c r="I630" s="97">
        <v>2</v>
      </c>
    </row>
    <row r="631" spans="1:9" ht="13.5">
      <c r="A631" s="91" t="s">
        <v>856</v>
      </c>
      <c r="B631" s="92" t="s">
        <v>280</v>
      </c>
      <c r="C631" s="91" t="s">
        <v>856</v>
      </c>
      <c r="D631" s="91" t="s">
        <v>256</v>
      </c>
      <c r="E631" s="93">
        <v>34405</v>
      </c>
      <c r="F631" s="94">
        <f t="shared" ca="1" si="20"/>
        <v>22</v>
      </c>
      <c r="G631" s="95" t="s">
        <v>283</v>
      </c>
      <c r="H631" s="96">
        <v>32120</v>
      </c>
      <c r="I631" s="97">
        <v>1</v>
      </c>
    </row>
    <row r="632" spans="1:9" ht="13.5">
      <c r="A632" s="91" t="s">
        <v>856</v>
      </c>
      <c r="B632" s="92" t="s">
        <v>271</v>
      </c>
      <c r="C632" s="91" t="s">
        <v>856</v>
      </c>
      <c r="D632" s="91" t="s">
        <v>247</v>
      </c>
      <c r="E632" s="93">
        <v>34496</v>
      </c>
      <c r="F632" s="94">
        <f t="shared" ca="1" si="20"/>
        <v>22</v>
      </c>
      <c r="G632" s="95"/>
      <c r="H632" s="96">
        <v>86100</v>
      </c>
      <c r="I632" s="97">
        <v>4</v>
      </c>
    </row>
    <row r="633" spans="1:9" ht="13.5">
      <c r="A633" s="91" t="s">
        <v>856</v>
      </c>
      <c r="B633" s="92" t="s">
        <v>280</v>
      </c>
      <c r="C633" s="91" t="s">
        <v>856</v>
      </c>
      <c r="D633" s="91" t="s">
        <v>261</v>
      </c>
      <c r="E633" s="93">
        <v>34532</v>
      </c>
      <c r="F633" s="94">
        <f t="shared" ca="1" si="20"/>
        <v>22</v>
      </c>
      <c r="G633" s="95" t="s">
        <v>267</v>
      </c>
      <c r="H633" s="96">
        <v>39530</v>
      </c>
      <c r="I633" s="97">
        <v>5</v>
      </c>
    </row>
    <row r="634" spans="1:9" ht="13.5">
      <c r="A634" s="91" t="s">
        <v>856</v>
      </c>
      <c r="B634" s="92" t="s">
        <v>271</v>
      </c>
      <c r="C634" s="91" t="s">
        <v>856</v>
      </c>
      <c r="D634" s="91" t="s">
        <v>252</v>
      </c>
      <c r="E634" s="93">
        <v>34551</v>
      </c>
      <c r="F634" s="94">
        <f t="shared" ca="1" si="20"/>
        <v>22</v>
      </c>
      <c r="G634" s="95"/>
      <c r="H634" s="96">
        <v>12836</v>
      </c>
      <c r="I634" s="97">
        <v>5</v>
      </c>
    </row>
    <row r="635" spans="1:9" ht="13.5">
      <c r="A635" s="91" t="s">
        <v>856</v>
      </c>
      <c r="B635" s="92" t="s">
        <v>245</v>
      </c>
      <c r="C635" s="91" t="s">
        <v>856</v>
      </c>
      <c r="D635" s="91" t="s">
        <v>252</v>
      </c>
      <c r="E635" s="93">
        <v>34559</v>
      </c>
      <c r="F635" s="94">
        <f t="shared" ca="1" si="20"/>
        <v>22</v>
      </c>
      <c r="G635" s="95"/>
      <c r="H635" s="96">
        <v>17912</v>
      </c>
      <c r="I635" s="97">
        <v>5</v>
      </c>
    </row>
    <row r="636" spans="1:9" ht="13.5">
      <c r="A636" s="91" t="s">
        <v>856</v>
      </c>
      <c r="B636" s="92" t="s">
        <v>285</v>
      </c>
      <c r="C636" s="91" t="s">
        <v>856</v>
      </c>
      <c r="D636" s="91" t="s">
        <v>256</v>
      </c>
      <c r="E636" s="93">
        <v>34586</v>
      </c>
      <c r="F636" s="94">
        <f t="shared" ca="1" si="20"/>
        <v>22</v>
      </c>
      <c r="G636" s="95" t="s">
        <v>283</v>
      </c>
      <c r="H636" s="96">
        <v>70280</v>
      </c>
      <c r="I636" s="97">
        <v>3</v>
      </c>
    </row>
    <row r="637" spans="1:9" ht="13.5">
      <c r="A637" s="91" t="s">
        <v>856</v>
      </c>
      <c r="B637" s="92" t="s">
        <v>271</v>
      </c>
      <c r="C637" s="91" t="s">
        <v>856</v>
      </c>
      <c r="D637" s="91" t="s">
        <v>256</v>
      </c>
      <c r="E637" s="93">
        <v>34702</v>
      </c>
      <c r="F637" s="94">
        <f t="shared" ca="1" si="20"/>
        <v>21</v>
      </c>
      <c r="G637" s="95" t="s">
        <v>262</v>
      </c>
      <c r="H637" s="96">
        <v>78950</v>
      </c>
      <c r="I637" s="97">
        <v>1</v>
      </c>
    </row>
    <row r="638" spans="1:9" ht="13.5">
      <c r="A638" s="91" t="s">
        <v>856</v>
      </c>
      <c r="B638" s="92" t="s">
        <v>245</v>
      </c>
      <c r="C638" s="91" t="s">
        <v>856</v>
      </c>
      <c r="D638" s="91" t="s">
        <v>247</v>
      </c>
      <c r="E638" s="93">
        <v>34760</v>
      </c>
      <c r="F638" s="94">
        <f t="shared" ca="1" si="20"/>
        <v>21</v>
      </c>
      <c r="G638" s="95"/>
      <c r="H638" s="96">
        <v>59050</v>
      </c>
      <c r="I638" s="97">
        <v>4</v>
      </c>
    </row>
    <row r="639" spans="1:9" ht="13.5">
      <c r="A639" s="91" t="s">
        <v>856</v>
      </c>
      <c r="B639" s="92" t="s">
        <v>271</v>
      </c>
      <c r="C639" s="91" t="s">
        <v>856</v>
      </c>
      <c r="D639" s="91" t="s">
        <v>256</v>
      </c>
      <c r="E639" s="93">
        <v>34768</v>
      </c>
      <c r="F639" s="94">
        <f t="shared" ca="1" si="20"/>
        <v>21</v>
      </c>
      <c r="G639" s="95" t="s">
        <v>276</v>
      </c>
      <c r="H639" s="96">
        <v>79610</v>
      </c>
      <c r="I639" s="97">
        <v>2</v>
      </c>
    </row>
    <row r="640" spans="1:9" ht="13.5">
      <c r="A640" s="91" t="s">
        <v>856</v>
      </c>
      <c r="B640" s="92" t="s">
        <v>245</v>
      </c>
      <c r="C640" s="91" t="s">
        <v>856</v>
      </c>
      <c r="D640" s="91" t="s">
        <v>256</v>
      </c>
      <c r="E640" s="93">
        <v>34771</v>
      </c>
      <c r="F640" s="94">
        <f t="shared" ca="1" si="20"/>
        <v>21</v>
      </c>
      <c r="G640" s="95" t="s">
        <v>283</v>
      </c>
      <c r="H640" s="96">
        <v>67407</v>
      </c>
      <c r="I640" s="97">
        <v>5</v>
      </c>
    </row>
    <row r="641" spans="1:9" ht="13.5">
      <c r="A641" s="91" t="s">
        <v>856</v>
      </c>
      <c r="B641" s="92" t="s">
        <v>271</v>
      </c>
      <c r="C641" s="91" t="s">
        <v>856</v>
      </c>
      <c r="D641" s="91" t="s">
        <v>261</v>
      </c>
      <c r="E641" s="93">
        <v>34886</v>
      </c>
      <c r="F641" s="94">
        <f t="shared" ca="1" si="20"/>
        <v>21</v>
      </c>
      <c r="G641" s="95" t="s">
        <v>257</v>
      </c>
      <c r="H641" s="96">
        <v>34980</v>
      </c>
      <c r="I641" s="97">
        <v>2</v>
      </c>
    </row>
    <row r="642" spans="1:9" ht="13.5">
      <c r="A642" s="91" t="s">
        <v>856</v>
      </c>
      <c r="B642" s="92" t="s">
        <v>285</v>
      </c>
      <c r="C642" s="91" t="s">
        <v>856</v>
      </c>
      <c r="D642" s="91" t="s">
        <v>247</v>
      </c>
      <c r="E642" s="93">
        <v>34904</v>
      </c>
      <c r="F642" s="94">
        <f t="shared" ca="1" si="20"/>
        <v>21</v>
      </c>
      <c r="G642" s="95"/>
      <c r="H642" s="96">
        <v>53310</v>
      </c>
      <c r="I642" s="97">
        <v>5</v>
      </c>
    </row>
    <row r="643" spans="1:9" ht="13.5">
      <c r="A643" s="91" t="s">
        <v>856</v>
      </c>
      <c r="B643" s="92" t="s">
        <v>285</v>
      </c>
      <c r="C643" s="91" t="s">
        <v>856</v>
      </c>
      <c r="D643" s="91" t="s">
        <v>256</v>
      </c>
      <c r="E643" s="93">
        <v>34935</v>
      </c>
      <c r="F643" s="94">
        <f t="shared" ca="1" si="20"/>
        <v>21</v>
      </c>
      <c r="G643" s="95" t="s">
        <v>257</v>
      </c>
      <c r="H643" s="96">
        <v>58410</v>
      </c>
      <c r="I643" s="97">
        <v>5</v>
      </c>
    </row>
    <row r="644" spans="1:9" ht="13.5">
      <c r="A644" s="91" t="s">
        <v>856</v>
      </c>
      <c r="B644" s="92" t="s">
        <v>245</v>
      </c>
      <c r="C644" s="91" t="s">
        <v>856</v>
      </c>
      <c r="D644" s="91" t="s">
        <v>256</v>
      </c>
      <c r="E644" s="93">
        <v>34980</v>
      </c>
      <c r="F644" s="94">
        <f t="shared" ca="1" si="20"/>
        <v>21</v>
      </c>
      <c r="G644" s="95" t="s">
        <v>283</v>
      </c>
      <c r="H644" s="96">
        <v>39000</v>
      </c>
      <c r="I644" s="97">
        <v>3</v>
      </c>
    </row>
    <row r="645" spans="1:9" ht="13.5">
      <c r="A645" s="91" t="s">
        <v>856</v>
      </c>
      <c r="B645" s="92" t="s">
        <v>285</v>
      </c>
      <c r="C645" s="91" t="s">
        <v>856</v>
      </c>
      <c r="D645" s="91" t="s">
        <v>256</v>
      </c>
      <c r="E645" s="93">
        <v>35002</v>
      </c>
      <c r="F645" s="94">
        <f t="shared" ca="1" si="20"/>
        <v>21</v>
      </c>
      <c r="G645" s="95" t="s">
        <v>257</v>
      </c>
      <c r="H645" s="96">
        <v>69200</v>
      </c>
      <c r="I645" s="97">
        <v>4</v>
      </c>
    </row>
    <row r="646" spans="1:9" ht="13.5">
      <c r="A646" s="91" t="s">
        <v>856</v>
      </c>
      <c r="B646" s="92" t="s">
        <v>245</v>
      </c>
      <c r="C646" s="91" t="s">
        <v>856</v>
      </c>
      <c r="D646" s="91" t="s">
        <v>256</v>
      </c>
      <c r="E646" s="93">
        <v>35050</v>
      </c>
      <c r="F646" s="94">
        <f t="shared" ca="1" si="20"/>
        <v>20</v>
      </c>
      <c r="G646" s="95" t="s">
        <v>283</v>
      </c>
      <c r="H646" s="96">
        <v>67020</v>
      </c>
      <c r="I646" s="97">
        <v>1</v>
      </c>
    </row>
    <row r="647" spans="1:9" ht="13.5">
      <c r="A647" s="91" t="s">
        <v>856</v>
      </c>
      <c r="B647" s="92" t="s">
        <v>271</v>
      </c>
      <c r="C647" s="91" t="s">
        <v>856</v>
      </c>
      <c r="D647" s="91" t="s">
        <v>247</v>
      </c>
      <c r="E647" s="93">
        <v>35096</v>
      </c>
      <c r="F647" s="94">
        <f t="shared" ca="1" si="20"/>
        <v>20</v>
      </c>
      <c r="G647" s="95"/>
      <c r="H647" s="96">
        <v>60800</v>
      </c>
      <c r="I647" s="97">
        <v>4</v>
      </c>
    </row>
    <row r="648" spans="1:9" ht="13.5">
      <c r="A648" s="91" t="s">
        <v>856</v>
      </c>
      <c r="B648" s="92" t="s">
        <v>285</v>
      </c>
      <c r="C648" s="91" t="s">
        <v>856</v>
      </c>
      <c r="D648" s="91" t="s">
        <v>256</v>
      </c>
      <c r="E648" s="93">
        <v>35097</v>
      </c>
      <c r="F648" s="94">
        <f t="shared" ca="1" si="20"/>
        <v>20</v>
      </c>
      <c r="G648" s="95" t="s">
        <v>262</v>
      </c>
      <c r="H648" s="96">
        <v>45880</v>
      </c>
      <c r="I648" s="97">
        <v>5</v>
      </c>
    </row>
    <row r="649" spans="1:9" ht="13.5">
      <c r="A649" s="91" t="s">
        <v>856</v>
      </c>
      <c r="B649" s="92" t="s">
        <v>285</v>
      </c>
      <c r="C649" s="91" t="s">
        <v>856</v>
      </c>
      <c r="D649" s="91" t="s">
        <v>261</v>
      </c>
      <c r="E649" s="93">
        <v>35113</v>
      </c>
      <c r="F649" s="94">
        <f t="shared" ca="1" si="20"/>
        <v>20</v>
      </c>
      <c r="G649" s="95" t="s">
        <v>276</v>
      </c>
      <c r="H649" s="96">
        <v>47350</v>
      </c>
      <c r="I649" s="97">
        <v>1</v>
      </c>
    </row>
    <row r="650" spans="1:9" ht="13.5">
      <c r="A650" s="91" t="s">
        <v>856</v>
      </c>
      <c r="B650" s="92" t="s">
        <v>285</v>
      </c>
      <c r="C650" s="91" t="s">
        <v>856</v>
      </c>
      <c r="D650" s="91" t="s">
        <v>247</v>
      </c>
      <c r="E650" s="93">
        <v>35169</v>
      </c>
      <c r="F650" s="94">
        <f t="shared" ca="1" si="20"/>
        <v>20</v>
      </c>
      <c r="G650" s="95"/>
      <c r="H650" s="96">
        <v>54840</v>
      </c>
      <c r="I650" s="97">
        <v>4</v>
      </c>
    </row>
    <row r="651" spans="1:9" ht="13.5">
      <c r="A651" s="91" t="s">
        <v>856</v>
      </c>
      <c r="B651" s="92" t="s">
        <v>266</v>
      </c>
      <c r="C651" s="91" t="s">
        <v>856</v>
      </c>
      <c r="D651" s="91" t="s">
        <v>256</v>
      </c>
      <c r="E651" s="93">
        <v>35204</v>
      </c>
      <c r="F651" s="94">
        <f t="shared" ca="1" si="20"/>
        <v>20</v>
      </c>
      <c r="G651" s="95" t="s">
        <v>283</v>
      </c>
      <c r="H651" s="96">
        <v>48250</v>
      </c>
      <c r="I651" s="97">
        <v>3</v>
      </c>
    </row>
    <row r="652" spans="1:9" ht="13.5">
      <c r="A652" s="91" t="s">
        <v>856</v>
      </c>
      <c r="B652" s="92" t="s">
        <v>285</v>
      </c>
      <c r="C652" s="91" t="s">
        <v>856</v>
      </c>
      <c r="D652" s="91" t="s">
        <v>256</v>
      </c>
      <c r="E652" s="93">
        <v>35216</v>
      </c>
      <c r="F652" s="94">
        <f t="shared" ca="1" si="20"/>
        <v>20</v>
      </c>
      <c r="G652" s="95" t="s">
        <v>257</v>
      </c>
      <c r="H652" s="96">
        <v>29260</v>
      </c>
      <c r="I652" s="97">
        <v>4</v>
      </c>
    </row>
    <row r="653" spans="1:9" ht="13.5">
      <c r="A653" s="91" t="s">
        <v>856</v>
      </c>
      <c r="B653" s="92" t="s">
        <v>271</v>
      </c>
      <c r="C653" s="91" t="s">
        <v>856</v>
      </c>
      <c r="D653" s="91" t="s">
        <v>261</v>
      </c>
      <c r="E653" s="93">
        <v>35221</v>
      </c>
      <c r="F653" s="94">
        <f t="shared" ca="1" si="20"/>
        <v>20</v>
      </c>
      <c r="G653" s="95" t="s">
        <v>267</v>
      </c>
      <c r="H653" s="96">
        <v>20990</v>
      </c>
      <c r="I653" s="97">
        <v>4</v>
      </c>
    </row>
    <row r="654" spans="1:9" ht="13.5">
      <c r="A654" s="91" t="s">
        <v>856</v>
      </c>
      <c r="B654" s="92" t="s">
        <v>266</v>
      </c>
      <c r="C654" s="91" t="s">
        <v>856</v>
      </c>
      <c r="D654" s="91" t="s">
        <v>252</v>
      </c>
      <c r="E654" s="93">
        <v>35247</v>
      </c>
      <c r="F654" s="94">
        <f t="shared" ca="1" si="20"/>
        <v>20</v>
      </c>
      <c r="G654" s="95"/>
      <c r="H654" s="96">
        <v>15552</v>
      </c>
      <c r="I654" s="97">
        <v>4</v>
      </c>
    </row>
    <row r="655" spans="1:9" ht="13.5">
      <c r="A655" s="91" t="s">
        <v>856</v>
      </c>
      <c r="B655" s="92" t="s">
        <v>271</v>
      </c>
      <c r="C655" s="91" t="s">
        <v>856</v>
      </c>
      <c r="D655" s="91" t="s">
        <v>247</v>
      </c>
      <c r="E655" s="93">
        <v>35332</v>
      </c>
      <c r="F655" s="94">
        <f t="shared" ca="1" si="20"/>
        <v>20</v>
      </c>
      <c r="G655" s="95"/>
      <c r="H655" s="96">
        <v>77760</v>
      </c>
      <c r="I655" s="97">
        <v>3</v>
      </c>
    </row>
    <row r="656" spans="1:9" ht="13.5">
      <c r="A656" s="91" t="s">
        <v>856</v>
      </c>
      <c r="B656" s="92" t="s">
        <v>271</v>
      </c>
      <c r="C656" s="91" t="s">
        <v>856</v>
      </c>
      <c r="D656" s="91" t="s">
        <v>247</v>
      </c>
      <c r="E656" s="93">
        <v>35332</v>
      </c>
      <c r="F656" s="94">
        <f t="shared" ca="1" si="20"/>
        <v>20</v>
      </c>
      <c r="G656" s="95"/>
      <c r="H656" s="96">
        <v>77760</v>
      </c>
      <c r="I656" s="97">
        <v>3</v>
      </c>
    </row>
    <row r="657" spans="1:9" ht="13.5">
      <c r="A657" s="91" t="s">
        <v>856</v>
      </c>
      <c r="B657" s="92" t="s">
        <v>251</v>
      </c>
      <c r="C657" s="91" t="s">
        <v>856</v>
      </c>
      <c r="D657" s="91" t="s">
        <v>247</v>
      </c>
      <c r="E657" s="93">
        <v>35772</v>
      </c>
      <c r="F657" s="94">
        <f t="shared" ca="1" si="20"/>
        <v>18</v>
      </c>
      <c r="G657" s="95"/>
      <c r="H657" s="96">
        <v>46780</v>
      </c>
      <c r="I657" s="97">
        <v>2</v>
      </c>
    </row>
    <row r="658" spans="1:9" ht="13.5">
      <c r="A658" s="91" t="s">
        <v>856</v>
      </c>
      <c r="B658" s="92" t="s">
        <v>266</v>
      </c>
      <c r="C658" s="91" t="s">
        <v>856</v>
      </c>
      <c r="D658" s="91" t="s">
        <v>256</v>
      </c>
      <c r="E658" s="93">
        <v>36315</v>
      </c>
      <c r="F658" s="94">
        <f t="shared" ca="1" si="20"/>
        <v>17</v>
      </c>
      <c r="G658" s="95" t="s">
        <v>283</v>
      </c>
      <c r="H658" s="96">
        <v>82490</v>
      </c>
      <c r="I658" s="97">
        <v>5</v>
      </c>
    </row>
    <row r="659" spans="1:9" ht="13.5">
      <c r="A659" s="91" t="s">
        <v>856</v>
      </c>
      <c r="B659" s="92" t="s">
        <v>245</v>
      </c>
      <c r="C659" s="91" t="s">
        <v>856</v>
      </c>
      <c r="D659" s="91" t="s">
        <v>261</v>
      </c>
      <c r="E659" s="93">
        <v>36465</v>
      </c>
      <c r="F659" s="94">
        <f t="shared" ca="1" si="20"/>
        <v>17</v>
      </c>
      <c r="G659" s="95" t="s">
        <v>262</v>
      </c>
      <c r="H659" s="96">
        <v>28525</v>
      </c>
      <c r="I659" s="97">
        <v>4</v>
      </c>
    </row>
    <row r="660" spans="1:9" ht="13.5">
      <c r="A660" s="91" t="s">
        <v>856</v>
      </c>
      <c r="B660" s="92" t="s">
        <v>280</v>
      </c>
      <c r="C660" s="91" t="s">
        <v>856</v>
      </c>
      <c r="D660" s="91" t="s">
        <v>256</v>
      </c>
      <c r="E660" s="93">
        <v>36483</v>
      </c>
      <c r="F660" s="94">
        <f t="shared" ca="1" si="20"/>
        <v>16</v>
      </c>
      <c r="G660" s="95" t="s">
        <v>257</v>
      </c>
      <c r="H660" s="96">
        <v>29210</v>
      </c>
      <c r="I660" s="97">
        <v>5</v>
      </c>
    </row>
    <row r="661" spans="1:9" ht="13.5">
      <c r="A661" s="91" t="s">
        <v>856</v>
      </c>
      <c r="B661" s="92" t="s">
        <v>280</v>
      </c>
      <c r="C661" s="91" t="s">
        <v>856</v>
      </c>
      <c r="D661" s="91" t="s">
        <v>261</v>
      </c>
      <c r="E661" s="93">
        <v>36505</v>
      </c>
      <c r="F661" s="94">
        <f t="shared" ca="1" si="20"/>
        <v>16</v>
      </c>
      <c r="G661" s="95" t="s">
        <v>257</v>
      </c>
      <c r="H661" s="96">
        <v>48740</v>
      </c>
      <c r="I661" s="97">
        <v>1</v>
      </c>
    </row>
    <row r="662" spans="1:9" ht="13.5">
      <c r="A662" s="91" t="s">
        <v>856</v>
      </c>
      <c r="B662" s="92" t="s">
        <v>251</v>
      </c>
      <c r="C662" s="91" t="s">
        <v>856</v>
      </c>
      <c r="D662" s="91" t="s">
        <v>247</v>
      </c>
      <c r="E662" s="93">
        <v>36717</v>
      </c>
      <c r="F662" s="94">
        <f t="shared" ca="1" si="20"/>
        <v>16</v>
      </c>
      <c r="G662" s="95"/>
      <c r="H662" s="96">
        <v>64590</v>
      </c>
      <c r="I662" s="97">
        <v>1</v>
      </c>
    </row>
    <row r="663" spans="1:9" ht="13.5">
      <c r="A663" s="91" t="s">
        <v>856</v>
      </c>
      <c r="B663" s="92" t="s">
        <v>245</v>
      </c>
      <c r="C663" s="91" t="s">
        <v>856</v>
      </c>
      <c r="D663" s="91" t="s">
        <v>256</v>
      </c>
      <c r="E663" s="93">
        <v>36927</v>
      </c>
      <c r="F663" s="94">
        <f t="shared" ref="F663:F674" ca="1" si="21">DATEDIF(E663,TODAY(),"Y")</f>
        <v>15</v>
      </c>
      <c r="G663" s="95" t="s">
        <v>283</v>
      </c>
      <c r="H663" s="96">
        <v>31910</v>
      </c>
      <c r="I663" s="97">
        <v>5</v>
      </c>
    </row>
    <row r="664" spans="1:9" ht="13.5">
      <c r="A664" s="91" t="s">
        <v>856</v>
      </c>
      <c r="B664" s="92" t="s">
        <v>280</v>
      </c>
      <c r="C664" s="91" t="s">
        <v>856</v>
      </c>
      <c r="D664" s="91" t="s">
        <v>256</v>
      </c>
      <c r="E664" s="93">
        <v>37043</v>
      </c>
      <c r="F664" s="94">
        <f t="shared" ca="1" si="21"/>
        <v>15</v>
      </c>
      <c r="G664" s="95" t="s">
        <v>283</v>
      </c>
      <c r="H664" s="96">
        <v>83710</v>
      </c>
      <c r="I664" s="97">
        <v>3</v>
      </c>
    </row>
    <row r="665" spans="1:9" ht="13.5">
      <c r="A665" s="91" t="s">
        <v>856</v>
      </c>
      <c r="B665" s="92" t="s">
        <v>285</v>
      </c>
      <c r="C665" s="91" t="s">
        <v>856</v>
      </c>
      <c r="D665" s="91" t="s">
        <v>247</v>
      </c>
      <c r="E665" s="93">
        <v>37483</v>
      </c>
      <c r="F665" s="94">
        <f t="shared" ca="1" si="21"/>
        <v>14</v>
      </c>
      <c r="G665" s="95"/>
      <c r="H665" s="96">
        <v>85930</v>
      </c>
      <c r="I665" s="97">
        <v>2</v>
      </c>
    </row>
    <row r="666" spans="1:9" ht="13.5">
      <c r="A666" s="91" t="s">
        <v>856</v>
      </c>
      <c r="B666" s="92" t="s">
        <v>285</v>
      </c>
      <c r="C666" s="91" t="s">
        <v>856</v>
      </c>
      <c r="D666" s="91" t="s">
        <v>247</v>
      </c>
      <c r="E666" s="93">
        <v>37483</v>
      </c>
      <c r="F666" s="94">
        <f t="shared" ca="1" si="21"/>
        <v>14</v>
      </c>
      <c r="G666" s="95"/>
      <c r="H666" s="96">
        <v>85930</v>
      </c>
      <c r="I666" s="97">
        <v>2</v>
      </c>
    </row>
    <row r="667" spans="1:9" ht="13.5">
      <c r="A667" s="91" t="s">
        <v>856</v>
      </c>
      <c r="B667" s="92" t="s">
        <v>285</v>
      </c>
      <c r="C667" s="91" t="s">
        <v>856</v>
      </c>
      <c r="D667" s="91" t="s">
        <v>256</v>
      </c>
      <c r="E667" s="93">
        <v>37592</v>
      </c>
      <c r="F667" s="94">
        <f t="shared" ca="1" si="21"/>
        <v>13</v>
      </c>
      <c r="G667" s="95" t="s">
        <v>257</v>
      </c>
      <c r="H667" s="96">
        <v>73560</v>
      </c>
      <c r="I667" s="97">
        <v>3</v>
      </c>
    </row>
    <row r="668" spans="1:9" ht="13.5">
      <c r="A668" s="91" t="s">
        <v>856</v>
      </c>
      <c r="B668" s="92" t="s">
        <v>245</v>
      </c>
      <c r="C668" s="91" t="s">
        <v>856</v>
      </c>
      <c r="D668" s="91" t="s">
        <v>256</v>
      </c>
      <c r="E668" s="93">
        <v>37843</v>
      </c>
      <c r="F668" s="94">
        <f t="shared" ca="1" si="21"/>
        <v>13</v>
      </c>
      <c r="G668" s="95" t="s">
        <v>283</v>
      </c>
      <c r="H668" s="96">
        <v>43600</v>
      </c>
      <c r="I668" s="97">
        <v>5</v>
      </c>
    </row>
    <row r="669" spans="1:9" ht="13.5">
      <c r="A669" s="91" t="s">
        <v>856</v>
      </c>
      <c r="B669" s="92" t="s">
        <v>285</v>
      </c>
      <c r="C669" s="91" t="s">
        <v>856</v>
      </c>
      <c r="D669" s="91" t="s">
        <v>247</v>
      </c>
      <c r="E669" s="93">
        <v>38410</v>
      </c>
      <c r="F669" s="94">
        <f t="shared" ca="1" si="21"/>
        <v>11</v>
      </c>
      <c r="G669" s="95"/>
      <c r="H669" s="96">
        <v>43320</v>
      </c>
      <c r="I669" s="97">
        <v>5</v>
      </c>
    </row>
    <row r="670" spans="1:9" ht="13.5">
      <c r="A670" s="91" t="s">
        <v>856</v>
      </c>
      <c r="B670" s="92" t="s">
        <v>285</v>
      </c>
      <c r="C670" s="91" t="s">
        <v>856</v>
      </c>
      <c r="D670" s="91" t="s">
        <v>256</v>
      </c>
      <c r="E670" s="93">
        <v>38435</v>
      </c>
      <c r="F670" s="94">
        <f t="shared" ca="1" si="21"/>
        <v>11</v>
      </c>
      <c r="G670" s="95" t="s">
        <v>283</v>
      </c>
      <c r="H670" s="96">
        <v>29330</v>
      </c>
      <c r="I670" s="97">
        <v>5</v>
      </c>
    </row>
    <row r="671" spans="1:9" ht="13.5">
      <c r="A671" s="91" t="s">
        <v>856</v>
      </c>
      <c r="B671" s="92" t="s">
        <v>245</v>
      </c>
      <c r="C671" s="91" t="s">
        <v>856</v>
      </c>
      <c r="D671" s="91" t="s">
        <v>256</v>
      </c>
      <c r="E671" s="93">
        <v>38505</v>
      </c>
      <c r="F671" s="94">
        <f t="shared" ca="1" si="21"/>
        <v>11</v>
      </c>
      <c r="G671" s="95" t="s">
        <v>283</v>
      </c>
      <c r="H671" s="96">
        <v>72060</v>
      </c>
      <c r="I671" s="97">
        <v>2</v>
      </c>
    </row>
    <row r="672" spans="1:9" ht="13.5">
      <c r="A672" s="91" t="s">
        <v>856</v>
      </c>
      <c r="B672" s="92" t="s">
        <v>280</v>
      </c>
      <c r="C672" s="91" t="s">
        <v>856</v>
      </c>
      <c r="D672" s="91" t="s">
        <v>256</v>
      </c>
      <c r="E672" s="93">
        <v>38768</v>
      </c>
      <c r="F672" s="94">
        <f t="shared" ca="1" si="21"/>
        <v>10</v>
      </c>
      <c r="G672" s="95" t="s">
        <v>283</v>
      </c>
      <c r="H672" s="96">
        <v>23190</v>
      </c>
      <c r="I672" s="97">
        <v>5</v>
      </c>
    </row>
    <row r="673" spans="1:9" ht="13.5">
      <c r="A673" s="91" t="s">
        <v>856</v>
      </c>
      <c r="B673" s="92" t="s">
        <v>271</v>
      </c>
      <c r="C673" s="91" t="s">
        <v>856</v>
      </c>
      <c r="D673" s="91" t="s">
        <v>247</v>
      </c>
      <c r="E673" s="93">
        <v>39040</v>
      </c>
      <c r="F673" s="94">
        <f t="shared" ca="1" si="21"/>
        <v>9</v>
      </c>
      <c r="G673" s="95"/>
      <c r="H673" s="96">
        <v>21580</v>
      </c>
      <c r="I673" s="97">
        <v>3</v>
      </c>
    </row>
    <row r="674" spans="1:9" ht="13.5">
      <c r="A674" s="91" t="s">
        <v>856</v>
      </c>
      <c r="B674" s="92" t="s">
        <v>285</v>
      </c>
      <c r="C674" s="91" t="s">
        <v>856</v>
      </c>
      <c r="D674" s="91" t="s">
        <v>256</v>
      </c>
      <c r="E674" s="93">
        <v>39271</v>
      </c>
      <c r="F674" s="94">
        <f t="shared" ca="1" si="21"/>
        <v>9</v>
      </c>
      <c r="G674" s="95" t="s">
        <v>267</v>
      </c>
      <c r="H674" s="96">
        <v>80260</v>
      </c>
      <c r="I674" s="97">
        <v>3</v>
      </c>
    </row>
    <row r="675" spans="1:9" ht="13.5">
      <c r="A675" s="98" t="s">
        <v>1055</v>
      </c>
      <c r="B675" s="92"/>
      <c r="C675" s="98"/>
      <c r="D675" s="91"/>
      <c r="E675" s="93"/>
      <c r="F675" s="94"/>
      <c r="G675" s="95"/>
      <c r="H675" s="96"/>
      <c r="I675" s="97"/>
    </row>
    <row r="676" spans="1:9" ht="13.5">
      <c r="A676" s="91" t="s">
        <v>930</v>
      </c>
      <c r="B676" s="92" t="s">
        <v>285</v>
      </c>
      <c r="C676" s="91" t="s">
        <v>930</v>
      </c>
      <c r="D676" s="91" t="s">
        <v>247</v>
      </c>
      <c r="E676" s="93">
        <v>31834</v>
      </c>
      <c r="F676" s="94">
        <f t="shared" ref="F676:F739" ca="1" si="22">DATEDIF(E676,TODAY(),"Y")</f>
        <v>29</v>
      </c>
      <c r="G676" s="95"/>
      <c r="H676" s="96">
        <v>23340</v>
      </c>
      <c r="I676" s="97">
        <v>4</v>
      </c>
    </row>
    <row r="677" spans="1:9" ht="13.5">
      <c r="A677" s="91" t="s">
        <v>930</v>
      </c>
      <c r="B677" s="92" t="s">
        <v>271</v>
      </c>
      <c r="C677" s="91" t="s">
        <v>930</v>
      </c>
      <c r="D677" s="91" t="s">
        <v>247</v>
      </c>
      <c r="E677" s="93">
        <v>31883</v>
      </c>
      <c r="F677" s="94">
        <f t="shared" ca="1" si="22"/>
        <v>29</v>
      </c>
      <c r="G677" s="95"/>
      <c r="H677" s="96">
        <v>63610</v>
      </c>
      <c r="I677" s="97">
        <v>5</v>
      </c>
    </row>
    <row r="678" spans="1:9" ht="13.5">
      <c r="A678" s="91" t="s">
        <v>930</v>
      </c>
      <c r="B678" s="92" t="s">
        <v>271</v>
      </c>
      <c r="C678" s="91" t="s">
        <v>930</v>
      </c>
      <c r="D678" s="91" t="s">
        <v>256</v>
      </c>
      <c r="E678" s="93">
        <v>31969</v>
      </c>
      <c r="F678" s="94">
        <f t="shared" ca="1" si="22"/>
        <v>29</v>
      </c>
      <c r="G678" s="95" t="s">
        <v>257</v>
      </c>
      <c r="H678" s="96">
        <v>24200</v>
      </c>
      <c r="I678" s="97">
        <v>5</v>
      </c>
    </row>
    <row r="679" spans="1:9" ht="13.5">
      <c r="A679" s="91" t="s">
        <v>930</v>
      </c>
      <c r="B679" s="92" t="s">
        <v>285</v>
      </c>
      <c r="C679" s="91" t="s">
        <v>930</v>
      </c>
      <c r="D679" s="91" t="s">
        <v>261</v>
      </c>
      <c r="E679" s="93">
        <v>32081</v>
      </c>
      <c r="F679" s="94">
        <f t="shared" ca="1" si="22"/>
        <v>29</v>
      </c>
      <c r="G679" s="95" t="s">
        <v>283</v>
      </c>
      <c r="H679" s="96">
        <v>13455</v>
      </c>
      <c r="I679" s="97">
        <v>2</v>
      </c>
    </row>
    <row r="680" spans="1:9" ht="13.5">
      <c r="A680" s="91" t="s">
        <v>930</v>
      </c>
      <c r="B680" s="92" t="s">
        <v>245</v>
      </c>
      <c r="C680" s="91" t="s">
        <v>930</v>
      </c>
      <c r="D680" s="91" t="s">
        <v>247</v>
      </c>
      <c r="E680" s="93">
        <v>32091</v>
      </c>
      <c r="F680" s="94">
        <f t="shared" ca="1" si="22"/>
        <v>29</v>
      </c>
      <c r="G680" s="95"/>
      <c r="H680" s="96">
        <v>34680</v>
      </c>
      <c r="I680" s="97">
        <v>5</v>
      </c>
    </row>
    <row r="681" spans="1:9" ht="13.5">
      <c r="A681" s="91" t="s">
        <v>930</v>
      </c>
      <c r="B681" s="92" t="s">
        <v>280</v>
      </c>
      <c r="C681" s="91" t="s">
        <v>930</v>
      </c>
      <c r="D681" s="91" t="s">
        <v>247</v>
      </c>
      <c r="E681" s="93">
        <v>32103</v>
      </c>
      <c r="F681" s="94">
        <f t="shared" ca="1" si="22"/>
        <v>28</v>
      </c>
      <c r="G681" s="95"/>
      <c r="H681" s="96">
        <v>26020</v>
      </c>
      <c r="I681" s="97">
        <v>5</v>
      </c>
    </row>
    <row r="682" spans="1:9" ht="13.5">
      <c r="A682" s="91" t="s">
        <v>930</v>
      </c>
      <c r="B682" s="92" t="s">
        <v>285</v>
      </c>
      <c r="C682" s="91" t="s">
        <v>930</v>
      </c>
      <c r="D682" s="91" t="s">
        <v>247</v>
      </c>
      <c r="E682" s="93">
        <v>32185</v>
      </c>
      <c r="F682" s="94">
        <f t="shared" ca="1" si="22"/>
        <v>28</v>
      </c>
      <c r="G682" s="95"/>
      <c r="H682" s="96">
        <v>62480</v>
      </c>
      <c r="I682" s="97">
        <v>5</v>
      </c>
    </row>
    <row r="683" spans="1:9" ht="13.5">
      <c r="A683" s="91" t="s">
        <v>930</v>
      </c>
      <c r="B683" s="92" t="s">
        <v>271</v>
      </c>
      <c r="C683" s="91" t="s">
        <v>930</v>
      </c>
      <c r="D683" s="91" t="s">
        <v>247</v>
      </c>
      <c r="E683" s="93">
        <v>32196</v>
      </c>
      <c r="F683" s="94">
        <f t="shared" ca="1" si="22"/>
        <v>28</v>
      </c>
      <c r="G683" s="95"/>
      <c r="H683" s="96">
        <v>61134</v>
      </c>
      <c r="I683" s="97">
        <v>4</v>
      </c>
    </row>
    <row r="684" spans="1:9" ht="13.5">
      <c r="A684" s="91" t="s">
        <v>930</v>
      </c>
      <c r="B684" s="92" t="s">
        <v>285</v>
      </c>
      <c r="C684" s="91" t="s">
        <v>930</v>
      </c>
      <c r="D684" s="91" t="s">
        <v>247</v>
      </c>
      <c r="E684" s="93">
        <v>32252</v>
      </c>
      <c r="F684" s="94">
        <f t="shared" ca="1" si="22"/>
        <v>28</v>
      </c>
      <c r="G684" s="95"/>
      <c r="H684" s="96">
        <v>57500</v>
      </c>
      <c r="I684" s="97">
        <v>1</v>
      </c>
    </row>
    <row r="685" spans="1:9" ht="13.5">
      <c r="A685" s="91" t="s">
        <v>930</v>
      </c>
      <c r="B685" s="92" t="s">
        <v>285</v>
      </c>
      <c r="C685" s="91" t="s">
        <v>930</v>
      </c>
      <c r="D685" s="91" t="s">
        <v>256</v>
      </c>
      <c r="E685" s="93">
        <v>32371</v>
      </c>
      <c r="F685" s="94">
        <f t="shared" ca="1" si="22"/>
        <v>28</v>
      </c>
      <c r="G685" s="95" t="s">
        <v>262</v>
      </c>
      <c r="H685" s="96">
        <v>46550</v>
      </c>
      <c r="I685" s="97">
        <v>4</v>
      </c>
    </row>
    <row r="686" spans="1:9" ht="13.5">
      <c r="A686" s="91" t="s">
        <v>930</v>
      </c>
      <c r="B686" s="92" t="s">
        <v>245</v>
      </c>
      <c r="C686" s="91" t="s">
        <v>930</v>
      </c>
      <c r="D686" s="91" t="s">
        <v>247</v>
      </c>
      <c r="E686" s="93">
        <v>32479</v>
      </c>
      <c r="F686" s="94">
        <f t="shared" ca="1" si="22"/>
        <v>27</v>
      </c>
      <c r="G686" s="95"/>
      <c r="H686" s="96">
        <v>59128</v>
      </c>
      <c r="I686" s="97">
        <v>4</v>
      </c>
    </row>
    <row r="687" spans="1:9" ht="13.5">
      <c r="A687" s="91" t="s">
        <v>930</v>
      </c>
      <c r="B687" s="92" t="s">
        <v>271</v>
      </c>
      <c r="C687" s="91" t="s">
        <v>930</v>
      </c>
      <c r="D687" s="91" t="s">
        <v>256</v>
      </c>
      <c r="E687" s="93">
        <v>32496</v>
      </c>
      <c r="F687" s="94">
        <f t="shared" ca="1" si="22"/>
        <v>27</v>
      </c>
      <c r="G687" s="95" t="s">
        <v>262</v>
      </c>
      <c r="H687" s="96">
        <v>62780</v>
      </c>
      <c r="I687" s="97">
        <v>3</v>
      </c>
    </row>
    <row r="688" spans="1:9" ht="13.5">
      <c r="A688" s="91" t="s">
        <v>930</v>
      </c>
      <c r="B688" s="92" t="s">
        <v>245</v>
      </c>
      <c r="C688" s="91" t="s">
        <v>930</v>
      </c>
      <c r="D688" s="91" t="s">
        <v>247</v>
      </c>
      <c r="E688" s="93">
        <v>32510</v>
      </c>
      <c r="F688" s="94">
        <f t="shared" ca="1" si="22"/>
        <v>27</v>
      </c>
      <c r="G688" s="95"/>
      <c r="H688" s="96">
        <v>70300</v>
      </c>
      <c r="I688" s="97">
        <v>3</v>
      </c>
    </row>
    <row r="689" spans="1:9" ht="13.5">
      <c r="A689" s="91" t="s">
        <v>930</v>
      </c>
      <c r="B689" s="92" t="s">
        <v>266</v>
      </c>
      <c r="C689" s="91" t="s">
        <v>930</v>
      </c>
      <c r="D689" s="91" t="s">
        <v>256</v>
      </c>
      <c r="E689" s="93">
        <v>32611</v>
      </c>
      <c r="F689" s="94">
        <f t="shared" ca="1" si="22"/>
        <v>27</v>
      </c>
      <c r="G689" s="95" t="s">
        <v>267</v>
      </c>
      <c r="H689" s="96">
        <v>32160</v>
      </c>
      <c r="I689" s="97">
        <v>3</v>
      </c>
    </row>
    <row r="690" spans="1:9" ht="13.5">
      <c r="A690" s="91" t="s">
        <v>930</v>
      </c>
      <c r="B690" s="92" t="s">
        <v>271</v>
      </c>
      <c r="C690" s="91" t="s">
        <v>930</v>
      </c>
      <c r="D690" s="91" t="s">
        <v>256</v>
      </c>
      <c r="E690" s="93">
        <v>32647</v>
      </c>
      <c r="F690" s="94">
        <f t="shared" ca="1" si="22"/>
        <v>27</v>
      </c>
      <c r="G690" s="95" t="s">
        <v>262</v>
      </c>
      <c r="H690" s="96">
        <v>59490</v>
      </c>
      <c r="I690" s="97">
        <v>3</v>
      </c>
    </row>
    <row r="691" spans="1:9" ht="13.5">
      <c r="A691" s="91" t="s">
        <v>930</v>
      </c>
      <c r="B691" s="92" t="s">
        <v>285</v>
      </c>
      <c r="C691" s="91" t="s">
        <v>930</v>
      </c>
      <c r="D691" s="91" t="s">
        <v>247</v>
      </c>
      <c r="E691" s="93">
        <v>32664</v>
      </c>
      <c r="F691" s="94">
        <f t="shared" ca="1" si="22"/>
        <v>27</v>
      </c>
      <c r="G691" s="95"/>
      <c r="H691" s="96">
        <v>70150</v>
      </c>
      <c r="I691" s="97">
        <v>2</v>
      </c>
    </row>
    <row r="692" spans="1:9" ht="13.5">
      <c r="A692" s="91" t="s">
        <v>930</v>
      </c>
      <c r="B692" s="92" t="s">
        <v>271</v>
      </c>
      <c r="C692" s="91" t="s">
        <v>930</v>
      </c>
      <c r="D692" s="91" t="s">
        <v>247</v>
      </c>
      <c r="E692" s="93">
        <v>32667</v>
      </c>
      <c r="F692" s="94">
        <f t="shared" ca="1" si="22"/>
        <v>27</v>
      </c>
      <c r="G692" s="95"/>
      <c r="H692" s="96">
        <v>63290</v>
      </c>
      <c r="I692" s="97">
        <v>5</v>
      </c>
    </row>
    <row r="693" spans="1:9" ht="13.5">
      <c r="A693" s="91" t="s">
        <v>930</v>
      </c>
      <c r="B693" s="92" t="s">
        <v>280</v>
      </c>
      <c r="C693" s="91" t="s">
        <v>930</v>
      </c>
      <c r="D693" s="91" t="s">
        <v>256</v>
      </c>
      <c r="E693" s="93">
        <v>32668</v>
      </c>
      <c r="F693" s="94">
        <f t="shared" ca="1" si="22"/>
        <v>27</v>
      </c>
      <c r="G693" s="95" t="s">
        <v>283</v>
      </c>
      <c r="H693" s="96">
        <v>46410</v>
      </c>
      <c r="I693" s="97">
        <v>2</v>
      </c>
    </row>
    <row r="694" spans="1:9" ht="13.5">
      <c r="A694" s="91" t="s">
        <v>930</v>
      </c>
      <c r="B694" s="92" t="s">
        <v>285</v>
      </c>
      <c r="C694" s="91" t="s">
        <v>930</v>
      </c>
      <c r="D694" s="91" t="s">
        <v>261</v>
      </c>
      <c r="E694" s="93">
        <v>32695</v>
      </c>
      <c r="F694" s="94">
        <f t="shared" ca="1" si="22"/>
        <v>27</v>
      </c>
      <c r="G694" s="95" t="s">
        <v>257</v>
      </c>
      <c r="H694" s="96">
        <v>19935</v>
      </c>
      <c r="I694" s="97">
        <v>1</v>
      </c>
    </row>
    <row r="695" spans="1:9" ht="13.5">
      <c r="A695" s="91" t="s">
        <v>930</v>
      </c>
      <c r="B695" s="92" t="s">
        <v>271</v>
      </c>
      <c r="C695" s="91" t="s">
        <v>930</v>
      </c>
      <c r="D695" s="91" t="s">
        <v>261</v>
      </c>
      <c r="E695" s="93">
        <v>32732</v>
      </c>
      <c r="F695" s="94">
        <f t="shared" ca="1" si="22"/>
        <v>27</v>
      </c>
      <c r="G695" s="95" t="s">
        <v>267</v>
      </c>
      <c r="H695" s="96">
        <v>27710</v>
      </c>
      <c r="I695" s="97">
        <v>3</v>
      </c>
    </row>
    <row r="696" spans="1:9" ht="13.5">
      <c r="A696" s="91" t="s">
        <v>930</v>
      </c>
      <c r="B696" s="92" t="s">
        <v>285</v>
      </c>
      <c r="C696" s="91" t="s">
        <v>930</v>
      </c>
      <c r="D696" s="91" t="s">
        <v>247</v>
      </c>
      <c r="E696" s="93">
        <v>32816</v>
      </c>
      <c r="F696" s="94">
        <f t="shared" ca="1" si="22"/>
        <v>27</v>
      </c>
      <c r="G696" s="95"/>
      <c r="H696" s="96">
        <v>75550</v>
      </c>
      <c r="I696" s="97">
        <v>3</v>
      </c>
    </row>
    <row r="697" spans="1:9" ht="13.5">
      <c r="A697" s="91" t="s">
        <v>930</v>
      </c>
      <c r="B697" s="92" t="s">
        <v>280</v>
      </c>
      <c r="C697" s="91" t="s">
        <v>930</v>
      </c>
      <c r="D697" s="91" t="s">
        <v>247</v>
      </c>
      <c r="E697" s="93">
        <v>32825</v>
      </c>
      <c r="F697" s="94">
        <f t="shared" ca="1" si="22"/>
        <v>26</v>
      </c>
      <c r="G697" s="95"/>
      <c r="H697" s="96">
        <v>78590</v>
      </c>
      <c r="I697" s="97">
        <v>1</v>
      </c>
    </row>
    <row r="698" spans="1:9" ht="13.5">
      <c r="A698" s="91" t="s">
        <v>930</v>
      </c>
      <c r="B698" s="92" t="s">
        <v>285</v>
      </c>
      <c r="C698" s="91" t="s">
        <v>930</v>
      </c>
      <c r="D698" s="91" t="s">
        <v>261</v>
      </c>
      <c r="E698" s="93">
        <v>32830</v>
      </c>
      <c r="F698" s="94">
        <f t="shared" ca="1" si="22"/>
        <v>26</v>
      </c>
      <c r="G698" s="95" t="s">
        <v>276</v>
      </c>
      <c r="H698" s="96">
        <v>11230</v>
      </c>
      <c r="I698" s="97">
        <v>4</v>
      </c>
    </row>
    <row r="699" spans="1:9" ht="13.5">
      <c r="A699" s="91" t="s">
        <v>930</v>
      </c>
      <c r="B699" s="92" t="s">
        <v>271</v>
      </c>
      <c r="C699" s="91" t="s">
        <v>930</v>
      </c>
      <c r="D699" s="91" t="s">
        <v>261</v>
      </c>
      <c r="E699" s="93">
        <v>32844</v>
      </c>
      <c r="F699" s="94">
        <f t="shared" ca="1" si="22"/>
        <v>26</v>
      </c>
      <c r="G699" s="95" t="s">
        <v>257</v>
      </c>
      <c r="H699" s="96">
        <v>49545</v>
      </c>
      <c r="I699" s="97">
        <v>2</v>
      </c>
    </row>
    <row r="700" spans="1:9" ht="13.5">
      <c r="A700" s="91" t="s">
        <v>930</v>
      </c>
      <c r="B700" s="92" t="s">
        <v>280</v>
      </c>
      <c r="C700" s="91" t="s">
        <v>930</v>
      </c>
      <c r="D700" s="91" t="s">
        <v>247</v>
      </c>
      <c r="E700" s="93">
        <v>32849</v>
      </c>
      <c r="F700" s="94">
        <f t="shared" ca="1" si="22"/>
        <v>26</v>
      </c>
      <c r="G700" s="95"/>
      <c r="H700" s="96">
        <v>35240</v>
      </c>
      <c r="I700" s="97">
        <v>3</v>
      </c>
    </row>
    <row r="701" spans="1:9" ht="13.5">
      <c r="A701" s="91" t="s">
        <v>930</v>
      </c>
      <c r="B701" s="92" t="s">
        <v>285</v>
      </c>
      <c r="C701" s="91" t="s">
        <v>930</v>
      </c>
      <c r="D701" s="91" t="s">
        <v>256</v>
      </c>
      <c r="E701" s="93">
        <v>32976</v>
      </c>
      <c r="F701" s="94">
        <f t="shared" ca="1" si="22"/>
        <v>26</v>
      </c>
      <c r="G701" s="95" t="s">
        <v>283</v>
      </c>
      <c r="H701" s="96">
        <v>87220</v>
      </c>
      <c r="I701" s="97">
        <v>1</v>
      </c>
    </row>
    <row r="702" spans="1:9" ht="13.5">
      <c r="A702" s="91" t="s">
        <v>930</v>
      </c>
      <c r="B702" s="92" t="s">
        <v>271</v>
      </c>
      <c r="C702" s="91" t="s">
        <v>930</v>
      </c>
      <c r="D702" s="91" t="s">
        <v>256</v>
      </c>
      <c r="E702" s="93">
        <v>33115</v>
      </c>
      <c r="F702" s="94">
        <f t="shared" ca="1" si="22"/>
        <v>26</v>
      </c>
      <c r="G702" s="95" t="s">
        <v>283</v>
      </c>
      <c r="H702" s="96">
        <v>73850</v>
      </c>
      <c r="I702" s="97">
        <v>2</v>
      </c>
    </row>
    <row r="703" spans="1:9" ht="13.5">
      <c r="A703" s="91" t="s">
        <v>930</v>
      </c>
      <c r="B703" s="92" t="s">
        <v>285</v>
      </c>
      <c r="C703" s="91" t="s">
        <v>930</v>
      </c>
      <c r="D703" s="91" t="s">
        <v>247</v>
      </c>
      <c r="E703" s="93">
        <v>33224</v>
      </c>
      <c r="F703" s="94">
        <f t="shared" ca="1" si="22"/>
        <v>25</v>
      </c>
      <c r="G703" s="95"/>
      <c r="H703" s="96">
        <v>45105</v>
      </c>
      <c r="I703" s="97">
        <v>1</v>
      </c>
    </row>
    <row r="704" spans="1:9" ht="13.5">
      <c r="A704" s="91" t="s">
        <v>930</v>
      </c>
      <c r="B704" s="92" t="s">
        <v>271</v>
      </c>
      <c r="C704" s="91" t="s">
        <v>930</v>
      </c>
      <c r="D704" s="91" t="s">
        <v>256</v>
      </c>
      <c r="E704" s="93">
        <v>33360</v>
      </c>
      <c r="F704" s="94">
        <f t="shared" ca="1" si="22"/>
        <v>25</v>
      </c>
      <c r="G704" s="95" t="s">
        <v>257</v>
      </c>
      <c r="H704" s="96">
        <v>69510</v>
      </c>
      <c r="I704" s="97">
        <v>5</v>
      </c>
    </row>
    <row r="705" spans="1:9" ht="13.5">
      <c r="A705" s="91" t="s">
        <v>930</v>
      </c>
      <c r="B705" s="92" t="s">
        <v>271</v>
      </c>
      <c r="C705" s="91" t="s">
        <v>930</v>
      </c>
      <c r="D705" s="91" t="s">
        <v>247</v>
      </c>
      <c r="E705" s="93">
        <v>33413</v>
      </c>
      <c r="F705" s="94">
        <f t="shared" ca="1" si="22"/>
        <v>25</v>
      </c>
      <c r="G705" s="95"/>
      <c r="H705" s="96">
        <v>64263</v>
      </c>
      <c r="I705" s="97">
        <v>3</v>
      </c>
    </row>
    <row r="706" spans="1:9" ht="13.5">
      <c r="A706" s="91" t="s">
        <v>930</v>
      </c>
      <c r="B706" s="92" t="s">
        <v>285</v>
      </c>
      <c r="C706" s="91" t="s">
        <v>930</v>
      </c>
      <c r="D706" s="91" t="s">
        <v>252</v>
      </c>
      <c r="E706" s="93">
        <v>33515</v>
      </c>
      <c r="F706" s="94">
        <f t="shared" ca="1" si="22"/>
        <v>25</v>
      </c>
      <c r="G706" s="95"/>
      <c r="H706" s="96">
        <v>26944</v>
      </c>
      <c r="I706" s="97">
        <v>4</v>
      </c>
    </row>
    <row r="707" spans="1:9" ht="13.5">
      <c r="A707" s="91" t="s">
        <v>930</v>
      </c>
      <c r="B707" s="92" t="s">
        <v>245</v>
      </c>
      <c r="C707" s="91" t="s">
        <v>930</v>
      </c>
      <c r="D707" s="91" t="s">
        <v>261</v>
      </c>
      <c r="E707" s="93">
        <v>33650</v>
      </c>
      <c r="F707" s="94">
        <f t="shared" ca="1" si="22"/>
        <v>24</v>
      </c>
      <c r="G707" s="95" t="s">
        <v>276</v>
      </c>
      <c r="H707" s="96">
        <v>23000</v>
      </c>
      <c r="I707" s="97">
        <v>4</v>
      </c>
    </row>
    <row r="708" spans="1:9" ht="13.5">
      <c r="A708" s="91" t="s">
        <v>930</v>
      </c>
      <c r="B708" s="92" t="s">
        <v>285</v>
      </c>
      <c r="C708" s="91" t="s">
        <v>930</v>
      </c>
      <c r="D708" s="91" t="s">
        <v>256</v>
      </c>
      <c r="E708" s="93">
        <v>33742</v>
      </c>
      <c r="F708" s="94">
        <f t="shared" ca="1" si="22"/>
        <v>24</v>
      </c>
      <c r="G708" s="95" t="s">
        <v>267</v>
      </c>
      <c r="H708" s="96">
        <v>64780</v>
      </c>
      <c r="I708" s="97">
        <v>5</v>
      </c>
    </row>
    <row r="709" spans="1:9" ht="13.5">
      <c r="A709" s="91" t="s">
        <v>930</v>
      </c>
      <c r="B709" s="92" t="s">
        <v>285</v>
      </c>
      <c r="C709" s="91" t="s">
        <v>930</v>
      </c>
      <c r="D709" s="91" t="s">
        <v>256</v>
      </c>
      <c r="E709" s="93">
        <v>33742</v>
      </c>
      <c r="F709" s="94">
        <f t="shared" ca="1" si="22"/>
        <v>24</v>
      </c>
      <c r="G709" s="95" t="s">
        <v>267</v>
      </c>
      <c r="H709" s="96">
        <v>64780</v>
      </c>
      <c r="I709" s="97">
        <v>5</v>
      </c>
    </row>
    <row r="710" spans="1:9" ht="13.5">
      <c r="A710" s="91" t="s">
        <v>930</v>
      </c>
      <c r="B710" s="92" t="s">
        <v>285</v>
      </c>
      <c r="C710" s="91" t="s">
        <v>930</v>
      </c>
      <c r="D710" s="91" t="s">
        <v>256</v>
      </c>
      <c r="E710" s="93">
        <v>33827</v>
      </c>
      <c r="F710" s="94">
        <f t="shared" ca="1" si="22"/>
        <v>24</v>
      </c>
      <c r="G710" s="95" t="s">
        <v>283</v>
      </c>
      <c r="H710" s="96">
        <v>33590</v>
      </c>
      <c r="I710" s="97">
        <v>5</v>
      </c>
    </row>
    <row r="711" spans="1:9" ht="13.5">
      <c r="A711" s="91" t="s">
        <v>930</v>
      </c>
      <c r="B711" s="92" t="s">
        <v>285</v>
      </c>
      <c r="C711" s="91" t="s">
        <v>930</v>
      </c>
      <c r="D711" s="91" t="s">
        <v>252</v>
      </c>
      <c r="E711" s="93">
        <v>33937</v>
      </c>
      <c r="F711" s="94">
        <f t="shared" ca="1" si="22"/>
        <v>23</v>
      </c>
      <c r="G711" s="95"/>
      <c r="H711" s="96">
        <v>33752</v>
      </c>
      <c r="I711" s="97">
        <v>3</v>
      </c>
    </row>
    <row r="712" spans="1:9" ht="13.5">
      <c r="A712" s="91" t="s">
        <v>930</v>
      </c>
      <c r="B712" s="92" t="s">
        <v>285</v>
      </c>
      <c r="C712" s="91" t="s">
        <v>930</v>
      </c>
      <c r="D712" s="91" t="s">
        <v>256</v>
      </c>
      <c r="E712" s="93">
        <v>33966</v>
      </c>
      <c r="F712" s="94">
        <f t="shared" ca="1" si="22"/>
        <v>23</v>
      </c>
      <c r="G712" s="95" t="s">
        <v>257</v>
      </c>
      <c r="H712" s="96">
        <v>58370</v>
      </c>
      <c r="I712" s="97">
        <v>5</v>
      </c>
    </row>
    <row r="713" spans="1:9" ht="13.5">
      <c r="A713" s="91" t="s">
        <v>930</v>
      </c>
      <c r="B713" s="92" t="s">
        <v>280</v>
      </c>
      <c r="C713" s="91" t="s">
        <v>930</v>
      </c>
      <c r="D713" s="91" t="s">
        <v>247</v>
      </c>
      <c r="E713" s="93">
        <v>33970</v>
      </c>
      <c r="F713" s="94">
        <f t="shared" ca="1" si="22"/>
        <v>23</v>
      </c>
      <c r="G713" s="95"/>
      <c r="H713" s="96">
        <v>41770</v>
      </c>
      <c r="I713" s="97">
        <v>5</v>
      </c>
    </row>
    <row r="714" spans="1:9" ht="13.5">
      <c r="A714" s="91" t="s">
        <v>930</v>
      </c>
      <c r="B714" s="92" t="s">
        <v>266</v>
      </c>
      <c r="C714" s="91" t="s">
        <v>930</v>
      </c>
      <c r="D714" s="91" t="s">
        <v>261</v>
      </c>
      <c r="E714" s="93">
        <v>33987</v>
      </c>
      <c r="F714" s="94">
        <f t="shared" ca="1" si="22"/>
        <v>23</v>
      </c>
      <c r="G714" s="95" t="s">
        <v>283</v>
      </c>
      <c r="H714" s="96">
        <v>38105</v>
      </c>
      <c r="I714" s="97">
        <v>2</v>
      </c>
    </row>
    <row r="715" spans="1:9" ht="13.5">
      <c r="A715" s="91" t="s">
        <v>930</v>
      </c>
      <c r="B715" s="92" t="s">
        <v>251</v>
      </c>
      <c r="C715" s="91" t="s">
        <v>930</v>
      </c>
      <c r="D715" s="91" t="s">
        <v>256</v>
      </c>
      <c r="E715" s="93">
        <v>33997</v>
      </c>
      <c r="F715" s="94">
        <f t="shared" ca="1" si="22"/>
        <v>23</v>
      </c>
      <c r="G715" s="95" t="s">
        <v>257</v>
      </c>
      <c r="H715" s="96">
        <v>31690</v>
      </c>
      <c r="I715" s="97">
        <v>4</v>
      </c>
    </row>
    <row r="716" spans="1:9" ht="13.5">
      <c r="A716" s="91" t="s">
        <v>930</v>
      </c>
      <c r="B716" s="92" t="s">
        <v>280</v>
      </c>
      <c r="C716" s="91" t="s">
        <v>930</v>
      </c>
      <c r="D716" s="91" t="s">
        <v>247</v>
      </c>
      <c r="E716" s="93">
        <v>34028</v>
      </c>
      <c r="F716" s="94">
        <f t="shared" ca="1" si="22"/>
        <v>23</v>
      </c>
      <c r="G716" s="95"/>
      <c r="H716" s="96">
        <v>87830</v>
      </c>
      <c r="I716" s="97">
        <v>2</v>
      </c>
    </row>
    <row r="717" spans="1:9" ht="13.5">
      <c r="A717" s="91" t="s">
        <v>930</v>
      </c>
      <c r="B717" s="92" t="s">
        <v>271</v>
      </c>
      <c r="C717" s="91" t="s">
        <v>930</v>
      </c>
      <c r="D717" s="91" t="s">
        <v>256</v>
      </c>
      <c r="E717" s="93">
        <v>34054</v>
      </c>
      <c r="F717" s="94">
        <f t="shared" ca="1" si="22"/>
        <v>23</v>
      </c>
      <c r="G717" s="95" t="s">
        <v>257</v>
      </c>
      <c r="H717" s="96">
        <v>27130</v>
      </c>
      <c r="I717" s="97">
        <v>5</v>
      </c>
    </row>
    <row r="718" spans="1:9" ht="13.5">
      <c r="A718" s="91" t="s">
        <v>930</v>
      </c>
      <c r="B718" s="92" t="s">
        <v>285</v>
      </c>
      <c r="C718" s="91" t="s">
        <v>930</v>
      </c>
      <c r="D718" s="91" t="s">
        <v>261</v>
      </c>
      <c r="E718" s="93">
        <v>34156</v>
      </c>
      <c r="F718" s="94">
        <f t="shared" ca="1" si="22"/>
        <v>23</v>
      </c>
      <c r="G718" s="95" t="s">
        <v>262</v>
      </c>
      <c r="H718" s="96">
        <v>37660</v>
      </c>
      <c r="I718" s="97">
        <v>4</v>
      </c>
    </row>
    <row r="719" spans="1:9" ht="13.5">
      <c r="A719" s="91" t="s">
        <v>930</v>
      </c>
      <c r="B719" s="92" t="s">
        <v>245</v>
      </c>
      <c r="C719" s="91" t="s">
        <v>930</v>
      </c>
      <c r="D719" s="91" t="s">
        <v>261</v>
      </c>
      <c r="E719" s="93">
        <v>34208</v>
      </c>
      <c r="F719" s="94">
        <f t="shared" ca="1" si="22"/>
        <v>23</v>
      </c>
      <c r="G719" s="95" t="s">
        <v>262</v>
      </c>
      <c r="H719" s="96">
        <v>13690</v>
      </c>
      <c r="I719" s="97">
        <v>5</v>
      </c>
    </row>
    <row r="720" spans="1:9" ht="13.5">
      <c r="A720" s="91" t="s">
        <v>930</v>
      </c>
      <c r="B720" s="92" t="s">
        <v>285</v>
      </c>
      <c r="C720" s="91" t="s">
        <v>930</v>
      </c>
      <c r="D720" s="91" t="s">
        <v>252</v>
      </c>
      <c r="E720" s="93">
        <v>34266</v>
      </c>
      <c r="F720" s="94">
        <f t="shared" ca="1" si="22"/>
        <v>23</v>
      </c>
      <c r="G720" s="95"/>
      <c r="H720" s="96">
        <v>28768</v>
      </c>
      <c r="I720" s="97">
        <v>3</v>
      </c>
    </row>
    <row r="721" spans="1:9" ht="13.5">
      <c r="A721" s="91" t="s">
        <v>930</v>
      </c>
      <c r="B721" s="92" t="s">
        <v>285</v>
      </c>
      <c r="C721" s="91" t="s">
        <v>930</v>
      </c>
      <c r="D721" s="91" t="s">
        <v>256</v>
      </c>
      <c r="E721" s="93">
        <v>34317</v>
      </c>
      <c r="F721" s="94">
        <f t="shared" ca="1" si="22"/>
        <v>22</v>
      </c>
      <c r="G721" s="95" t="s">
        <v>283</v>
      </c>
      <c r="H721" s="96">
        <v>41380</v>
      </c>
      <c r="I721" s="97">
        <v>2</v>
      </c>
    </row>
    <row r="722" spans="1:9" ht="13.5">
      <c r="A722" s="91" t="s">
        <v>930</v>
      </c>
      <c r="B722" s="92" t="s">
        <v>266</v>
      </c>
      <c r="C722" s="91" t="s">
        <v>930</v>
      </c>
      <c r="D722" s="91" t="s">
        <v>256</v>
      </c>
      <c r="E722" s="93">
        <v>34466</v>
      </c>
      <c r="F722" s="94">
        <f t="shared" ca="1" si="22"/>
        <v>22</v>
      </c>
      <c r="G722" s="95" t="s">
        <v>257</v>
      </c>
      <c r="H722" s="96">
        <v>86320</v>
      </c>
      <c r="I722" s="97">
        <v>4</v>
      </c>
    </row>
    <row r="723" spans="1:9" ht="13.5">
      <c r="A723" s="91" t="s">
        <v>930</v>
      </c>
      <c r="B723" s="92" t="s">
        <v>285</v>
      </c>
      <c r="C723" s="91" t="s">
        <v>930</v>
      </c>
      <c r="D723" s="91" t="s">
        <v>247</v>
      </c>
      <c r="E723" s="93">
        <v>34516</v>
      </c>
      <c r="F723" s="94">
        <f t="shared" ca="1" si="22"/>
        <v>22</v>
      </c>
      <c r="G723" s="95"/>
      <c r="H723" s="96">
        <v>45030</v>
      </c>
      <c r="I723" s="97">
        <v>3</v>
      </c>
    </row>
    <row r="724" spans="1:9" ht="13.5">
      <c r="A724" s="91" t="s">
        <v>930</v>
      </c>
      <c r="B724" s="92" t="s">
        <v>285</v>
      </c>
      <c r="C724" s="91" t="s">
        <v>930</v>
      </c>
      <c r="D724" s="91" t="s">
        <v>256</v>
      </c>
      <c r="E724" s="93">
        <v>34715</v>
      </c>
      <c r="F724" s="94">
        <f t="shared" ca="1" si="22"/>
        <v>21</v>
      </c>
      <c r="G724" s="95" t="s">
        <v>262</v>
      </c>
      <c r="H724" s="96">
        <v>64470</v>
      </c>
      <c r="I724" s="97">
        <v>5</v>
      </c>
    </row>
    <row r="725" spans="1:9" ht="13.5">
      <c r="A725" s="91" t="s">
        <v>930</v>
      </c>
      <c r="B725" s="92" t="s">
        <v>280</v>
      </c>
      <c r="C725" s="91" t="s">
        <v>930</v>
      </c>
      <c r="D725" s="91" t="s">
        <v>261</v>
      </c>
      <c r="E725" s="93">
        <v>34743</v>
      </c>
      <c r="F725" s="94">
        <f t="shared" ca="1" si="22"/>
        <v>21</v>
      </c>
      <c r="G725" s="95" t="s">
        <v>276</v>
      </c>
      <c r="H725" s="96">
        <v>46105</v>
      </c>
      <c r="I725" s="97">
        <v>5</v>
      </c>
    </row>
    <row r="726" spans="1:9" ht="13.5">
      <c r="A726" s="91" t="s">
        <v>930</v>
      </c>
      <c r="B726" s="92" t="s">
        <v>251</v>
      </c>
      <c r="C726" s="91" t="s">
        <v>930</v>
      </c>
      <c r="D726" s="91" t="s">
        <v>256</v>
      </c>
      <c r="E726" s="93">
        <v>34770</v>
      </c>
      <c r="F726" s="94">
        <f t="shared" ca="1" si="22"/>
        <v>21</v>
      </c>
      <c r="G726" s="95" t="s">
        <v>283</v>
      </c>
      <c r="H726" s="96">
        <v>48410</v>
      </c>
      <c r="I726" s="97">
        <v>5</v>
      </c>
    </row>
    <row r="727" spans="1:9" ht="13.5">
      <c r="A727" s="91" t="s">
        <v>930</v>
      </c>
      <c r="B727" s="92" t="s">
        <v>245</v>
      </c>
      <c r="C727" s="91" t="s">
        <v>930</v>
      </c>
      <c r="D727" s="91" t="s">
        <v>247</v>
      </c>
      <c r="E727" s="93">
        <v>34883</v>
      </c>
      <c r="F727" s="94">
        <f t="shared" ca="1" si="22"/>
        <v>21</v>
      </c>
      <c r="G727" s="95"/>
      <c r="H727" s="96">
        <v>58250</v>
      </c>
      <c r="I727" s="97">
        <v>2</v>
      </c>
    </row>
    <row r="728" spans="1:9" ht="13.5">
      <c r="A728" s="91" t="s">
        <v>930</v>
      </c>
      <c r="B728" s="92" t="s">
        <v>280</v>
      </c>
      <c r="C728" s="91" t="s">
        <v>930</v>
      </c>
      <c r="D728" s="91" t="s">
        <v>256</v>
      </c>
      <c r="E728" s="93">
        <v>34933</v>
      </c>
      <c r="F728" s="94">
        <f t="shared" ca="1" si="22"/>
        <v>21</v>
      </c>
      <c r="G728" s="95" t="s">
        <v>276</v>
      </c>
      <c r="H728" s="96">
        <v>77680</v>
      </c>
      <c r="I728" s="97">
        <v>3</v>
      </c>
    </row>
    <row r="729" spans="1:9" ht="13.5">
      <c r="A729" s="91" t="s">
        <v>930</v>
      </c>
      <c r="B729" s="92" t="s">
        <v>271</v>
      </c>
      <c r="C729" s="91" t="s">
        <v>930</v>
      </c>
      <c r="D729" s="91" t="s">
        <v>256</v>
      </c>
      <c r="E729" s="93">
        <v>35020</v>
      </c>
      <c r="F729" s="94">
        <f t="shared" ca="1" si="22"/>
        <v>20</v>
      </c>
      <c r="G729" s="95" t="s">
        <v>276</v>
      </c>
      <c r="H729" s="96">
        <v>61850</v>
      </c>
      <c r="I729" s="97">
        <v>2</v>
      </c>
    </row>
    <row r="730" spans="1:9" ht="13.5">
      <c r="A730" s="91" t="s">
        <v>930</v>
      </c>
      <c r="B730" s="92" t="s">
        <v>251</v>
      </c>
      <c r="C730" s="91" t="s">
        <v>930</v>
      </c>
      <c r="D730" s="91" t="s">
        <v>261</v>
      </c>
      <c r="E730" s="93">
        <v>35055</v>
      </c>
      <c r="F730" s="94">
        <f t="shared" ca="1" si="22"/>
        <v>20</v>
      </c>
      <c r="G730" s="95" t="s">
        <v>267</v>
      </c>
      <c r="H730" s="96">
        <v>19825</v>
      </c>
      <c r="I730" s="97">
        <v>2</v>
      </c>
    </row>
    <row r="731" spans="1:9" ht="13.5">
      <c r="A731" s="91" t="s">
        <v>930</v>
      </c>
      <c r="B731" s="92" t="s">
        <v>266</v>
      </c>
      <c r="C731" s="91" t="s">
        <v>930</v>
      </c>
      <c r="D731" s="91" t="s">
        <v>252</v>
      </c>
      <c r="E731" s="93">
        <v>35148</v>
      </c>
      <c r="F731" s="94">
        <f t="shared" ca="1" si="22"/>
        <v>20</v>
      </c>
      <c r="G731" s="95"/>
      <c r="H731" s="96">
        <v>32536</v>
      </c>
      <c r="I731" s="97">
        <v>2</v>
      </c>
    </row>
    <row r="732" spans="1:9" ht="13.5">
      <c r="A732" s="91" t="s">
        <v>930</v>
      </c>
      <c r="B732" s="92" t="s">
        <v>285</v>
      </c>
      <c r="C732" s="91" t="s">
        <v>930</v>
      </c>
      <c r="D732" s="91" t="s">
        <v>261</v>
      </c>
      <c r="E732" s="93">
        <v>35152</v>
      </c>
      <c r="F732" s="94">
        <f t="shared" ca="1" si="22"/>
        <v>20</v>
      </c>
      <c r="G732" s="95" t="s">
        <v>283</v>
      </c>
      <c r="H732" s="96">
        <v>26185</v>
      </c>
      <c r="I732" s="97">
        <v>5</v>
      </c>
    </row>
    <row r="733" spans="1:9" ht="13.5">
      <c r="A733" s="91" t="s">
        <v>930</v>
      </c>
      <c r="B733" s="92" t="s">
        <v>285</v>
      </c>
      <c r="C733" s="91" t="s">
        <v>930</v>
      </c>
      <c r="D733" s="91" t="s">
        <v>256</v>
      </c>
      <c r="E733" s="93">
        <v>35239</v>
      </c>
      <c r="F733" s="94">
        <f t="shared" ca="1" si="22"/>
        <v>20</v>
      </c>
      <c r="G733" s="95" t="s">
        <v>283</v>
      </c>
      <c r="H733" s="96">
        <v>35460</v>
      </c>
      <c r="I733" s="97">
        <v>1</v>
      </c>
    </row>
    <row r="734" spans="1:9" ht="13.5">
      <c r="A734" s="91" t="s">
        <v>930</v>
      </c>
      <c r="B734" s="92" t="s">
        <v>285</v>
      </c>
      <c r="C734" s="91" t="s">
        <v>930</v>
      </c>
      <c r="D734" s="91" t="s">
        <v>256</v>
      </c>
      <c r="E734" s="93">
        <v>35309</v>
      </c>
      <c r="F734" s="94">
        <f t="shared" ca="1" si="22"/>
        <v>20</v>
      </c>
      <c r="G734" s="95" t="s">
        <v>262</v>
      </c>
      <c r="H734" s="96">
        <v>71970</v>
      </c>
      <c r="I734" s="97">
        <v>4</v>
      </c>
    </row>
    <row r="735" spans="1:9" ht="13.5">
      <c r="A735" s="91" t="s">
        <v>930</v>
      </c>
      <c r="B735" s="92" t="s">
        <v>285</v>
      </c>
      <c r="C735" s="91" t="s">
        <v>930</v>
      </c>
      <c r="D735" s="91" t="s">
        <v>256</v>
      </c>
      <c r="E735" s="93">
        <v>35362</v>
      </c>
      <c r="F735" s="94">
        <f t="shared" ca="1" si="22"/>
        <v>20</v>
      </c>
      <c r="G735" s="95" t="s">
        <v>262</v>
      </c>
      <c r="H735" s="96">
        <v>65320</v>
      </c>
      <c r="I735" s="97">
        <v>5</v>
      </c>
    </row>
    <row r="736" spans="1:9" ht="13.5">
      <c r="A736" s="91" t="s">
        <v>930</v>
      </c>
      <c r="B736" s="92" t="s">
        <v>251</v>
      </c>
      <c r="C736" s="91" t="s">
        <v>930</v>
      </c>
      <c r="D736" s="91" t="s">
        <v>256</v>
      </c>
      <c r="E736" s="93">
        <v>35533</v>
      </c>
      <c r="F736" s="94">
        <f t="shared" ca="1" si="22"/>
        <v>19</v>
      </c>
      <c r="G736" s="95" t="s">
        <v>283</v>
      </c>
      <c r="H736" s="96">
        <v>47630</v>
      </c>
      <c r="I736" s="97">
        <v>3</v>
      </c>
    </row>
    <row r="737" spans="1:9" ht="13.5">
      <c r="A737" s="91" t="s">
        <v>930</v>
      </c>
      <c r="B737" s="92" t="s">
        <v>285</v>
      </c>
      <c r="C737" s="91" t="s">
        <v>930</v>
      </c>
      <c r="D737" s="91" t="s">
        <v>261</v>
      </c>
      <c r="E737" s="93">
        <v>35608</v>
      </c>
      <c r="F737" s="94">
        <f t="shared" ca="1" si="22"/>
        <v>19</v>
      </c>
      <c r="G737" s="95" t="s">
        <v>257</v>
      </c>
      <c r="H737" s="96">
        <v>17205</v>
      </c>
      <c r="I737" s="97">
        <v>5</v>
      </c>
    </row>
    <row r="738" spans="1:9" ht="13.5">
      <c r="A738" s="91" t="s">
        <v>930</v>
      </c>
      <c r="B738" s="92" t="s">
        <v>285</v>
      </c>
      <c r="C738" s="91" t="s">
        <v>930</v>
      </c>
      <c r="D738" s="91" t="s">
        <v>256</v>
      </c>
      <c r="E738" s="93">
        <v>35646</v>
      </c>
      <c r="F738" s="94">
        <f t="shared" ca="1" si="22"/>
        <v>19</v>
      </c>
      <c r="G738" s="95" t="s">
        <v>276</v>
      </c>
      <c r="H738" s="96">
        <v>49930</v>
      </c>
      <c r="I738" s="97">
        <v>1</v>
      </c>
    </row>
    <row r="739" spans="1:9" ht="13.5">
      <c r="A739" s="91" t="s">
        <v>930</v>
      </c>
      <c r="B739" s="92" t="s">
        <v>285</v>
      </c>
      <c r="C739" s="91" t="s">
        <v>930</v>
      </c>
      <c r="D739" s="91" t="s">
        <v>256</v>
      </c>
      <c r="E739" s="93">
        <v>35657</v>
      </c>
      <c r="F739" s="94">
        <f t="shared" ca="1" si="22"/>
        <v>19</v>
      </c>
      <c r="G739" s="95" t="s">
        <v>257</v>
      </c>
      <c r="H739" s="96">
        <v>63060</v>
      </c>
      <c r="I739" s="97">
        <v>4</v>
      </c>
    </row>
    <row r="740" spans="1:9" ht="13.5">
      <c r="A740" s="91" t="s">
        <v>930</v>
      </c>
      <c r="B740" s="92" t="s">
        <v>251</v>
      </c>
      <c r="C740" s="91" t="s">
        <v>930</v>
      </c>
      <c r="D740" s="91" t="s">
        <v>256</v>
      </c>
      <c r="E740" s="93">
        <v>35699</v>
      </c>
      <c r="F740" s="94">
        <f t="shared" ref="F740:F771" ca="1" si="23">DATEDIF(E740,TODAY(),"Y")</f>
        <v>19</v>
      </c>
      <c r="G740" s="95" t="s">
        <v>283</v>
      </c>
      <c r="H740" s="96">
        <v>78710</v>
      </c>
      <c r="I740" s="97">
        <v>2</v>
      </c>
    </row>
    <row r="741" spans="1:9" ht="13.5">
      <c r="A741" s="91" t="s">
        <v>930</v>
      </c>
      <c r="B741" s="92" t="s">
        <v>266</v>
      </c>
      <c r="C741" s="91" t="s">
        <v>930</v>
      </c>
      <c r="D741" s="91" t="s">
        <v>247</v>
      </c>
      <c r="E741" s="93">
        <v>35755</v>
      </c>
      <c r="F741" s="94">
        <f t="shared" ca="1" si="23"/>
        <v>18</v>
      </c>
      <c r="G741" s="95"/>
      <c r="H741" s="96">
        <v>77136</v>
      </c>
      <c r="I741" s="97">
        <v>5</v>
      </c>
    </row>
    <row r="742" spans="1:9" ht="13.5">
      <c r="A742" s="91" t="s">
        <v>930</v>
      </c>
      <c r="B742" s="92" t="s">
        <v>271</v>
      </c>
      <c r="C742" s="91" t="s">
        <v>930</v>
      </c>
      <c r="D742" s="91" t="s">
        <v>247</v>
      </c>
      <c r="E742" s="93">
        <v>35789</v>
      </c>
      <c r="F742" s="94">
        <f t="shared" ca="1" si="23"/>
        <v>18</v>
      </c>
      <c r="G742" s="95"/>
      <c r="H742" s="96">
        <v>28270</v>
      </c>
      <c r="I742" s="97">
        <v>5</v>
      </c>
    </row>
    <row r="743" spans="1:9" ht="13.5">
      <c r="A743" s="91" t="s">
        <v>930</v>
      </c>
      <c r="B743" s="92" t="s">
        <v>266</v>
      </c>
      <c r="C743" s="91" t="s">
        <v>930</v>
      </c>
      <c r="D743" s="91" t="s">
        <v>247</v>
      </c>
      <c r="E743" s="93">
        <v>35831</v>
      </c>
      <c r="F743" s="94">
        <f t="shared" ca="1" si="23"/>
        <v>18</v>
      </c>
      <c r="G743" s="95"/>
      <c r="H743" s="96">
        <v>25530</v>
      </c>
      <c r="I743" s="97">
        <v>3</v>
      </c>
    </row>
    <row r="744" spans="1:9" ht="13.5">
      <c r="A744" s="91" t="s">
        <v>930</v>
      </c>
      <c r="B744" s="92" t="s">
        <v>266</v>
      </c>
      <c r="C744" s="91" t="s">
        <v>930</v>
      </c>
      <c r="D744" s="91" t="s">
        <v>247</v>
      </c>
      <c r="E744" s="93">
        <v>36143</v>
      </c>
      <c r="F744" s="94">
        <f t="shared" ca="1" si="23"/>
        <v>17</v>
      </c>
      <c r="G744" s="95"/>
      <c r="H744" s="96">
        <v>49090</v>
      </c>
      <c r="I744" s="97">
        <v>4</v>
      </c>
    </row>
    <row r="745" spans="1:9" ht="13.5">
      <c r="A745" s="91" t="s">
        <v>930</v>
      </c>
      <c r="B745" s="92" t="s">
        <v>251</v>
      </c>
      <c r="C745" s="91" t="s">
        <v>930</v>
      </c>
      <c r="D745" s="91" t="s">
        <v>256</v>
      </c>
      <c r="E745" s="93">
        <v>36185</v>
      </c>
      <c r="F745" s="94">
        <f t="shared" ca="1" si="23"/>
        <v>17</v>
      </c>
      <c r="G745" s="95" t="s">
        <v>276</v>
      </c>
      <c r="H745" s="96">
        <v>60300</v>
      </c>
      <c r="I745" s="97">
        <v>2</v>
      </c>
    </row>
    <row r="746" spans="1:9" ht="13.5">
      <c r="A746" s="91" t="s">
        <v>930</v>
      </c>
      <c r="B746" s="92" t="s">
        <v>285</v>
      </c>
      <c r="C746" s="91" t="s">
        <v>930</v>
      </c>
      <c r="D746" s="91" t="s">
        <v>256</v>
      </c>
      <c r="E746" s="93">
        <v>36500</v>
      </c>
      <c r="F746" s="94">
        <f t="shared" ca="1" si="23"/>
        <v>16</v>
      </c>
      <c r="G746" s="95" t="s">
        <v>283</v>
      </c>
      <c r="H746" s="96">
        <v>48010</v>
      </c>
      <c r="I746" s="97">
        <v>3</v>
      </c>
    </row>
    <row r="747" spans="1:9" ht="13.5">
      <c r="A747" s="91" t="s">
        <v>930</v>
      </c>
      <c r="B747" s="92" t="s">
        <v>285</v>
      </c>
      <c r="C747" s="91" t="s">
        <v>930</v>
      </c>
      <c r="D747" s="91" t="s">
        <v>256</v>
      </c>
      <c r="E747" s="93">
        <v>37018</v>
      </c>
      <c r="F747" s="94">
        <f t="shared" ca="1" si="23"/>
        <v>15</v>
      </c>
      <c r="G747" s="95" t="s">
        <v>262</v>
      </c>
      <c r="H747" s="96">
        <v>48280</v>
      </c>
      <c r="I747" s="97">
        <v>4</v>
      </c>
    </row>
    <row r="748" spans="1:9" ht="13.5">
      <c r="A748" s="91" t="s">
        <v>930</v>
      </c>
      <c r="B748" s="92" t="s">
        <v>245</v>
      </c>
      <c r="C748" s="91" t="s">
        <v>930</v>
      </c>
      <c r="D748" s="91" t="s">
        <v>256</v>
      </c>
      <c r="E748" s="93">
        <v>37037</v>
      </c>
      <c r="F748" s="94">
        <f t="shared" ca="1" si="23"/>
        <v>15</v>
      </c>
      <c r="G748" s="95" t="s">
        <v>283</v>
      </c>
      <c r="H748" s="96">
        <v>81340</v>
      </c>
      <c r="I748" s="97">
        <v>2</v>
      </c>
    </row>
    <row r="749" spans="1:9" ht="13.5">
      <c r="A749" s="91" t="s">
        <v>930</v>
      </c>
      <c r="B749" s="92" t="s">
        <v>280</v>
      </c>
      <c r="C749" s="91" t="s">
        <v>930</v>
      </c>
      <c r="D749" s="91" t="s">
        <v>247</v>
      </c>
      <c r="E749" s="93">
        <v>37128</v>
      </c>
      <c r="F749" s="94">
        <f t="shared" ca="1" si="23"/>
        <v>15</v>
      </c>
      <c r="G749" s="95"/>
      <c r="H749" s="96">
        <v>32880</v>
      </c>
      <c r="I749" s="97">
        <v>3</v>
      </c>
    </row>
    <row r="750" spans="1:9" ht="13.5">
      <c r="A750" s="91" t="s">
        <v>930</v>
      </c>
      <c r="B750" s="92" t="s">
        <v>251</v>
      </c>
      <c r="C750" s="91" t="s">
        <v>930</v>
      </c>
      <c r="D750" s="91" t="s">
        <v>256</v>
      </c>
      <c r="E750" s="93">
        <v>37316</v>
      </c>
      <c r="F750" s="94">
        <f t="shared" ca="1" si="23"/>
        <v>14</v>
      </c>
      <c r="G750" s="95" t="s">
        <v>257</v>
      </c>
      <c r="H750" s="96">
        <v>44530</v>
      </c>
      <c r="I750" s="97">
        <v>2</v>
      </c>
    </row>
    <row r="751" spans="1:9" ht="13.5">
      <c r="A751" s="91" t="s">
        <v>930</v>
      </c>
      <c r="B751" s="92" t="s">
        <v>245</v>
      </c>
      <c r="C751" s="91" t="s">
        <v>930</v>
      </c>
      <c r="D751" s="91" t="s">
        <v>252</v>
      </c>
      <c r="E751" s="93">
        <v>37336</v>
      </c>
      <c r="F751" s="94">
        <f t="shared" ca="1" si="23"/>
        <v>14</v>
      </c>
      <c r="G751" s="95"/>
      <c r="H751" s="96">
        <v>37344</v>
      </c>
      <c r="I751" s="97">
        <v>2</v>
      </c>
    </row>
    <row r="752" spans="1:9" ht="13.5">
      <c r="A752" s="91" t="s">
        <v>930</v>
      </c>
      <c r="B752" s="92" t="s">
        <v>280</v>
      </c>
      <c r="C752" s="91" t="s">
        <v>930</v>
      </c>
      <c r="D752" s="91" t="s">
        <v>256</v>
      </c>
      <c r="E752" s="93">
        <v>37861</v>
      </c>
      <c r="F752" s="94">
        <f t="shared" ca="1" si="23"/>
        <v>13</v>
      </c>
      <c r="G752" s="95" t="s">
        <v>267</v>
      </c>
      <c r="H752" s="96">
        <v>25690</v>
      </c>
      <c r="I752" s="97">
        <v>2</v>
      </c>
    </row>
    <row r="753" spans="1:9" ht="13.5">
      <c r="A753" s="91" t="s">
        <v>930</v>
      </c>
      <c r="B753" s="92" t="s">
        <v>285</v>
      </c>
      <c r="C753" s="91" t="s">
        <v>930</v>
      </c>
      <c r="D753" s="91" t="s">
        <v>256</v>
      </c>
      <c r="E753" s="93">
        <v>37973</v>
      </c>
      <c r="F753" s="94">
        <f t="shared" ca="1" si="23"/>
        <v>12</v>
      </c>
      <c r="G753" s="95" t="s">
        <v>257</v>
      </c>
      <c r="H753" s="96">
        <v>24980</v>
      </c>
      <c r="I753" s="97">
        <v>3</v>
      </c>
    </row>
    <row r="754" spans="1:9" ht="13.5">
      <c r="A754" s="91" t="s">
        <v>930</v>
      </c>
      <c r="B754" s="92" t="s">
        <v>280</v>
      </c>
      <c r="C754" s="91" t="s">
        <v>930</v>
      </c>
      <c r="D754" s="91" t="s">
        <v>256</v>
      </c>
      <c r="E754" s="93">
        <v>38131</v>
      </c>
      <c r="F754" s="94">
        <f t="shared" ca="1" si="23"/>
        <v>12</v>
      </c>
      <c r="G754" s="95" t="s">
        <v>262</v>
      </c>
      <c r="H754" s="96">
        <v>68860</v>
      </c>
      <c r="I754" s="97">
        <v>2</v>
      </c>
    </row>
    <row r="755" spans="1:9" ht="13.5">
      <c r="A755" s="91" t="s">
        <v>930</v>
      </c>
      <c r="B755" s="92" t="s">
        <v>280</v>
      </c>
      <c r="C755" s="91" t="s">
        <v>930</v>
      </c>
      <c r="D755" s="91" t="s">
        <v>261</v>
      </c>
      <c r="E755" s="93">
        <v>38225</v>
      </c>
      <c r="F755" s="94">
        <f t="shared" ca="1" si="23"/>
        <v>12</v>
      </c>
      <c r="G755" s="95" t="s">
        <v>276</v>
      </c>
      <c r="H755" s="96">
        <v>49080</v>
      </c>
      <c r="I755" s="97">
        <v>5</v>
      </c>
    </row>
    <row r="756" spans="1:9" ht="13.5">
      <c r="A756" s="91" t="s">
        <v>930</v>
      </c>
      <c r="B756" s="92" t="s">
        <v>245</v>
      </c>
      <c r="C756" s="91" t="s">
        <v>930</v>
      </c>
      <c r="D756" s="91" t="s">
        <v>256</v>
      </c>
      <c r="E756" s="93">
        <v>38292</v>
      </c>
      <c r="F756" s="94">
        <f t="shared" ca="1" si="23"/>
        <v>12</v>
      </c>
      <c r="G756" s="95" t="s">
        <v>257</v>
      </c>
      <c r="H756" s="96">
        <v>79380</v>
      </c>
      <c r="I756" s="97">
        <v>5</v>
      </c>
    </row>
    <row r="757" spans="1:9" ht="13.5">
      <c r="A757" s="91" t="s">
        <v>930</v>
      </c>
      <c r="B757" s="92" t="s">
        <v>280</v>
      </c>
      <c r="C757" s="91" t="s">
        <v>930</v>
      </c>
      <c r="D757" s="91" t="s">
        <v>256</v>
      </c>
      <c r="E757" s="93">
        <v>38369</v>
      </c>
      <c r="F757" s="94">
        <f t="shared" ca="1" si="23"/>
        <v>11</v>
      </c>
      <c r="G757" s="95" t="s">
        <v>257</v>
      </c>
      <c r="H757" s="96">
        <v>22820</v>
      </c>
      <c r="I757" s="97">
        <v>5</v>
      </c>
    </row>
    <row r="758" spans="1:9" ht="13.5">
      <c r="A758" s="91" t="s">
        <v>930</v>
      </c>
      <c r="B758" s="92" t="s">
        <v>245</v>
      </c>
      <c r="C758" s="91" t="s">
        <v>930</v>
      </c>
      <c r="D758" s="91" t="s">
        <v>247</v>
      </c>
      <c r="E758" s="93">
        <v>38418</v>
      </c>
      <c r="F758" s="94">
        <f t="shared" ca="1" si="23"/>
        <v>11</v>
      </c>
      <c r="G758" s="95"/>
      <c r="H758" s="96">
        <v>86040</v>
      </c>
      <c r="I758" s="97">
        <v>5</v>
      </c>
    </row>
    <row r="759" spans="1:9" ht="13.5">
      <c r="A759" s="91" t="s">
        <v>930</v>
      </c>
      <c r="B759" s="92" t="s">
        <v>285</v>
      </c>
      <c r="C759" s="91" t="s">
        <v>930</v>
      </c>
      <c r="D759" s="91" t="s">
        <v>256</v>
      </c>
      <c r="E759" s="93">
        <v>38418</v>
      </c>
      <c r="F759" s="94">
        <f t="shared" ca="1" si="23"/>
        <v>11</v>
      </c>
      <c r="G759" s="95" t="s">
        <v>257</v>
      </c>
      <c r="H759" s="96">
        <v>82370</v>
      </c>
      <c r="I759" s="97">
        <v>5</v>
      </c>
    </row>
    <row r="760" spans="1:9" ht="13.5">
      <c r="A760" s="91" t="s">
        <v>930</v>
      </c>
      <c r="B760" s="92" t="s">
        <v>271</v>
      </c>
      <c r="C760" s="91" t="s">
        <v>930</v>
      </c>
      <c r="D760" s="91" t="s">
        <v>256</v>
      </c>
      <c r="E760" s="93">
        <v>38708</v>
      </c>
      <c r="F760" s="94">
        <f t="shared" ca="1" si="23"/>
        <v>10</v>
      </c>
      <c r="G760" s="95" t="s">
        <v>283</v>
      </c>
      <c r="H760" s="96">
        <v>34990</v>
      </c>
      <c r="I760" s="97">
        <v>3</v>
      </c>
    </row>
    <row r="761" spans="1:9" ht="13.5">
      <c r="A761" s="91" t="s">
        <v>930</v>
      </c>
      <c r="B761" s="92" t="s">
        <v>285</v>
      </c>
      <c r="C761" s="91" t="s">
        <v>930</v>
      </c>
      <c r="D761" s="91" t="s">
        <v>247</v>
      </c>
      <c r="E761" s="93">
        <v>38925</v>
      </c>
      <c r="F761" s="94">
        <f t="shared" ca="1" si="23"/>
        <v>10</v>
      </c>
      <c r="G761" s="95"/>
      <c r="H761" s="96">
        <v>80729</v>
      </c>
      <c r="I761" s="97">
        <v>3</v>
      </c>
    </row>
    <row r="762" spans="1:9" ht="13.5">
      <c r="A762" s="91" t="s">
        <v>930</v>
      </c>
      <c r="B762" s="92" t="s">
        <v>266</v>
      </c>
      <c r="C762" s="91" t="s">
        <v>930</v>
      </c>
      <c r="D762" s="91" t="s">
        <v>247</v>
      </c>
      <c r="E762" s="99">
        <v>39024</v>
      </c>
      <c r="F762" s="94">
        <f t="shared" ca="1" si="23"/>
        <v>10</v>
      </c>
      <c r="G762" s="95"/>
      <c r="H762" s="96">
        <v>47280</v>
      </c>
      <c r="I762" s="97">
        <v>1</v>
      </c>
    </row>
    <row r="763" spans="1:9" ht="13.5">
      <c r="A763" s="91" t="s">
        <v>930</v>
      </c>
      <c r="B763" s="92" t="s">
        <v>285</v>
      </c>
      <c r="C763" s="91" t="s">
        <v>930</v>
      </c>
      <c r="D763" s="91" t="s">
        <v>247</v>
      </c>
      <c r="E763" s="93">
        <v>39213</v>
      </c>
      <c r="F763" s="94">
        <f t="shared" ca="1" si="23"/>
        <v>9</v>
      </c>
      <c r="G763" s="95"/>
      <c r="H763" s="96">
        <v>46570</v>
      </c>
      <c r="I763" s="97">
        <v>4</v>
      </c>
    </row>
    <row r="764" spans="1:9" ht="13.5">
      <c r="A764" s="91" t="s">
        <v>930</v>
      </c>
      <c r="B764" s="92" t="s">
        <v>266</v>
      </c>
      <c r="C764" s="91" t="s">
        <v>930</v>
      </c>
      <c r="D764" s="91" t="s">
        <v>256</v>
      </c>
      <c r="E764" s="99">
        <v>39226</v>
      </c>
      <c r="F764" s="94">
        <f t="shared" ca="1" si="23"/>
        <v>9</v>
      </c>
      <c r="G764" s="95" t="s">
        <v>283</v>
      </c>
      <c r="H764" s="96">
        <v>70730</v>
      </c>
      <c r="I764" s="97">
        <v>1</v>
      </c>
    </row>
    <row r="765" spans="1:9" ht="13.5">
      <c r="A765" s="91" t="s">
        <v>930</v>
      </c>
      <c r="B765" s="92" t="s">
        <v>285</v>
      </c>
      <c r="C765" s="91" t="s">
        <v>930</v>
      </c>
      <c r="D765" s="91" t="s">
        <v>247</v>
      </c>
      <c r="E765" s="99">
        <v>39253</v>
      </c>
      <c r="F765" s="94">
        <f t="shared" ca="1" si="23"/>
        <v>9</v>
      </c>
      <c r="G765" s="95"/>
      <c r="H765" s="96">
        <v>55510</v>
      </c>
      <c r="I765" s="97">
        <v>3</v>
      </c>
    </row>
    <row r="766" spans="1:9" ht="13.5">
      <c r="A766" s="91" t="s">
        <v>930</v>
      </c>
      <c r="B766" s="92" t="s">
        <v>285</v>
      </c>
      <c r="C766" s="91" t="s">
        <v>930</v>
      </c>
      <c r="D766" s="91" t="s">
        <v>256</v>
      </c>
      <c r="E766" s="93">
        <v>39258</v>
      </c>
      <c r="F766" s="94">
        <f t="shared" ca="1" si="23"/>
        <v>9</v>
      </c>
      <c r="G766" s="95" t="s">
        <v>257</v>
      </c>
      <c r="H766" s="96">
        <v>46390</v>
      </c>
      <c r="I766" s="97">
        <v>5</v>
      </c>
    </row>
    <row r="767" spans="1:9" ht="13.5">
      <c r="A767" s="91" t="s">
        <v>930</v>
      </c>
      <c r="B767" s="92" t="s">
        <v>271</v>
      </c>
      <c r="C767" s="91" t="s">
        <v>930</v>
      </c>
      <c r="D767" s="91" t="s">
        <v>256</v>
      </c>
      <c r="E767" s="93">
        <v>39327</v>
      </c>
      <c r="F767" s="94">
        <f t="shared" ca="1" si="23"/>
        <v>9</v>
      </c>
      <c r="G767" s="95" t="s">
        <v>257</v>
      </c>
      <c r="H767" s="96">
        <v>86640</v>
      </c>
      <c r="I767" s="97">
        <v>3</v>
      </c>
    </row>
    <row r="768" spans="1:9" ht="13.5">
      <c r="A768" s="91" t="s">
        <v>930</v>
      </c>
      <c r="B768" s="92" t="s">
        <v>251</v>
      </c>
      <c r="C768" s="91" t="s">
        <v>930</v>
      </c>
      <c r="D768" s="91" t="s">
        <v>247</v>
      </c>
      <c r="E768" s="99">
        <v>39328</v>
      </c>
      <c r="F768" s="94">
        <f t="shared" ca="1" si="23"/>
        <v>9</v>
      </c>
      <c r="G768" s="95"/>
      <c r="H768" s="96">
        <v>42990</v>
      </c>
      <c r="I768" s="97">
        <v>4</v>
      </c>
    </row>
    <row r="769" spans="1:9" ht="13.5">
      <c r="A769" s="91" t="s">
        <v>930</v>
      </c>
      <c r="B769" s="92" t="s">
        <v>251</v>
      </c>
      <c r="C769" s="91" t="s">
        <v>930</v>
      </c>
      <c r="D769" s="91" t="s">
        <v>247</v>
      </c>
      <c r="E769" s="99">
        <v>39328</v>
      </c>
      <c r="F769" s="94">
        <f t="shared" ca="1" si="23"/>
        <v>9</v>
      </c>
      <c r="G769" s="95"/>
      <c r="H769" s="96">
        <v>42990</v>
      </c>
      <c r="I769" s="97">
        <v>4</v>
      </c>
    </row>
    <row r="770" spans="1:9" ht="13.5">
      <c r="A770" s="91" t="s">
        <v>930</v>
      </c>
      <c r="B770" s="92" t="s">
        <v>271</v>
      </c>
      <c r="C770" s="91" t="s">
        <v>930</v>
      </c>
      <c r="D770" s="91" t="s">
        <v>256</v>
      </c>
      <c r="E770" s="99">
        <v>39370</v>
      </c>
      <c r="F770" s="94">
        <f t="shared" ca="1" si="23"/>
        <v>9</v>
      </c>
      <c r="G770" s="95" t="s">
        <v>257</v>
      </c>
      <c r="H770" s="96">
        <v>23030</v>
      </c>
      <c r="I770" s="97">
        <v>4</v>
      </c>
    </row>
    <row r="771" spans="1:9" ht="13.5">
      <c r="A771" s="91" t="s">
        <v>930</v>
      </c>
      <c r="B771" s="92" t="s">
        <v>271</v>
      </c>
      <c r="C771" s="91" t="s">
        <v>930</v>
      </c>
      <c r="D771" s="91" t="s">
        <v>256</v>
      </c>
      <c r="E771" s="99">
        <v>39370</v>
      </c>
      <c r="F771" s="94">
        <f t="shared" ca="1" si="23"/>
        <v>9</v>
      </c>
      <c r="G771" s="95" t="s">
        <v>276</v>
      </c>
      <c r="H771" s="96">
        <v>40260</v>
      </c>
      <c r="I771" s="97">
        <v>5</v>
      </c>
    </row>
    <row r="772" spans="1:9" ht="13.5">
      <c r="A772" s="98" t="s">
        <v>1056</v>
      </c>
      <c r="B772" s="92"/>
      <c r="C772" s="98"/>
      <c r="D772" s="91"/>
      <c r="E772" s="99"/>
      <c r="F772" s="94"/>
      <c r="G772" s="95"/>
      <c r="H772" s="96"/>
      <c r="I772" s="97"/>
    </row>
    <row r="773" spans="1:9" ht="13.5">
      <c r="A773" s="91" t="s">
        <v>1025</v>
      </c>
      <c r="B773" s="92" t="s">
        <v>245</v>
      </c>
      <c r="C773" s="91" t="s">
        <v>1025</v>
      </c>
      <c r="D773" s="91" t="s">
        <v>247</v>
      </c>
      <c r="E773" s="93">
        <v>32077</v>
      </c>
      <c r="F773" s="94">
        <f ca="1">DATEDIF(E773,TODAY(),"Y")</f>
        <v>29</v>
      </c>
      <c r="G773" s="95"/>
      <c r="H773" s="96">
        <v>85510</v>
      </c>
      <c r="I773" s="97">
        <v>4</v>
      </c>
    </row>
    <row r="774" spans="1:9" ht="13.5">
      <c r="A774" s="91" t="s">
        <v>1025</v>
      </c>
      <c r="B774" s="92" t="s">
        <v>271</v>
      </c>
      <c r="C774" s="91" t="s">
        <v>1025</v>
      </c>
      <c r="D774" s="91" t="s">
        <v>256</v>
      </c>
      <c r="E774" s="93">
        <v>35681</v>
      </c>
      <c r="F774" s="94">
        <f ca="1">DATEDIF(E774,TODAY(),"Y")</f>
        <v>19</v>
      </c>
      <c r="G774" s="95" t="s">
        <v>257</v>
      </c>
      <c r="H774" s="96">
        <v>63670</v>
      </c>
      <c r="I774" s="97">
        <v>5</v>
      </c>
    </row>
    <row r="775" spans="1:9" ht="13.5">
      <c r="A775" s="91" t="s">
        <v>1025</v>
      </c>
      <c r="B775" s="92" t="s">
        <v>245</v>
      </c>
      <c r="C775" s="91" t="s">
        <v>1025</v>
      </c>
      <c r="D775" s="91" t="s">
        <v>256</v>
      </c>
      <c r="E775" s="93">
        <v>35763</v>
      </c>
      <c r="F775" s="94">
        <f ca="1">DATEDIF(E775,TODAY(),"Y")</f>
        <v>18</v>
      </c>
      <c r="G775" s="95" t="s">
        <v>276</v>
      </c>
      <c r="H775" s="96">
        <v>40680</v>
      </c>
      <c r="I775" s="97">
        <v>5</v>
      </c>
    </row>
    <row r="776" spans="1:9" ht="13.5">
      <c r="A776" s="91" t="s">
        <v>1025</v>
      </c>
      <c r="B776" s="92" t="s">
        <v>266</v>
      </c>
      <c r="C776" s="91" t="s">
        <v>1025</v>
      </c>
      <c r="D776" s="91" t="s">
        <v>256</v>
      </c>
      <c r="E776" s="93">
        <v>36374</v>
      </c>
      <c r="F776" s="94">
        <f ca="1">DATEDIF(E776,TODAY(),"Y")</f>
        <v>17</v>
      </c>
      <c r="G776" s="95" t="s">
        <v>283</v>
      </c>
      <c r="H776" s="96">
        <v>42800</v>
      </c>
      <c r="I776" s="97">
        <v>5</v>
      </c>
    </row>
    <row r="777" spans="1:9" ht="13.5">
      <c r="A777" s="91" t="s">
        <v>1025</v>
      </c>
      <c r="B777" s="92" t="s">
        <v>271</v>
      </c>
      <c r="C777" s="91" t="s">
        <v>1025</v>
      </c>
      <c r="D777" s="91" t="s">
        <v>247</v>
      </c>
      <c r="E777" s="93">
        <v>39409</v>
      </c>
      <c r="F777" s="94">
        <f ca="1">DATEDIF(E777,TODAY(),"Y")</f>
        <v>8</v>
      </c>
      <c r="G777" s="95"/>
      <c r="H777" s="96">
        <v>66132</v>
      </c>
      <c r="I777" s="97">
        <v>4</v>
      </c>
    </row>
    <row r="778" spans="1:9" ht="13.5">
      <c r="A778" s="98" t="s">
        <v>1057</v>
      </c>
      <c r="B778" s="92"/>
      <c r="C778" s="98"/>
      <c r="D778" s="91"/>
      <c r="E778" s="93"/>
      <c r="F778" s="94"/>
      <c r="G778" s="95"/>
      <c r="H778" s="96"/>
      <c r="I778" s="97"/>
    </row>
    <row r="779" spans="1:9" ht="13.5">
      <c r="A779" s="91" t="s">
        <v>1031</v>
      </c>
      <c r="B779" s="92" t="s">
        <v>285</v>
      </c>
      <c r="C779" s="91" t="s">
        <v>1031</v>
      </c>
      <c r="D779" s="91" t="s">
        <v>247</v>
      </c>
      <c r="E779" s="93">
        <v>32693</v>
      </c>
      <c r="F779" s="94">
        <f t="shared" ref="F779:F784" ca="1" si="24">DATEDIF(E779,TODAY(),"Y")</f>
        <v>27</v>
      </c>
      <c r="G779" s="95"/>
      <c r="H779" s="96">
        <v>60760</v>
      </c>
      <c r="I779" s="97">
        <v>2</v>
      </c>
    </row>
    <row r="780" spans="1:9" ht="13.5">
      <c r="A780" s="91" t="s">
        <v>1031</v>
      </c>
      <c r="B780" s="92" t="s">
        <v>285</v>
      </c>
      <c r="C780" s="91" t="s">
        <v>1031</v>
      </c>
      <c r="D780" s="91" t="s">
        <v>247</v>
      </c>
      <c r="E780" s="93">
        <v>33215</v>
      </c>
      <c r="F780" s="94">
        <f t="shared" ca="1" si="24"/>
        <v>25</v>
      </c>
      <c r="G780" s="95"/>
      <c r="H780" s="96">
        <v>64720</v>
      </c>
      <c r="I780" s="97">
        <v>5</v>
      </c>
    </row>
    <row r="781" spans="1:9" ht="13.5">
      <c r="A781" s="91" t="s">
        <v>1031</v>
      </c>
      <c r="B781" s="92" t="s">
        <v>285</v>
      </c>
      <c r="C781" s="91" t="s">
        <v>1031</v>
      </c>
      <c r="D781" s="91" t="s">
        <v>247</v>
      </c>
      <c r="E781" s="93">
        <v>33215</v>
      </c>
      <c r="F781" s="94">
        <f t="shared" ca="1" si="24"/>
        <v>25</v>
      </c>
      <c r="G781" s="95"/>
      <c r="H781" s="96">
        <v>64720</v>
      </c>
      <c r="I781" s="97">
        <v>5</v>
      </c>
    </row>
    <row r="782" spans="1:9" ht="13.5">
      <c r="A782" s="91" t="s">
        <v>1031</v>
      </c>
      <c r="B782" s="92" t="s">
        <v>266</v>
      </c>
      <c r="C782" s="91" t="s">
        <v>1031</v>
      </c>
      <c r="D782" s="91" t="s">
        <v>261</v>
      </c>
      <c r="E782" s="93">
        <v>35247</v>
      </c>
      <c r="F782" s="94">
        <f t="shared" ca="1" si="24"/>
        <v>20</v>
      </c>
      <c r="G782" s="95" t="s">
        <v>257</v>
      </c>
      <c r="H782" s="96">
        <v>31250</v>
      </c>
      <c r="I782" s="97">
        <v>2</v>
      </c>
    </row>
    <row r="783" spans="1:9" ht="13.5">
      <c r="A783" s="91" t="s">
        <v>1031</v>
      </c>
      <c r="B783" s="92" t="s">
        <v>251</v>
      </c>
      <c r="C783" s="91" t="s">
        <v>1031</v>
      </c>
      <c r="D783" s="91" t="s">
        <v>256</v>
      </c>
      <c r="E783" s="93">
        <v>39074</v>
      </c>
      <c r="F783" s="94">
        <f t="shared" ca="1" si="24"/>
        <v>9</v>
      </c>
      <c r="G783" s="95" t="s">
        <v>257</v>
      </c>
      <c r="H783" s="96">
        <v>46680</v>
      </c>
      <c r="I783" s="97">
        <v>1</v>
      </c>
    </row>
    <row r="784" spans="1:9" ht="13.5">
      <c r="A784" s="91" t="s">
        <v>1031</v>
      </c>
      <c r="B784" s="92" t="s">
        <v>266</v>
      </c>
      <c r="C784" s="91" t="s">
        <v>1031</v>
      </c>
      <c r="D784" s="91" t="s">
        <v>252</v>
      </c>
      <c r="E784" s="93">
        <v>39233</v>
      </c>
      <c r="F784" s="94">
        <f t="shared" ca="1" si="24"/>
        <v>9</v>
      </c>
      <c r="G784" s="95"/>
      <c r="H784" s="96">
        <v>19044</v>
      </c>
      <c r="I784" s="97">
        <v>1</v>
      </c>
    </row>
    <row r="785" spans="1:9" ht="13.5">
      <c r="A785" s="98" t="s">
        <v>1058</v>
      </c>
      <c r="B785" s="92"/>
      <c r="C785" s="98"/>
      <c r="D785" s="91"/>
      <c r="E785" s="93"/>
      <c r="F785" s="94"/>
      <c r="G785" s="95"/>
      <c r="H785" s="96"/>
      <c r="I785"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AH743"/>
  <sheetViews>
    <sheetView zoomScale="115" zoomScaleNormal="115" zoomScaleSheetLayoutView="100" workbookViewId="0">
      <selection activeCell="A19" sqref="A19"/>
    </sheetView>
  </sheetViews>
  <sheetFormatPr defaultColWidth="19.85546875" defaultRowHeight="15"/>
  <cols>
    <col min="1" max="1" width="19.5703125" style="39" bestFit="1" customWidth="1"/>
    <col min="2" max="2" width="8.28515625" style="54" bestFit="1" customWidth="1"/>
    <col min="3" max="3" width="26.85546875" style="39" bestFit="1" customWidth="1"/>
    <col min="4" max="4" width="11.140625" style="75" bestFit="1" customWidth="1"/>
    <col min="5" max="5" width="12.28515625" style="75" bestFit="1" customWidth="1"/>
    <col min="6" max="6" width="12.28515625" style="39" bestFit="1" customWidth="1"/>
    <col min="7" max="7" width="10.7109375" style="81" bestFit="1" customWidth="1"/>
    <col min="8" max="8" width="10.7109375" style="82" customWidth="1"/>
    <col min="9" max="9" width="9" style="83" customWidth="1"/>
    <col min="10" max="10" width="8.42578125" style="39" bestFit="1" customWidth="1"/>
    <col min="11" max="11" width="9.42578125" style="70" customWidth="1"/>
    <col min="12" max="12" width="10" style="54" bestFit="1" customWidth="1"/>
    <col min="13" max="13" width="12.28515625" style="84" bestFit="1" customWidth="1"/>
    <col min="14" max="14" width="8.42578125" style="100" bestFit="1" customWidth="1"/>
    <col min="15" max="15" width="7.5703125" style="45"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s="111" customFormat="1">
      <c r="A1" s="118" t="s">
        <v>1076</v>
      </c>
      <c r="B1" s="118"/>
      <c r="C1" s="118"/>
      <c r="D1" s="117" t="s">
        <v>1075</v>
      </c>
      <c r="E1" s="117" t="s">
        <v>233</v>
      </c>
      <c r="F1" s="118" t="s">
        <v>1074</v>
      </c>
      <c r="G1" s="116" t="s">
        <v>1073</v>
      </c>
      <c r="H1" s="117" t="s">
        <v>1072</v>
      </c>
      <c r="I1" s="116" t="s">
        <v>1071</v>
      </c>
      <c r="J1" s="118"/>
      <c r="K1" s="116" t="s">
        <v>1070</v>
      </c>
      <c r="L1" s="117" t="s">
        <v>1069</v>
      </c>
      <c r="M1" s="116" t="s">
        <v>1068</v>
      </c>
      <c r="N1" s="116" t="s">
        <v>1067</v>
      </c>
      <c r="O1" s="121"/>
      <c r="P1" s="120">
        <v>2.9100000000000001E-2</v>
      </c>
    </row>
    <row r="2" spans="1:33" s="111" customFormat="1" ht="30">
      <c r="A2" s="119" t="s">
        <v>1066</v>
      </c>
      <c r="B2" s="118" t="s">
        <v>230</v>
      </c>
      <c r="C2" s="118" t="s">
        <v>231</v>
      </c>
      <c r="D2" s="117" t="s">
        <v>1065</v>
      </c>
      <c r="E2" s="117" t="s">
        <v>1065</v>
      </c>
      <c r="F2" s="118" t="s">
        <v>234</v>
      </c>
      <c r="G2" s="116" t="s">
        <v>1064</v>
      </c>
      <c r="H2" s="117" t="s">
        <v>236</v>
      </c>
      <c r="I2" s="116" t="s">
        <v>1063</v>
      </c>
      <c r="J2" s="118" t="s">
        <v>238</v>
      </c>
      <c r="K2" s="116" t="s">
        <v>239</v>
      </c>
      <c r="L2" s="117" t="s">
        <v>1062</v>
      </c>
      <c r="M2" s="116" t="s">
        <v>239</v>
      </c>
      <c r="N2" s="116" t="s">
        <v>1061</v>
      </c>
      <c r="O2" s="115"/>
      <c r="P2" s="37"/>
      <c r="Q2" s="37"/>
      <c r="R2" s="38" t="s">
        <v>243</v>
      </c>
      <c r="S2" s="38"/>
      <c r="U2" s="40"/>
      <c r="V2" s="41" t="s">
        <v>73</v>
      </c>
      <c r="W2" s="41" t="s">
        <v>107</v>
      </c>
      <c r="X2" s="41" t="s">
        <v>100</v>
      </c>
      <c r="Y2" s="41" t="s">
        <v>65</v>
      </c>
      <c r="Z2" s="41" t="s">
        <v>83</v>
      </c>
      <c r="AA2" s="114"/>
      <c r="AB2" s="113"/>
      <c r="AC2" s="112" t="s">
        <v>73</v>
      </c>
      <c r="AD2" s="112" t="s">
        <v>107</v>
      </c>
      <c r="AE2" s="112" t="s">
        <v>100</v>
      </c>
      <c r="AF2" s="112" t="s">
        <v>65</v>
      </c>
      <c r="AG2" s="112" t="s">
        <v>83</v>
      </c>
    </row>
    <row r="3" spans="1:33">
      <c r="A3" s="39" t="s">
        <v>392</v>
      </c>
      <c r="B3" s="46" t="s">
        <v>251</v>
      </c>
      <c r="C3" s="39" t="s">
        <v>391</v>
      </c>
      <c r="D3" s="102">
        <v>938508346</v>
      </c>
      <c r="E3" s="110">
        <v>2526738901</v>
      </c>
      <c r="F3" s="39" t="s">
        <v>247</v>
      </c>
      <c r="G3" s="81">
        <f>32699+(364+182)</f>
        <v>33245</v>
      </c>
      <c r="H3" s="50" t="str">
        <f t="shared" ref="H3:H66" si="0">CHOOSE(MONTH(G3),"Jan","Feb","Mar","Apr","May","Jun","Jul","Aug","Sep","Oct","Nov","Dec")</f>
        <v>Jan</v>
      </c>
      <c r="I3" s="51">
        <f t="shared" ref="I3:I66" ca="1" si="1">DATEDIF(G3,TODAY(),"Y")</f>
        <v>25</v>
      </c>
      <c r="J3" s="52"/>
      <c r="K3" s="53">
        <v>80050</v>
      </c>
      <c r="L3" s="54">
        <v>2</v>
      </c>
      <c r="M3" s="59">
        <f t="shared" ref="M3:M66" si="2">ROUND(K3*P1+K3,0)</f>
        <v>82379</v>
      </c>
      <c r="R3" s="57">
        <v>0</v>
      </c>
      <c r="S3" s="58">
        <v>0</v>
      </c>
      <c r="U3" s="40" t="s">
        <v>248</v>
      </c>
      <c r="V3" s="59">
        <v>33</v>
      </c>
      <c r="W3" s="59">
        <v>40</v>
      </c>
      <c r="X3" s="59">
        <v>37</v>
      </c>
      <c r="Y3" s="59">
        <v>48</v>
      </c>
      <c r="Z3" s="59">
        <v>48</v>
      </c>
      <c r="AA3" s="59"/>
      <c r="AB3" s="60" t="s">
        <v>249</v>
      </c>
      <c r="AC3" s="59">
        <v>45</v>
      </c>
      <c r="AD3" s="59">
        <v>47</v>
      </c>
      <c r="AE3" s="59">
        <v>35</v>
      </c>
      <c r="AF3" s="59">
        <v>49</v>
      </c>
      <c r="AG3" s="59">
        <v>37</v>
      </c>
    </row>
    <row r="4" spans="1:33">
      <c r="A4" s="39" t="s">
        <v>751</v>
      </c>
      <c r="B4" s="46" t="s">
        <v>285</v>
      </c>
      <c r="C4" s="39" t="s">
        <v>750</v>
      </c>
      <c r="D4" s="102">
        <v>198564686</v>
      </c>
      <c r="E4" s="110">
        <v>2523355100</v>
      </c>
      <c r="F4" s="39" t="s">
        <v>256</v>
      </c>
      <c r="G4" s="81">
        <f>32700+(364+182)</f>
        <v>33246</v>
      </c>
      <c r="H4" s="50" t="str">
        <f t="shared" si="0"/>
        <v>Jan</v>
      </c>
      <c r="I4" s="51">
        <f t="shared" ca="1" si="1"/>
        <v>25</v>
      </c>
      <c r="J4" s="52" t="s">
        <v>257</v>
      </c>
      <c r="K4" s="53">
        <v>71730</v>
      </c>
      <c r="L4" s="54">
        <v>1</v>
      </c>
      <c r="M4" s="59">
        <f t="shared" si="2"/>
        <v>71730</v>
      </c>
      <c r="R4" s="61">
        <v>5000</v>
      </c>
      <c r="S4" s="62">
        <v>0.01</v>
      </c>
      <c r="U4" s="40" t="s">
        <v>253</v>
      </c>
      <c r="V4" s="59">
        <v>35</v>
      </c>
      <c r="W4" s="59">
        <v>38</v>
      </c>
      <c r="X4" s="59">
        <v>36</v>
      </c>
      <c r="Y4" s="59">
        <v>48</v>
      </c>
      <c r="Z4" s="59">
        <v>41</v>
      </c>
      <c r="AA4" s="59"/>
      <c r="AB4" s="60" t="s">
        <v>254</v>
      </c>
      <c r="AC4" s="59">
        <v>39</v>
      </c>
      <c r="AD4" s="59">
        <v>35</v>
      </c>
      <c r="AE4" s="59">
        <v>45</v>
      </c>
      <c r="AF4" s="59">
        <v>34</v>
      </c>
      <c r="AG4" s="59">
        <v>37</v>
      </c>
    </row>
    <row r="5" spans="1:33">
      <c r="A5" s="39" t="s">
        <v>672</v>
      </c>
      <c r="B5" s="46" t="s">
        <v>280</v>
      </c>
      <c r="C5" s="39" t="s">
        <v>626</v>
      </c>
      <c r="D5" s="102">
        <v>279097202</v>
      </c>
      <c r="E5" s="110">
        <v>9196844371</v>
      </c>
      <c r="F5" s="39" t="s">
        <v>256</v>
      </c>
      <c r="G5" s="81">
        <f>32701+(364+182)</f>
        <v>33247</v>
      </c>
      <c r="H5" s="50" t="str">
        <f t="shared" si="0"/>
        <v>Jan</v>
      </c>
      <c r="I5" s="51">
        <f t="shared" ca="1" si="1"/>
        <v>25</v>
      </c>
      <c r="J5" s="52" t="s">
        <v>257</v>
      </c>
      <c r="K5" s="53">
        <v>62740</v>
      </c>
      <c r="L5" s="54">
        <v>4</v>
      </c>
      <c r="M5" s="59">
        <f t="shared" si="2"/>
        <v>62740</v>
      </c>
      <c r="R5" s="61">
        <v>25000</v>
      </c>
      <c r="S5" s="62">
        <v>0.05</v>
      </c>
      <c r="U5" s="40" t="s">
        <v>258</v>
      </c>
      <c r="V5" s="59">
        <v>49</v>
      </c>
      <c r="W5" s="59">
        <v>36</v>
      </c>
      <c r="X5" s="59">
        <v>40</v>
      </c>
      <c r="Y5" s="59">
        <v>35</v>
      </c>
      <c r="Z5" s="59">
        <v>44</v>
      </c>
      <c r="AA5" s="59"/>
      <c r="AB5" s="60" t="s">
        <v>259</v>
      </c>
      <c r="AC5" s="59">
        <v>30</v>
      </c>
      <c r="AD5" s="59">
        <v>45</v>
      </c>
      <c r="AE5" s="59">
        <v>43</v>
      </c>
      <c r="AF5" s="59">
        <v>46</v>
      </c>
      <c r="AG5" s="59">
        <v>30</v>
      </c>
    </row>
    <row r="6" spans="1:33">
      <c r="A6" s="39" t="s">
        <v>894</v>
      </c>
      <c r="B6" s="46" t="s">
        <v>245</v>
      </c>
      <c r="C6" s="39" t="s">
        <v>856</v>
      </c>
      <c r="D6" s="102">
        <v>352371400</v>
      </c>
      <c r="E6" s="110">
        <v>2525441252</v>
      </c>
      <c r="F6" s="39" t="s">
        <v>252</v>
      </c>
      <c r="G6" s="81">
        <f>32710+(364+182)</f>
        <v>33256</v>
      </c>
      <c r="H6" s="50" t="str">
        <f t="shared" si="0"/>
        <v>Jan</v>
      </c>
      <c r="I6" s="51">
        <f t="shared" ca="1" si="1"/>
        <v>25</v>
      </c>
      <c r="J6" s="52"/>
      <c r="K6" s="53">
        <v>30468</v>
      </c>
      <c r="L6" s="54">
        <v>2</v>
      </c>
      <c r="M6" s="59">
        <f t="shared" si="2"/>
        <v>30468</v>
      </c>
      <c r="R6" s="61">
        <v>35000</v>
      </c>
      <c r="S6" s="62">
        <v>0.06</v>
      </c>
      <c r="U6" s="40" t="s">
        <v>263</v>
      </c>
      <c r="V6" s="59">
        <v>35</v>
      </c>
      <c r="W6" s="59">
        <v>46</v>
      </c>
      <c r="X6" s="59">
        <v>44</v>
      </c>
      <c r="Y6" s="59">
        <v>48</v>
      </c>
      <c r="Z6" s="59">
        <v>47</v>
      </c>
      <c r="AA6" s="59"/>
      <c r="AB6" s="60" t="s">
        <v>264</v>
      </c>
      <c r="AC6" s="59">
        <v>46</v>
      </c>
      <c r="AD6" s="59">
        <v>40</v>
      </c>
      <c r="AE6" s="59">
        <v>45</v>
      </c>
      <c r="AF6" s="59">
        <v>45</v>
      </c>
      <c r="AG6" s="59">
        <v>37</v>
      </c>
    </row>
    <row r="7" spans="1:33">
      <c r="A7" s="39" t="s">
        <v>858</v>
      </c>
      <c r="B7" s="46" t="s">
        <v>285</v>
      </c>
      <c r="C7" s="39" t="s">
        <v>856</v>
      </c>
      <c r="D7" s="102">
        <v>420739404</v>
      </c>
      <c r="E7" s="102">
        <v>9197785583</v>
      </c>
      <c r="F7" s="39" t="s">
        <v>256</v>
      </c>
      <c r="G7" s="81">
        <f>32723+(364+182)</f>
        <v>33269</v>
      </c>
      <c r="H7" s="50" t="str">
        <f t="shared" si="0"/>
        <v>Jan</v>
      </c>
      <c r="I7" s="51">
        <f t="shared" ca="1" si="1"/>
        <v>25</v>
      </c>
      <c r="J7" s="52" t="s">
        <v>283</v>
      </c>
      <c r="K7" s="53">
        <v>24840</v>
      </c>
      <c r="L7" s="54">
        <v>1</v>
      </c>
      <c r="M7" s="59">
        <f t="shared" si="2"/>
        <v>24840</v>
      </c>
      <c r="R7" s="61">
        <v>45000</v>
      </c>
      <c r="S7" s="62">
        <v>7.0000000000000007E-2</v>
      </c>
      <c r="U7" s="40" t="s">
        <v>268</v>
      </c>
      <c r="V7" s="59">
        <v>31</v>
      </c>
      <c r="W7" s="59">
        <v>49</v>
      </c>
      <c r="X7" s="59">
        <v>43</v>
      </c>
      <c r="Y7" s="59">
        <v>42</v>
      </c>
      <c r="Z7" s="59">
        <v>34</v>
      </c>
      <c r="AA7" s="59"/>
      <c r="AB7" s="60" t="s">
        <v>269</v>
      </c>
      <c r="AC7" s="59">
        <v>38</v>
      </c>
      <c r="AD7" s="59">
        <v>39</v>
      </c>
      <c r="AE7" s="59">
        <v>42</v>
      </c>
      <c r="AF7" s="59">
        <v>40</v>
      </c>
      <c r="AG7" s="59">
        <v>43</v>
      </c>
    </row>
    <row r="8" spans="1:33">
      <c r="A8" s="39" t="s">
        <v>878</v>
      </c>
      <c r="B8" s="46" t="s">
        <v>285</v>
      </c>
      <c r="C8" s="39" t="s">
        <v>856</v>
      </c>
      <c r="D8" s="102">
        <v>784064156</v>
      </c>
      <c r="E8" s="110">
        <v>9193355152</v>
      </c>
      <c r="F8" s="39" t="s">
        <v>256</v>
      </c>
      <c r="G8" s="81">
        <f>33058+(364+182)</f>
        <v>33604</v>
      </c>
      <c r="H8" s="50" t="str">
        <f t="shared" si="0"/>
        <v>Jan</v>
      </c>
      <c r="I8" s="51">
        <f t="shared" ca="1" si="1"/>
        <v>24</v>
      </c>
      <c r="J8" s="52" t="s">
        <v>257</v>
      </c>
      <c r="K8" s="53">
        <v>54830</v>
      </c>
      <c r="L8" s="54">
        <v>1</v>
      </c>
      <c r="M8" s="59">
        <f t="shared" si="2"/>
        <v>54830</v>
      </c>
      <c r="R8" s="61">
        <v>55000</v>
      </c>
      <c r="S8" s="62">
        <v>0.08</v>
      </c>
      <c r="U8" s="40" t="s">
        <v>273</v>
      </c>
      <c r="V8" s="59">
        <v>43</v>
      </c>
      <c r="W8" s="59">
        <v>38</v>
      </c>
      <c r="X8" s="59">
        <v>44</v>
      </c>
      <c r="Y8" s="59">
        <v>44</v>
      </c>
      <c r="Z8" s="59">
        <v>39</v>
      </c>
      <c r="AA8" s="59"/>
      <c r="AB8" s="60" t="s">
        <v>274</v>
      </c>
      <c r="AC8" s="59">
        <v>30</v>
      </c>
      <c r="AD8" s="59">
        <v>47</v>
      </c>
      <c r="AE8" s="59">
        <v>46</v>
      </c>
      <c r="AF8" s="59">
        <v>42</v>
      </c>
      <c r="AG8" s="59">
        <v>34</v>
      </c>
    </row>
    <row r="9" spans="1:33">
      <c r="A9" s="39" t="s">
        <v>651</v>
      </c>
      <c r="B9" s="46" t="s">
        <v>285</v>
      </c>
      <c r="C9" s="39" t="s">
        <v>626</v>
      </c>
      <c r="D9" s="102">
        <v>751878224</v>
      </c>
      <c r="E9" s="102">
        <v>9194713628</v>
      </c>
      <c r="F9" s="39" t="s">
        <v>256</v>
      </c>
      <c r="G9" s="81">
        <f>33060+(364+182)</f>
        <v>33606</v>
      </c>
      <c r="H9" s="50" t="str">
        <f t="shared" si="0"/>
        <v>Jan</v>
      </c>
      <c r="I9" s="51">
        <f t="shared" ca="1" si="1"/>
        <v>24</v>
      </c>
      <c r="J9" s="52" t="s">
        <v>262</v>
      </c>
      <c r="K9" s="53">
        <v>87120</v>
      </c>
      <c r="L9" s="54">
        <v>3</v>
      </c>
      <c r="M9" s="59">
        <f t="shared" si="2"/>
        <v>87120</v>
      </c>
      <c r="R9" s="61">
        <v>65000</v>
      </c>
      <c r="S9" s="62">
        <v>0.1</v>
      </c>
    </row>
    <row r="10" spans="1:33">
      <c r="A10" s="39" t="s">
        <v>390</v>
      </c>
      <c r="B10" s="46" t="s">
        <v>271</v>
      </c>
      <c r="C10" s="39" t="s">
        <v>391</v>
      </c>
      <c r="D10" s="102">
        <v>690374765</v>
      </c>
      <c r="E10" s="102">
        <v>2525786813</v>
      </c>
      <c r="F10" s="39" t="s">
        <v>256</v>
      </c>
      <c r="G10" s="81">
        <f>33067+(364+182)</f>
        <v>33613</v>
      </c>
      <c r="H10" s="50" t="str">
        <f t="shared" si="0"/>
        <v>Jan</v>
      </c>
      <c r="I10" s="51">
        <f t="shared" ca="1" si="1"/>
        <v>24</v>
      </c>
      <c r="J10" s="52" t="s">
        <v>267</v>
      </c>
      <c r="K10" s="53">
        <v>82500</v>
      </c>
      <c r="L10" s="54">
        <v>5</v>
      </c>
      <c r="M10" s="59">
        <f t="shared" si="2"/>
        <v>82500</v>
      </c>
      <c r="R10" s="61">
        <v>75000</v>
      </c>
      <c r="S10" s="62">
        <v>0.11</v>
      </c>
      <c r="U10" s="64"/>
      <c r="V10" s="65"/>
      <c r="W10" s="65"/>
      <c r="X10" s="65"/>
      <c r="Y10" s="65"/>
      <c r="Z10" s="65"/>
      <c r="AB10" s="66"/>
      <c r="AC10" s="67"/>
      <c r="AD10" s="67"/>
      <c r="AE10" s="67"/>
      <c r="AF10" s="67"/>
    </row>
    <row r="11" spans="1:33">
      <c r="A11" s="39" t="s">
        <v>585</v>
      </c>
      <c r="B11" s="46" t="s">
        <v>285</v>
      </c>
      <c r="C11" s="39" t="s">
        <v>465</v>
      </c>
      <c r="D11" s="102">
        <v>291715078</v>
      </c>
      <c r="E11" s="102">
        <v>9197662359</v>
      </c>
      <c r="F11" s="39" t="s">
        <v>256</v>
      </c>
      <c r="G11" s="81">
        <f>33067+(364+182)</f>
        <v>33613</v>
      </c>
      <c r="H11" s="50" t="str">
        <f t="shared" si="0"/>
        <v>Jan</v>
      </c>
      <c r="I11" s="51">
        <f t="shared" ca="1" si="1"/>
        <v>24</v>
      </c>
      <c r="J11" s="52" t="s">
        <v>586</v>
      </c>
      <c r="K11" s="53">
        <v>56900</v>
      </c>
      <c r="L11" s="54">
        <v>5</v>
      </c>
      <c r="M11" s="59">
        <f t="shared" si="2"/>
        <v>56900</v>
      </c>
      <c r="R11" s="61">
        <v>85000</v>
      </c>
      <c r="S11" s="62">
        <v>0.12</v>
      </c>
      <c r="U11" s="64"/>
      <c r="V11" s="68"/>
      <c r="W11" s="68"/>
      <c r="X11" s="68"/>
      <c r="Y11" s="68"/>
      <c r="Z11" s="68"/>
      <c r="AA11" s="69"/>
      <c r="AB11" s="70"/>
      <c r="AC11" s="52"/>
      <c r="AD11" s="52"/>
      <c r="AE11" s="52"/>
      <c r="AF11" s="52"/>
    </row>
    <row r="12" spans="1:33">
      <c r="A12" s="39" t="s">
        <v>690</v>
      </c>
      <c r="B12" s="46" t="s">
        <v>280</v>
      </c>
      <c r="C12" s="39" t="s">
        <v>678</v>
      </c>
      <c r="D12" s="102">
        <v>247555666</v>
      </c>
      <c r="E12" s="102">
        <v>2528183445</v>
      </c>
      <c r="F12" s="39" t="s">
        <v>256</v>
      </c>
      <c r="G12" s="81">
        <f>33071+(364+182)</f>
        <v>33617</v>
      </c>
      <c r="H12" s="50" t="str">
        <f t="shared" si="0"/>
        <v>Jan</v>
      </c>
      <c r="I12" s="51">
        <f t="shared" ca="1" si="1"/>
        <v>24</v>
      </c>
      <c r="J12" s="52" t="s">
        <v>257</v>
      </c>
      <c r="K12" s="53">
        <v>39110</v>
      </c>
      <c r="L12" s="54">
        <v>5</v>
      </c>
      <c r="M12" s="59">
        <f t="shared" si="2"/>
        <v>39110</v>
      </c>
      <c r="R12" s="61">
        <v>95000</v>
      </c>
      <c r="S12" s="62">
        <v>0.13</v>
      </c>
      <c r="U12" s="64"/>
      <c r="V12" s="68"/>
      <c r="W12" s="68"/>
      <c r="X12" s="68"/>
      <c r="Y12" s="68"/>
      <c r="Z12" s="68"/>
      <c r="AA12" s="52"/>
      <c r="AB12" s="70"/>
      <c r="AC12" s="52"/>
      <c r="AD12" s="52"/>
      <c r="AE12" s="52"/>
      <c r="AF12" s="52"/>
    </row>
    <row r="13" spans="1:33">
      <c r="A13" s="39" t="s">
        <v>315</v>
      </c>
      <c r="B13" s="46" t="s">
        <v>285</v>
      </c>
      <c r="C13" s="39" t="s">
        <v>312</v>
      </c>
      <c r="D13" s="102">
        <v>260815239</v>
      </c>
      <c r="E13" s="102">
        <v>2523040292</v>
      </c>
      <c r="F13" s="39" t="s">
        <v>252</v>
      </c>
      <c r="G13" s="81">
        <f>33074+(364+182)</f>
        <v>33620</v>
      </c>
      <c r="H13" s="50" t="str">
        <f t="shared" si="0"/>
        <v>Jan</v>
      </c>
      <c r="I13" s="51">
        <f t="shared" ca="1" si="1"/>
        <v>24</v>
      </c>
      <c r="J13" s="52"/>
      <c r="K13" s="53">
        <v>14568</v>
      </c>
      <c r="L13" s="54">
        <v>3</v>
      </c>
      <c r="M13" s="59">
        <f t="shared" si="2"/>
        <v>14568</v>
      </c>
      <c r="O13" s="101"/>
      <c r="R13" s="71"/>
      <c r="U13" s="64"/>
      <c r="V13" s="68"/>
      <c r="W13" s="68"/>
      <c r="X13" s="68"/>
      <c r="Y13" s="68"/>
      <c r="Z13" s="68"/>
      <c r="AA13" s="52"/>
      <c r="AB13" s="70"/>
      <c r="AC13" s="52"/>
      <c r="AD13" s="52"/>
      <c r="AE13" s="52"/>
      <c r="AF13" s="52"/>
    </row>
    <row r="14" spans="1:33">
      <c r="A14" s="39" t="s">
        <v>715</v>
      </c>
      <c r="B14" s="46" t="s">
        <v>245</v>
      </c>
      <c r="C14" s="39" t="s">
        <v>705</v>
      </c>
      <c r="D14" s="102">
        <v>724193735</v>
      </c>
      <c r="E14" s="102">
        <v>2528627048</v>
      </c>
      <c r="F14" s="39" t="s">
        <v>256</v>
      </c>
      <c r="G14" s="81">
        <f>33074+(364+182)</f>
        <v>33620</v>
      </c>
      <c r="H14" s="50" t="str">
        <f t="shared" si="0"/>
        <v>Jan</v>
      </c>
      <c r="I14" s="51">
        <f t="shared" ca="1" si="1"/>
        <v>24</v>
      </c>
      <c r="J14" s="52" t="s">
        <v>283</v>
      </c>
      <c r="K14" s="53">
        <v>43190</v>
      </c>
      <c r="L14" s="54">
        <v>2</v>
      </c>
      <c r="M14" s="59">
        <f t="shared" si="2"/>
        <v>43190</v>
      </c>
      <c r="R14" s="71"/>
      <c r="U14" s="64"/>
      <c r="V14" s="68"/>
      <c r="W14" s="68"/>
      <c r="X14" s="68"/>
      <c r="Y14" s="68"/>
      <c r="Z14" s="68"/>
      <c r="AA14" s="52"/>
      <c r="AB14" s="70"/>
      <c r="AC14" s="52"/>
      <c r="AD14" s="52"/>
      <c r="AE14" s="52"/>
      <c r="AF14" s="52"/>
    </row>
    <row r="15" spans="1:33">
      <c r="A15" s="39" t="s">
        <v>491</v>
      </c>
      <c r="B15" s="46" t="s">
        <v>271</v>
      </c>
      <c r="C15" s="39" t="s">
        <v>465</v>
      </c>
      <c r="D15" s="102">
        <v>806508287</v>
      </c>
      <c r="E15" s="102">
        <v>2528801464</v>
      </c>
      <c r="F15" s="39" t="s">
        <v>256</v>
      </c>
      <c r="G15" s="81">
        <f>33085+(364+182)</f>
        <v>33631</v>
      </c>
      <c r="H15" s="50" t="str">
        <f t="shared" si="0"/>
        <v>Jan</v>
      </c>
      <c r="I15" s="51">
        <f t="shared" ca="1" si="1"/>
        <v>24</v>
      </c>
      <c r="J15" s="52" t="s">
        <v>257</v>
      </c>
      <c r="K15" s="53">
        <v>52940</v>
      </c>
      <c r="L15" s="54">
        <v>4</v>
      </c>
      <c r="M15" s="59">
        <f t="shared" si="2"/>
        <v>52940</v>
      </c>
      <c r="U15" s="64"/>
      <c r="V15" s="68"/>
      <c r="W15" s="68"/>
      <c r="X15" s="68"/>
      <c r="Y15" s="68"/>
      <c r="Z15" s="68"/>
      <c r="AA15" s="52"/>
      <c r="AB15" s="70"/>
      <c r="AC15" s="52"/>
      <c r="AD15" s="52"/>
      <c r="AE15" s="52"/>
      <c r="AF15" s="52"/>
    </row>
    <row r="16" spans="1:33">
      <c r="A16" s="39" t="s">
        <v>952</v>
      </c>
      <c r="B16" s="46" t="s">
        <v>285</v>
      </c>
      <c r="C16" s="39" t="s">
        <v>930</v>
      </c>
      <c r="D16" s="102">
        <v>656572514</v>
      </c>
      <c r="E16" s="102">
        <v>9193679666</v>
      </c>
      <c r="F16" s="39" t="s">
        <v>247</v>
      </c>
      <c r="G16" s="81">
        <f>33428+(364+182)</f>
        <v>33974</v>
      </c>
      <c r="H16" s="50" t="str">
        <f t="shared" si="0"/>
        <v>Jan</v>
      </c>
      <c r="I16" s="51">
        <f t="shared" ca="1" si="1"/>
        <v>23</v>
      </c>
      <c r="J16" s="52"/>
      <c r="K16" s="53">
        <v>70150</v>
      </c>
      <c r="L16" s="54">
        <v>2</v>
      </c>
      <c r="M16" s="59">
        <f t="shared" si="2"/>
        <v>70150</v>
      </c>
      <c r="U16" s="64"/>
      <c r="V16" s="68"/>
      <c r="W16" s="68"/>
      <c r="X16" s="68"/>
      <c r="Y16" s="68"/>
      <c r="Z16" s="68"/>
      <c r="AA16" s="52"/>
      <c r="AB16" s="70"/>
      <c r="AC16" s="52"/>
      <c r="AD16" s="52"/>
      <c r="AE16" s="52"/>
      <c r="AF16" s="52"/>
    </row>
    <row r="17" spans="1:32">
      <c r="A17" s="39" t="s">
        <v>1002</v>
      </c>
      <c r="B17" s="46" t="s">
        <v>271</v>
      </c>
      <c r="C17" s="39" t="s">
        <v>930</v>
      </c>
      <c r="D17" s="102">
        <v>317749924</v>
      </c>
      <c r="E17" s="102">
        <v>9193441810</v>
      </c>
      <c r="F17" s="39" t="s">
        <v>247</v>
      </c>
      <c r="G17" s="81">
        <f>33431+(364+182)</f>
        <v>33977</v>
      </c>
      <c r="H17" s="50" t="str">
        <f t="shared" si="0"/>
        <v>Jan</v>
      </c>
      <c r="I17" s="51">
        <f t="shared" ca="1" si="1"/>
        <v>23</v>
      </c>
      <c r="J17" s="52"/>
      <c r="K17" s="53">
        <v>63290</v>
      </c>
      <c r="L17" s="54">
        <v>5</v>
      </c>
      <c r="M17" s="59">
        <f t="shared" si="2"/>
        <v>63290</v>
      </c>
      <c r="V17" s="74"/>
      <c r="W17" s="74"/>
      <c r="X17" s="74"/>
      <c r="Y17" s="74"/>
      <c r="Z17" s="52"/>
      <c r="AA17" s="52"/>
      <c r="AB17" s="52"/>
      <c r="AC17" s="52"/>
      <c r="AD17" s="52"/>
      <c r="AE17" s="52"/>
      <c r="AF17" s="52"/>
    </row>
    <row r="18" spans="1:32">
      <c r="A18" s="39" t="s">
        <v>954</v>
      </c>
      <c r="B18" s="46" t="s">
        <v>280</v>
      </c>
      <c r="C18" s="39" t="s">
        <v>930</v>
      </c>
      <c r="D18" s="102">
        <v>364525917</v>
      </c>
      <c r="E18" s="102">
        <v>2522787318</v>
      </c>
      <c r="F18" s="39" t="s">
        <v>256</v>
      </c>
      <c r="G18" s="81">
        <f>33432+(364+182)</f>
        <v>33978</v>
      </c>
      <c r="H18" s="50" t="str">
        <f t="shared" si="0"/>
        <v>Jan</v>
      </c>
      <c r="I18" s="51">
        <f t="shared" ca="1" si="1"/>
        <v>23</v>
      </c>
      <c r="J18" s="52" t="s">
        <v>283</v>
      </c>
      <c r="K18" s="53">
        <v>46410</v>
      </c>
      <c r="L18" s="54">
        <v>2</v>
      </c>
      <c r="M18" s="59">
        <f t="shared" si="2"/>
        <v>46410</v>
      </c>
    </row>
    <row r="19" spans="1:32">
      <c r="A19" s="39" t="s">
        <v>577</v>
      </c>
      <c r="B19" s="46" t="s">
        <v>271</v>
      </c>
      <c r="C19" s="39" t="s">
        <v>465</v>
      </c>
      <c r="D19" s="102">
        <v>820244290</v>
      </c>
      <c r="E19" s="102">
        <v>9194944596</v>
      </c>
      <c r="F19" s="39" t="s">
        <v>247</v>
      </c>
      <c r="G19" s="81">
        <f>33433+(364+182)</f>
        <v>33979</v>
      </c>
      <c r="H19" s="50" t="str">
        <f t="shared" si="0"/>
        <v>Jan</v>
      </c>
      <c r="I19" s="51">
        <f t="shared" ca="1" si="1"/>
        <v>23</v>
      </c>
      <c r="J19" s="52"/>
      <c r="K19" s="53">
        <v>73990</v>
      </c>
      <c r="L19" s="54">
        <v>3</v>
      </c>
      <c r="M19" s="59">
        <f t="shared" si="2"/>
        <v>73990</v>
      </c>
    </row>
    <row r="20" spans="1:32">
      <c r="A20" s="39" t="s">
        <v>367</v>
      </c>
      <c r="B20" s="46" t="s">
        <v>245</v>
      </c>
      <c r="C20" s="39" t="s">
        <v>312</v>
      </c>
      <c r="D20" s="102">
        <v>648911225</v>
      </c>
      <c r="E20" s="102">
        <v>2525829090</v>
      </c>
      <c r="F20" s="39" t="s">
        <v>247</v>
      </c>
      <c r="G20" s="81">
        <f>33435+(364+182)</f>
        <v>33981</v>
      </c>
      <c r="H20" s="50" t="str">
        <f t="shared" si="0"/>
        <v>Jan</v>
      </c>
      <c r="I20" s="51">
        <f t="shared" ca="1" si="1"/>
        <v>23</v>
      </c>
      <c r="J20" s="52"/>
      <c r="K20" s="53">
        <v>83020</v>
      </c>
      <c r="L20" s="54">
        <v>4</v>
      </c>
      <c r="M20" s="59">
        <f t="shared" si="2"/>
        <v>83020</v>
      </c>
    </row>
    <row r="21" spans="1:32">
      <c r="A21" s="39" t="s">
        <v>598</v>
      </c>
      <c r="B21" s="46" t="s">
        <v>271</v>
      </c>
      <c r="C21" s="39" t="s">
        <v>465</v>
      </c>
      <c r="D21" s="102">
        <v>505966230</v>
      </c>
      <c r="E21" s="102">
        <v>9198038161</v>
      </c>
      <c r="F21" s="39" t="s">
        <v>256</v>
      </c>
      <c r="G21" s="81">
        <f>33447+(364+182)</f>
        <v>33993</v>
      </c>
      <c r="H21" s="50" t="str">
        <f t="shared" si="0"/>
        <v>Jan</v>
      </c>
      <c r="I21" s="51">
        <f t="shared" ca="1" si="1"/>
        <v>23</v>
      </c>
      <c r="J21" s="52" t="s">
        <v>283</v>
      </c>
      <c r="K21" s="53">
        <v>45500</v>
      </c>
      <c r="L21" s="54">
        <v>3</v>
      </c>
      <c r="M21" s="59">
        <f t="shared" si="2"/>
        <v>45500</v>
      </c>
    </row>
    <row r="22" spans="1:32">
      <c r="A22" s="39" t="s">
        <v>400</v>
      </c>
      <c r="B22" s="46" t="s">
        <v>285</v>
      </c>
      <c r="C22" s="39" t="s">
        <v>391</v>
      </c>
      <c r="D22" s="102">
        <v>585815837</v>
      </c>
      <c r="E22" s="102">
        <v>9194983657</v>
      </c>
      <c r="F22" s="39" t="s">
        <v>261</v>
      </c>
      <c r="G22" s="81">
        <f>33448+(364+182)</f>
        <v>33994</v>
      </c>
      <c r="H22" s="50" t="str">
        <f t="shared" si="0"/>
        <v>Jan</v>
      </c>
      <c r="I22" s="51">
        <f t="shared" ca="1" si="1"/>
        <v>23</v>
      </c>
      <c r="J22" s="52" t="s">
        <v>276</v>
      </c>
      <c r="K22" s="53">
        <v>18655</v>
      </c>
      <c r="L22" s="54">
        <v>4</v>
      </c>
      <c r="M22" s="59">
        <f t="shared" si="2"/>
        <v>18655</v>
      </c>
    </row>
    <row r="23" spans="1:32">
      <c r="A23" s="39" t="s">
        <v>879</v>
      </c>
      <c r="B23" s="46" t="s">
        <v>271</v>
      </c>
      <c r="C23" s="39" t="s">
        <v>856</v>
      </c>
      <c r="D23" s="102">
        <v>102159909</v>
      </c>
      <c r="E23" s="102">
        <v>2521868104</v>
      </c>
      <c r="F23" s="39" t="s">
        <v>252</v>
      </c>
      <c r="G23" s="81">
        <f>33799+(364+182)</f>
        <v>34345</v>
      </c>
      <c r="H23" s="50" t="str">
        <f t="shared" si="0"/>
        <v>Jan</v>
      </c>
      <c r="I23" s="51">
        <f t="shared" ca="1" si="1"/>
        <v>22</v>
      </c>
      <c r="J23" s="52"/>
      <c r="K23" s="53">
        <v>36788</v>
      </c>
      <c r="L23" s="54">
        <v>4</v>
      </c>
      <c r="M23" s="59">
        <f t="shared" si="2"/>
        <v>36788</v>
      </c>
    </row>
    <row r="24" spans="1:32">
      <c r="A24" s="39" t="s">
        <v>707</v>
      </c>
      <c r="B24" s="46" t="s">
        <v>280</v>
      </c>
      <c r="C24" s="39" t="s">
        <v>705</v>
      </c>
      <c r="D24" s="102">
        <v>542214575</v>
      </c>
      <c r="E24" s="102">
        <v>2522172913</v>
      </c>
      <c r="F24" s="39" t="s">
        <v>256</v>
      </c>
      <c r="G24" s="81">
        <f>34156+(364+182)</f>
        <v>34702</v>
      </c>
      <c r="H24" s="50" t="str">
        <f t="shared" si="0"/>
        <v>Jan</v>
      </c>
      <c r="I24" s="51">
        <f t="shared" ca="1" si="1"/>
        <v>21</v>
      </c>
      <c r="J24" s="52" t="s">
        <v>257</v>
      </c>
      <c r="K24" s="53">
        <v>87030</v>
      </c>
      <c r="L24" s="54">
        <v>3</v>
      </c>
      <c r="M24" s="59">
        <f t="shared" si="2"/>
        <v>87030</v>
      </c>
    </row>
    <row r="25" spans="1:32">
      <c r="A25" s="39" t="s">
        <v>974</v>
      </c>
      <c r="B25" s="46" t="s">
        <v>271</v>
      </c>
      <c r="C25" s="39" t="s">
        <v>930</v>
      </c>
      <c r="D25" s="102">
        <v>375875723</v>
      </c>
      <c r="E25" s="102">
        <v>2526026842</v>
      </c>
      <c r="F25" s="39" t="s">
        <v>247</v>
      </c>
      <c r="G25" s="81">
        <f>34177+(364+182)</f>
        <v>34723</v>
      </c>
      <c r="H25" s="50" t="str">
        <f t="shared" si="0"/>
        <v>Jan</v>
      </c>
      <c r="I25" s="51">
        <f t="shared" ca="1" si="1"/>
        <v>21</v>
      </c>
      <c r="J25" s="52"/>
      <c r="K25" s="53">
        <v>64263</v>
      </c>
      <c r="L25" s="54">
        <v>3</v>
      </c>
      <c r="M25" s="59">
        <f t="shared" si="2"/>
        <v>64263</v>
      </c>
    </row>
    <row r="26" spans="1:32">
      <c r="A26" s="39" t="s">
        <v>804</v>
      </c>
      <c r="B26" s="46" t="s">
        <v>271</v>
      </c>
      <c r="C26" s="39" t="s">
        <v>767</v>
      </c>
      <c r="D26" s="102">
        <v>494754997</v>
      </c>
      <c r="E26" s="102">
        <v>9195617115</v>
      </c>
      <c r="F26" s="39" t="s">
        <v>247</v>
      </c>
      <c r="G26" s="81">
        <f>34180+(364+182)</f>
        <v>34726</v>
      </c>
      <c r="H26" s="50" t="str">
        <f t="shared" si="0"/>
        <v>Jan</v>
      </c>
      <c r="I26" s="51">
        <f t="shared" ca="1" si="1"/>
        <v>21</v>
      </c>
      <c r="J26" s="52"/>
      <c r="K26" s="53">
        <v>33120</v>
      </c>
      <c r="L26" s="54">
        <v>2</v>
      </c>
      <c r="M26" s="59">
        <f t="shared" si="2"/>
        <v>33120</v>
      </c>
    </row>
    <row r="27" spans="1:32">
      <c r="A27" s="39" t="s">
        <v>419</v>
      </c>
      <c r="B27" s="46" t="s">
        <v>285</v>
      </c>
      <c r="C27" s="39" t="s">
        <v>417</v>
      </c>
      <c r="D27" s="102">
        <v>425598783</v>
      </c>
      <c r="E27" s="102">
        <v>9191559081</v>
      </c>
      <c r="F27" s="39" t="s">
        <v>261</v>
      </c>
      <c r="G27" s="81">
        <f>34524+(364+182)</f>
        <v>35070</v>
      </c>
      <c r="H27" s="50" t="str">
        <f t="shared" si="0"/>
        <v>Jan</v>
      </c>
      <c r="I27" s="51">
        <f t="shared" ca="1" si="1"/>
        <v>20</v>
      </c>
      <c r="J27" s="52" t="s">
        <v>276</v>
      </c>
      <c r="K27" s="53">
        <v>21220</v>
      </c>
      <c r="L27" s="54">
        <v>3</v>
      </c>
      <c r="M27" s="59">
        <f t="shared" si="2"/>
        <v>21220</v>
      </c>
    </row>
    <row r="28" spans="1:32">
      <c r="A28" s="39" t="s">
        <v>416</v>
      </c>
      <c r="B28" s="46" t="s">
        <v>271</v>
      </c>
      <c r="C28" s="39" t="s">
        <v>417</v>
      </c>
      <c r="D28" s="102">
        <v>707553376</v>
      </c>
      <c r="E28" s="102">
        <v>9194194193</v>
      </c>
      <c r="F28" s="39" t="s">
        <v>256</v>
      </c>
      <c r="G28" s="81">
        <f>34538+(364+182)</f>
        <v>35084</v>
      </c>
      <c r="H28" s="50" t="str">
        <f t="shared" si="0"/>
        <v>Jan</v>
      </c>
      <c r="I28" s="51">
        <f t="shared" ca="1" si="1"/>
        <v>20</v>
      </c>
      <c r="J28" s="52" t="s">
        <v>276</v>
      </c>
      <c r="K28" s="53">
        <v>49260</v>
      </c>
      <c r="L28" s="54">
        <v>3</v>
      </c>
      <c r="M28" s="59">
        <f t="shared" si="2"/>
        <v>49260</v>
      </c>
    </row>
    <row r="29" spans="1:32">
      <c r="A29" s="39" t="s">
        <v>318</v>
      </c>
      <c r="B29" s="46" t="s">
        <v>271</v>
      </c>
      <c r="C29" s="39" t="s">
        <v>312</v>
      </c>
      <c r="D29" s="102">
        <v>923665952</v>
      </c>
      <c r="E29" s="102">
        <v>2525295649</v>
      </c>
      <c r="F29" s="39" t="s">
        <v>256</v>
      </c>
      <c r="G29" s="81">
        <f>34540+(364+182)</f>
        <v>35086</v>
      </c>
      <c r="H29" s="50" t="str">
        <f t="shared" si="0"/>
        <v>Jan</v>
      </c>
      <c r="I29" s="51">
        <f t="shared" ca="1" si="1"/>
        <v>20</v>
      </c>
      <c r="J29" s="52" t="s">
        <v>267</v>
      </c>
      <c r="K29" s="53">
        <v>77350</v>
      </c>
      <c r="L29" s="54">
        <v>5</v>
      </c>
      <c r="M29" s="59">
        <f t="shared" si="2"/>
        <v>77350</v>
      </c>
      <c r="N29" s="107"/>
    </row>
    <row r="30" spans="1:32">
      <c r="A30" s="39" t="s">
        <v>850</v>
      </c>
      <c r="B30" s="46" t="s">
        <v>245</v>
      </c>
      <c r="C30" s="39" t="s">
        <v>767</v>
      </c>
      <c r="D30" s="102">
        <v>828715080</v>
      </c>
      <c r="E30" s="102">
        <v>2523613559</v>
      </c>
      <c r="F30" s="39" t="s">
        <v>256</v>
      </c>
      <c r="G30" s="81">
        <f>34548+(364+182)</f>
        <v>35094</v>
      </c>
      <c r="H30" s="50" t="str">
        <f t="shared" si="0"/>
        <v>Jan</v>
      </c>
      <c r="I30" s="51">
        <f t="shared" ca="1" si="1"/>
        <v>20</v>
      </c>
      <c r="J30" s="52" t="s">
        <v>262</v>
      </c>
      <c r="K30" s="53">
        <v>61148</v>
      </c>
      <c r="L30" s="54">
        <v>2</v>
      </c>
      <c r="M30" s="59">
        <f t="shared" si="2"/>
        <v>61148</v>
      </c>
    </row>
    <row r="31" spans="1:32">
      <c r="A31" s="39" t="s">
        <v>694</v>
      </c>
      <c r="B31" s="46" t="s">
        <v>285</v>
      </c>
      <c r="C31" s="39" t="s">
        <v>678</v>
      </c>
      <c r="D31" s="102">
        <v>557568959</v>
      </c>
      <c r="E31" s="102">
        <v>9192783818</v>
      </c>
      <c r="F31" s="39" t="s">
        <v>247</v>
      </c>
      <c r="G31" s="81">
        <f>34901+(364+182)</f>
        <v>35447</v>
      </c>
      <c r="H31" s="50" t="str">
        <f t="shared" si="0"/>
        <v>Jan</v>
      </c>
      <c r="I31" s="51">
        <f t="shared" ca="1" si="1"/>
        <v>19</v>
      </c>
      <c r="J31" s="52"/>
      <c r="K31" s="53">
        <v>54190</v>
      </c>
      <c r="L31" s="54">
        <v>4</v>
      </c>
      <c r="M31" s="59">
        <f t="shared" si="2"/>
        <v>54190</v>
      </c>
    </row>
    <row r="32" spans="1:32">
      <c r="A32" s="39" t="s">
        <v>389</v>
      </c>
      <c r="B32" s="46" t="s">
        <v>271</v>
      </c>
      <c r="C32" s="39" t="s">
        <v>381</v>
      </c>
      <c r="D32" s="102">
        <v>943671719</v>
      </c>
      <c r="E32" s="102">
        <v>9193517837</v>
      </c>
      <c r="F32" s="39" t="s">
        <v>256</v>
      </c>
      <c r="G32" s="81">
        <f>34903+(364+182)</f>
        <v>35449</v>
      </c>
      <c r="H32" s="50" t="str">
        <f t="shared" si="0"/>
        <v>Jan</v>
      </c>
      <c r="I32" s="51">
        <f t="shared" ca="1" si="1"/>
        <v>19</v>
      </c>
      <c r="J32" s="52" t="s">
        <v>283</v>
      </c>
      <c r="K32" s="53">
        <v>22920</v>
      </c>
      <c r="L32" s="54">
        <v>3</v>
      </c>
      <c r="M32" s="59">
        <f t="shared" si="2"/>
        <v>22920</v>
      </c>
    </row>
    <row r="33" spans="1:17">
      <c r="A33" s="39" t="s">
        <v>542</v>
      </c>
      <c r="B33" s="46" t="s">
        <v>271</v>
      </c>
      <c r="C33" s="39" t="s">
        <v>465</v>
      </c>
      <c r="D33" s="102">
        <v>616417564</v>
      </c>
      <c r="E33" s="102">
        <v>9191806180</v>
      </c>
      <c r="F33" s="39" t="s">
        <v>247</v>
      </c>
      <c r="G33" s="81">
        <f>34905+(364+182)</f>
        <v>35451</v>
      </c>
      <c r="H33" s="50" t="str">
        <f t="shared" si="0"/>
        <v>Jan</v>
      </c>
      <c r="I33" s="51">
        <f t="shared" ca="1" si="1"/>
        <v>19</v>
      </c>
      <c r="J33" s="52"/>
      <c r="K33" s="53">
        <v>42150</v>
      </c>
      <c r="L33" s="54">
        <v>5</v>
      </c>
      <c r="M33" s="59">
        <f t="shared" si="2"/>
        <v>42150</v>
      </c>
    </row>
    <row r="34" spans="1:17">
      <c r="A34" s="39" t="s">
        <v>699</v>
      </c>
      <c r="B34" s="46" t="s">
        <v>245</v>
      </c>
      <c r="C34" s="39" t="s">
        <v>700</v>
      </c>
      <c r="D34" s="102">
        <v>252582122</v>
      </c>
      <c r="E34" s="102">
        <v>9197764351</v>
      </c>
      <c r="F34" s="39" t="s">
        <v>247</v>
      </c>
      <c r="G34" s="81">
        <f>34905+(364+182)</f>
        <v>35451</v>
      </c>
      <c r="H34" s="50" t="str">
        <f t="shared" si="0"/>
        <v>Jan</v>
      </c>
      <c r="I34" s="51">
        <f t="shared" ca="1" si="1"/>
        <v>19</v>
      </c>
      <c r="J34" s="52"/>
      <c r="K34" s="53">
        <v>25120</v>
      </c>
      <c r="L34" s="54">
        <v>2</v>
      </c>
      <c r="M34" s="59">
        <f t="shared" si="2"/>
        <v>25120</v>
      </c>
    </row>
    <row r="35" spans="1:17">
      <c r="A35" s="39" t="s">
        <v>912</v>
      </c>
      <c r="B35" s="46" t="s">
        <v>245</v>
      </c>
      <c r="C35" s="39" t="s">
        <v>856</v>
      </c>
      <c r="D35" s="102">
        <v>426014550</v>
      </c>
      <c r="E35" s="102">
        <v>2522889182</v>
      </c>
      <c r="F35" s="39" t="s">
        <v>256</v>
      </c>
      <c r="G35" s="81">
        <f>34905+(364+182)</f>
        <v>35451</v>
      </c>
      <c r="H35" s="50" t="str">
        <f t="shared" si="0"/>
        <v>Jan</v>
      </c>
      <c r="I35" s="51">
        <f t="shared" ca="1" si="1"/>
        <v>19</v>
      </c>
      <c r="J35" s="52" t="s">
        <v>276</v>
      </c>
      <c r="K35" s="53">
        <v>62965</v>
      </c>
      <c r="L35" s="54">
        <v>1</v>
      </c>
      <c r="M35" s="59">
        <f t="shared" si="2"/>
        <v>62965</v>
      </c>
    </row>
    <row r="36" spans="1:17">
      <c r="A36" s="39" t="s">
        <v>300</v>
      </c>
      <c r="B36" s="46" t="s">
        <v>271</v>
      </c>
      <c r="C36" s="39" t="s">
        <v>296</v>
      </c>
      <c r="D36" s="102">
        <v>216607562</v>
      </c>
      <c r="E36" s="102">
        <v>2521593705</v>
      </c>
      <c r="F36" s="39" t="s">
        <v>256</v>
      </c>
      <c r="G36" s="81">
        <f>34913+(364+182)</f>
        <v>35459</v>
      </c>
      <c r="H36" s="50" t="str">
        <f t="shared" si="0"/>
        <v>Jan</v>
      </c>
      <c r="I36" s="51">
        <f t="shared" ca="1" si="1"/>
        <v>19</v>
      </c>
      <c r="J36" s="52" t="s">
        <v>283</v>
      </c>
      <c r="K36" s="53">
        <v>49360</v>
      </c>
      <c r="L36" s="54">
        <v>2</v>
      </c>
      <c r="M36" s="59">
        <f t="shared" si="2"/>
        <v>49360</v>
      </c>
    </row>
    <row r="37" spans="1:17">
      <c r="A37" s="39" t="s">
        <v>605</v>
      </c>
      <c r="B37" s="46" t="s">
        <v>251</v>
      </c>
      <c r="C37" s="39" t="s">
        <v>465</v>
      </c>
      <c r="D37" s="102">
        <v>338977629</v>
      </c>
      <c r="E37" s="102">
        <v>2524252315</v>
      </c>
      <c r="F37" s="39" t="s">
        <v>256</v>
      </c>
      <c r="G37" s="81">
        <f>35255+(364+182)</f>
        <v>35801</v>
      </c>
      <c r="H37" s="50" t="str">
        <f t="shared" si="0"/>
        <v>Jan</v>
      </c>
      <c r="I37" s="51">
        <f t="shared" ca="1" si="1"/>
        <v>18</v>
      </c>
      <c r="J37" s="52" t="s">
        <v>257</v>
      </c>
      <c r="K37" s="53">
        <v>78570</v>
      </c>
      <c r="L37" s="54">
        <v>1</v>
      </c>
      <c r="M37" s="59">
        <f t="shared" si="2"/>
        <v>78570</v>
      </c>
    </row>
    <row r="38" spans="1:17">
      <c r="A38" s="39" t="s">
        <v>927</v>
      </c>
      <c r="B38" s="46" t="s">
        <v>271</v>
      </c>
      <c r="C38" s="39" t="s">
        <v>856</v>
      </c>
      <c r="D38" s="102">
        <v>668708287</v>
      </c>
      <c r="E38" s="102">
        <v>9191952821</v>
      </c>
      <c r="F38" s="39" t="s">
        <v>247</v>
      </c>
      <c r="G38" s="81">
        <f>35260+(364+182)</f>
        <v>35806</v>
      </c>
      <c r="H38" s="50" t="str">
        <f t="shared" si="0"/>
        <v>Jan</v>
      </c>
      <c r="I38" s="51">
        <f t="shared" ca="1" si="1"/>
        <v>18</v>
      </c>
      <c r="J38" s="52"/>
      <c r="K38" s="53">
        <v>86100</v>
      </c>
      <c r="L38" s="54">
        <v>4</v>
      </c>
      <c r="M38" s="59">
        <f t="shared" si="2"/>
        <v>86100</v>
      </c>
      <c r="P38" s="75"/>
      <c r="Q38" s="75"/>
    </row>
    <row r="39" spans="1:17">
      <c r="A39" s="39" t="s">
        <v>471</v>
      </c>
      <c r="B39" s="46" t="s">
        <v>251</v>
      </c>
      <c r="C39" s="39" t="s">
        <v>465</v>
      </c>
      <c r="D39" s="102">
        <v>100679868</v>
      </c>
      <c r="E39" s="102">
        <v>9198082183</v>
      </c>
      <c r="F39" s="39" t="s">
        <v>261</v>
      </c>
      <c r="G39" s="81">
        <f>35261+(364+182)</f>
        <v>35807</v>
      </c>
      <c r="H39" s="50" t="str">
        <f t="shared" si="0"/>
        <v>Jan</v>
      </c>
      <c r="I39" s="51">
        <f t="shared" ca="1" si="1"/>
        <v>18</v>
      </c>
      <c r="J39" s="52" t="s">
        <v>257</v>
      </c>
      <c r="K39" s="53">
        <v>48835</v>
      </c>
      <c r="L39" s="54">
        <v>5</v>
      </c>
      <c r="M39" s="59">
        <f t="shared" si="2"/>
        <v>48835</v>
      </c>
    </row>
    <row r="40" spans="1:17">
      <c r="A40" s="39" t="s">
        <v>792</v>
      </c>
      <c r="B40" s="46" t="s">
        <v>245</v>
      </c>
      <c r="C40" s="39" t="s">
        <v>767</v>
      </c>
      <c r="D40" s="102">
        <v>217968415</v>
      </c>
      <c r="E40" s="102">
        <v>2522814530</v>
      </c>
      <c r="F40" s="39" t="s">
        <v>256</v>
      </c>
      <c r="G40" s="81">
        <f>35275+(364+182)</f>
        <v>35821</v>
      </c>
      <c r="H40" s="50" t="str">
        <f t="shared" si="0"/>
        <v>Jan</v>
      </c>
      <c r="I40" s="51">
        <f t="shared" ca="1" si="1"/>
        <v>18</v>
      </c>
      <c r="J40" s="52" t="s">
        <v>267</v>
      </c>
      <c r="K40" s="53">
        <v>22870</v>
      </c>
      <c r="L40" s="54">
        <v>3</v>
      </c>
      <c r="M40" s="59">
        <f t="shared" si="2"/>
        <v>22870</v>
      </c>
    </row>
    <row r="41" spans="1:17">
      <c r="A41" s="39" t="s">
        <v>803</v>
      </c>
      <c r="B41" s="46" t="s">
        <v>280</v>
      </c>
      <c r="C41" s="39" t="s">
        <v>767</v>
      </c>
      <c r="D41" s="102">
        <v>451159170</v>
      </c>
      <c r="E41" s="102">
        <v>2522604602</v>
      </c>
      <c r="F41" s="39" t="s">
        <v>261</v>
      </c>
      <c r="G41" s="81">
        <f>35280+(364+182)</f>
        <v>35826</v>
      </c>
      <c r="H41" s="50" t="str">
        <f t="shared" si="0"/>
        <v>Jan</v>
      </c>
      <c r="I41" s="51">
        <f t="shared" ca="1" si="1"/>
        <v>18</v>
      </c>
      <c r="J41" s="52" t="s">
        <v>257</v>
      </c>
      <c r="K41" s="53">
        <v>31205</v>
      </c>
      <c r="L41" s="54">
        <v>2</v>
      </c>
      <c r="M41" s="59">
        <f t="shared" si="2"/>
        <v>31205</v>
      </c>
    </row>
    <row r="42" spans="1:17">
      <c r="A42" s="39" t="s">
        <v>929</v>
      </c>
      <c r="B42" s="46" t="s">
        <v>285</v>
      </c>
      <c r="C42" s="39" t="s">
        <v>930</v>
      </c>
      <c r="D42" s="102">
        <v>695198896</v>
      </c>
      <c r="E42" s="102">
        <v>2523533906</v>
      </c>
      <c r="F42" s="39" t="s">
        <v>247</v>
      </c>
      <c r="G42" s="81">
        <f>35280+(364+182)</f>
        <v>35826</v>
      </c>
      <c r="H42" s="50" t="str">
        <f t="shared" si="0"/>
        <v>Jan</v>
      </c>
      <c r="I42" s="51">
        <f t="shared" ca="1" si="1"/>
        <v>18</v>
      </c>
      <c r="J42" s="52"/>
      <c r="K42" s="53">
        <v>45030</v>
      </c>
      <c r="L42" s="54">
        <v>3</v>
      </c>
      <c r="M42" s="59">
        <f t="shared" si="2"/>
        <v>45030</v>
      </c>
    </row>
    <row r="43" spans="1:17">
      <c r="A43" s="45" t="s">
        <v>255</v>
      </c>
      <c r="B43" s="46" t="s">
        <v>245</v>
      </c>
      <c r="C43" s="45" t="s">
        <v>246</v>
      </c>
      <c r="D43" s="106">
        <v>100432924</v>
      </c>
      <c r="E43" s="106">
        <v>4022804104</v>
      </c>
      <c r="F43" s="45" t="s">
        <v>256</v>
      </c>
      <c r="G43" s="105">
        <f>35625+(364+182)</f>
        <v>36171</v>
      </c>
      <c r="H43" s="50" t="str">
        <f t="shared" si="0"/>
        <v>Jan</v>
      </c>
      <c r="I43" s="51">
        <f t="shared" ca="1" si="1"/>
        <v>17</v>
      </c>
      <c r="J43" s="52" t="s">
        <v>257</v>
      </c>
      <c r="K43" s="53">
        <v>24550</v>
      </c>
      <c r="L43" s="54">
        <v>1</v>
      </c>
      <c r="M43" s="59">
        <f t="shared" si="2"/>
        <v>24550</v>
      </c>
      <c r="N43" s="107"/>
      <c r="O43" s="104"/>
    </row>
    <row r="44" spans="1:17">
      <c r="A44" s="39" t="s">
        <v>687</v>
      </c>
      <c r="B44" s="46" t="s">
        <v>271</v>
      </c>
      <c r="C44" s="39" t="s">
        <v>678</v>
      </c>
      <c r="D44" s="102">
        <v>332302868</v>
      </c>
      <c r="E44" s="102">
        <v>9196109756</v>
      </c>
      <c r="F44" s="39" t="s">
        <v>256</v>
      </c>
      <c r="G44" s="81">
        <f>35629+(364+182)</f>
        <v>36175</v>
      </c>
      <c r="H44" s="50" t="str">
        <f t="shared" si="0"/>
        <v>Jan</v>
      </c>
      <c r="I44" s="51">
        <f t="shared" ca="1" si="1"/>
        <v>17</v>
      </c>
      <c r="J44" s="52" t="s">
        <v>283</v>
      </c>
      <c r="K44" s="53">
        <v>23520</v>
      </c>
      <c r="L44" s="54">
        <v>2</v>
      </c>
      <c r="M44" s="59">
        <f t="shared" si="2"/>
        <v>23520</v>
      </c>
    </row>
    <row r="45" spans="1:17">
      <c r="A45" s="39" t="s">
        <v>399</v>
      </c>
      <c r="B45" s="46" t="s">
        <v>251</v>
      </c>
      <c r="C45" s="39" t="s">
        <v>391</v>
      </c>
      <c r="D45" s="102">
        <v>843875501</v>
      </c>
      <c r="E45" s="102">
        <v>2522715355</v>
      </c>
      <c r="F45" s="39" t="s">
        <v>247</v>
      </c>
      <c r="G45" s="81">
        <f>35630+(364+182)</f>
        <v>36176</v>
      </c>
      <c r="H45" s="50" t="str">
        <f t="shared" si="0"/>
        <v>Jan</v>
      </c>
      <c r="I45" s="51">
        <f t="shared" ca="1" si="1"/>
        <v>17</v>
      </c>
      <c r="J45" s="52"/>
      <c r="K45" s="53">
        <v>32940</v>
      </c>
      <c r="L45" s="54">
        <v>5</v>
      </c>
      <c r="M45" s="59">
        <f t="shared" si="2"/>
        <v>32940</v>
      </c>
    </row>
    <row r="46" spans="1:17">
      <c r="A46" s="39" t="s">
        <v>556</v>
      </c>
      <c r="B46" s="46" t="s">
        <v>271</v>
      </c>
      <c r="C46" s="39" t="s">
        <v>465</v>
      </c>
      <c r="D46" s="102">
        <v>569701716</v>
      </c>
      <c r="E46" s="102">
        <v>2527461285</v>
      </c>
      <c r="F46" s="39" t="s">
        <v>261</v>
      </c>
      <c r="G46" s="81">
        <f>35631+(364+182)</f>
        <v>36177</v>
      </c>
      <c r="H46" s="50" t="str">
        <f t="shared" si="0"/>
        <v>Jan</v>
      </c>
      <c r="I46" s="51">
        <f t="shared" ca="1" si="1"/>
        <v>17</v>
      </c>
      <c r="J46" s="52" t="s">
        <v>267</v>
      </c>
      <c r="K46" s="53">
        <v>21670</v>
      </c>
      <c r="L46" s="54">
        <v>2</v>
      </c>
      <c r="M46" s="59">
        <f t="shared" si="2"/>
        <v>21670</v>
      </c>
    </row>
    <row r="47" spans="1:17">
      <c r="A47" s="39" t="s">
        <v>383</v>
      </c>
      <c r="B47" s="46" t="s">
        <v>280</v>
      </c>
      <c r="C47" s="39" t="s">
        <v>381</v>
      </c>
      <c r="D47" s="102">
        <v>313651312</v>
      </c>
      <c r="E47" s="102">
        <v>2526092172</v>
      </c>
      <c r="F47" s="39" t="s">
        <v>256</v>
      </c>
      <c r="G47" s="81">
        <f>35636+(364+182)</f>
        <v>36182</v>
      </c>
      <c r="H47" s="50" t="str">
        <f t="shared" si="0"/>
        <v>Jan</v>
      </c>
      <c r="I47" s="51">
        <f t="shared" ca="1" si="1"/>
        <v>17</v>
      </c>
      <c r="J47" s="52" t="s">
        <v>283</v>
      </c>
      <c r="K47" s="53">
        <v>68300</v>
      </c>
      <c r="L47" s="54">
        <v>5</v>
      </c>
      <c r="M47" s="59">
        <f t="shared" si="2"/>
        <v>68300</v>
      </c>
    </row>
    <row r="48" spans="1:17">
      <c r="A48" s="39" t="s">
        <v>855</v>
      </c>
      <c r="B48" s="46" t="s">
        <v>285</v>
      </c>
      <c r="C48" s="39" t="s">
        <v>856</v>
      </c>
      <c r="D48" s="102">
        <v>337411408</v>
      </c>
      <c r="E48" s="102">
        <v>9194729409</v>
      </c>
      <c r="F48" s="39" t="s">
        <v>256</v>
      </c>
      <c r="G48" s="81">
        <f>35980+(364+182)</f>
        <v>36526</v>
      </c>
      <c r="H48" s="50" t="str">
        <f t="shared" si="0"/>
        <v>Jan</v>
      </c>
      <c r="I48" s="51">
        <f t="shared" ca="1" si="1"/>
        <v>16</v>
      </c>
      <c r="J48" s="52" t="s">
        <v>257</v>
      </c>
      <c r="K48" s="53">
        <v>29260</v>
      </c>
      <c r="L48" s="54">
        <v>4</v>
      </c>
      <c r="M48" s="59">
        <f t="shared" si="2"/>
        <v>29260</v>
      </c>
    </row>
    <row r="49" spans="1:17">
      <c r="A49" s="39" t="s">
        <v>895</v>
      </c>
      <c r="B49" s="46" t="s">
        <v>271</v>
      </c>
      <c r="C49" s="39" t="s">
        <v>856</v>
      </c>
      <c r="D49" s="102">
        <v>836953739</v>
      </c>
      <c r="E49" s="102">
        <v>2526443692</v>
      </c>
      <c r="F49" s="39" t="s">
        <v>261</v>
      </c>
      <c r="G49" s="81">
        <f>35985+(364+182)</f>
        <v>36531</v>
      </c>
      <c r="H49" s="50" t="str">
        <f t="shared" si="0"/>
        <v>Jan</v>
      </c>
      <c r="I49" s="51">
        <f t="shared" ca="1" si="1"/>
        <v>16</v>
      </c>
      <c r="J49" s="52" t="s">
        <v>267</v>
      </c>
      <c r="K49" s="53">
        <v>20990</v>
      </c>
      <c r="L49" s="54">
        <v>4</v>
      </c>
      <c r="M49" s="59">
        <f t="shared" si="2"/>
        <v>20990</v>
      </c>
    </row>
    <row r="50" spans="1:17">
      <c r="A50" s="39" t="s">
        <v>569</v>
      </c>
      <c r="B50" s="46" t="s">
        <v>271</v>
      </c>
      <c r="C50" s="39" t="s">
        <v>465</v>
      </c>
      <c r="D50" s="102">
        <v>914326052</v>
      </c>
      <c r="E50" s="102">
        <v>2524249228</v>
      </c>
      <c r="F50" s="39" t="s">
        <v>256</v>
      </c>
      <c r="G50" s="81">
        <f>35989+(364+182)</f>
        <v>36535</v>
      </c>
      <c r="H50" s="50" t="str">
        <f t="shared" si="0"/>
        <v>Jan</v>
      </c>
      <c r="I50" s="51">
        <f t="shared" ca="1" si="1"/>
        <v>16</v>
      </c>
      <c r="J50" s="52" t="s">
        <v>257</v>
      </c>
      <c r="K50" s="53">
        <v>76192</v>
      </c>
      <c r="L50" s="54">
        <v>4</v>
      </c>
      <c r="M50" s="59">
        <f t="shared" si="2"/>
        <v>76192</v>
      </c>
    </row>
    <row r="51" spans="1:17">
      <c r="A51" s="39" t="s">
        <v>806</v>
      </c>
      <c r="B51" s="46" t="s">
        <v>271</v>
      </c>
      <c r="C51" s="39" t="s">
        <v>767</v>
      </c>
      <c r="D51" s="102">
        <v>113252240</v>
      </c>
      <c r="E51" s="102">
        <v>2526712695</v>
      </c>
      <c r="F51" s="39" t="s">
        <v>256</v>
      </c>
      <c r="G51" s="81">
        <f>35990+(364+182)</f>
        <v>36536</v>
      </c>
      <c r="H51" s="50" t="str">
        <f t="shared" si="0"/>
        <v>Jan</v>
      </c>
      <c r="I51" s="51">
        <f t="shared" ca="1" si="1"/>
        <v>16</v>
      </c>
      <c r="J51" s="52" t="s">
        <v>257</v>
      </c>
      <c r="K51" s="53">
        <v>62400</v>
      </c>
      <c r="L51" s="54">
        <v>4</v>
      </c>
      <c r="M51" s="59">
        <f t="shared" si="2"/>
        <v>62400</v>
      </c>
    </row>
    <row r="52" spans="1:17">
      <c r="A52" s="39" t="s">
        <v>931</v>
      </c>
      <c r="B52" s="46" t="s">
        <v>285</v>
      </c>
      <c r="C52" s="39" t="s">
        <v>930</v>
      </c>
      <c r="D52" s="102">
        <v>380304349</v>
      </c>
      <c r="E52" s="102">
        <v>2526129939</v>
      </c>
      <c r="F52" s="39" t="s">
        <v>256</v>
      </c>
      <c r="G52" s="81">
        <f>36003+(364+182)</f>
        <v>36549</v>
      </c>
      <c r="H52" s="50" t="str">
        <f t="shared" si="0"/>
        <v>Jan</v>
      </c>
      <c r="I52" s="51">
        <f t="shared" ca="1" si="1"/>
        <v>16</v>
      </c>
      <c r="J52" s="52" t="s">
        <v>283</v>
      </c>
      <c r="K52" s="53">
        <v>35460</v>
      </c>
      <c r="L52" s="54">
        <v>1</v>
      </c>
      <c r="M52" s="59">
        <f t="shared" si="2"/>
        <v>35460</v>
      </c>
    </row>
    <row r="53" spans="1:17">
      <c r="A53" s="39" t="s">
        <v>303</v>
      </c>
      <c r="B53" s="46" t="s">
        <v>245</v>
      </c>
      <c r="C53" s="39" t="s">
        <v>296</v>
      </c>
      <c r="D53" s="102">
        <v>278431222</v>
      </c>
      <c r="E53" s="102">
        <v>9196699611</v>
      </c>
      <c r="F53" s="39" t="s">
        <v>256</v>
      </c>
      <c r="G53" s="81">
        <f>36347+(364+182)</f>
        <v>36893</v>
      </c>
      <c r="H53" s="50" t="str">
        <f t="shared" si="0"/>
        <v>Jan</v>
      </c>
      <c r="I53" s="51">
        <f t="shared" ca="1" si="1"/>
        <v>15</v>
      </c>
      <c r="J53" s="52" t="s">
        <v>283</v>
      </c>
      <c r="K53" s="53">
        <v>33640</v>
      </c>
      <c r="L53" s="54">
        <v>3</v>
      </c>
      <c r="M53" s="59">
        <f t="shared" si="2"/>
        <v>33640</v>
      </c>
      <c r="P53" s="75"/>
      <c r="Q53" s="75"/>
    </row>
    <row r="54" spans="1:17">
      <c r="A54" s="39" t="s">
        <v>358</v>
      </c>
      <c r="B54" s="46" t="s">
        <v>266</v>
      </c>
      <c r="C54" s="39" t="s">
        <v>312</v>
      </c>
      <c r="D54" s="102">
        <v>867671341</v>
      </c>
      <c r="E54" s="102">
        <v>2528317543</v>
      </c>
      <c r="F54" s="39" t="s">
        <v>261</v>
      </c>
      <c r="G54" s="81">
        <f>36350+(364+182)</f>
        <v>36896</v>
      </c>
      <c r="H54" s="50" t="str">
        <f t="shared" si="0"/>
        <v>Jan</v>
      </c>
      <c r="I54" s="51">
        <f t="shared" ca="1" si="1"/>
        <v>15</v>
      </c>
      <c r="J54" s="52" t="s">
        <v>257</v>
      </c>
      <c r="K54" s="53">
        <v>35280</v>
      </c>
      <c r="L54" s="54">
        <v>3</v>
      </c>
      <c r="M54" s="59">
        <f t="shared" si="2"/>
        <v>35280</v>
      </c>
    </row>
    <row r="55" spans="1:17">
      <c r="A55" s="39" t="s">
        <v>698</v>
      </c>
      <c r="B55" s="46" t="s">
        <v>271</v>
      </c>
      <c r="C55" s="39" t="s">
        <v>678</v>
      </c>
      <c r="D55" s="102">
        <v>221364716</v>
      </c>
      <c r="E55" s="102">
        <v>2521389906</v>
      </c>
      <c r="F55" s="39" t="s">
        <v>256</v>
      </c>
      <c r="G55" s="81">
        <f>36352+(364+182)</f>
        <v>36898</v>
      </c>
      <c r="H55" s="50" t="str">
        <f t="shared" si="0"/>
        <v>Jan</v>
      </c>
      <c r="I55" s="51">
        <f t="shared" ca="1" si="1"/>
        <v>15</v>
      </c>
      <c r="J55" s="52" t="s">
        <v>257</v>
      </c>
      <c r="K55" s="53">
        <v>71820</v>
      </c>
      <c r="L55" s="54">
        <v>2</v>
      </c>
      <c r="M55" s="59">
        <f t="shared" si="2"/>
        <v>71820</v>
      </c>
    </row>
    <row r="56" spans="1:17">
      <c r="A56" s="39" t="s">
        <v>999</v>
      </c>
      <c r="B56" s="46" t="s">
        <v>285</v>
      </c>
      <c r="C56" s="39" t="s">
        <v>930</v>
      </c>
      <c r="D56" s="102">
        <v>879114558</v>
      </c>
      <c r="E56" s="102">
        <v>9194557504</v>
      </c>
      <c r="F56" s="39" t="s">
        <v>261</v>
      </c>
      <c r="G56" s="81">
        <f>36372+(364+182)</f>
        <v>36918</v>
      </c>
      <c r="H56" s="50" t="str">
        <f t="shared" si="0"/>
        <v>Jan</v>
      </c>
      <c r="I56" s="51">
        <f t="shared" ca="1" si="1"/>
        <v>15</v>
      </c>
      <c r="J56" s="52" t="s">
        <v>257</v>
      </c>
      <c r="K56" s="53">
        <v>17205</v>
      </c>
      <c r="L56" s="54">
        <v>5</v>
      </c>
      <c r="M56" s="59">
        <f t="shared" si="2"/>
        <v>17205</v>
      </c>
    </row>
    <row r="57" spans="1:17">
      <c r="A57" s="39" t="s">
        <v>864</v>
      </c>
      <c r="B57" s="46" t="s">
        <v>266</v>
      </c>
      <c r="C57" s="39" t="s">
        <v>856</v>
      </c>
      <c r="D57" s="102">
        <v>313648228</v>
      </c>
      <c r="E57" s="102">
        <v>2524998145</v>
      </c>
      <c r="F57" s="39" t="s">
        <v>256</v>
      </c>
      <c r="G57" s="81">
        <f>37079+(364+182)</f>
        <v>37625</v>
      </c>
      <c r="H57" s="50" t="str">
        <f t="shared" si="0"/>
        <v>Jan</v>
      </c>
      <c r="I57" s="51">
        <f t="shared" ca="1" si="1"/>
        <v>13</v>
      </c>
      <c r="J57" s="52" t="s">
        <v>283</v>
      </c>
      <c r="K57" s="53">
        <v>82490</v>
      </c>
      <c r="L57" s="54">
        <v>5</v>
      </c>
      <c r="M57" s="59">
        <f t="shared" si="2"/>
        <v>82490</v>
      </c>
    </row>
    <row r="58" spans="1:17">
      <c r="A58" s="39" t="s">
        <v>588</v>
      </c>
      <c r="B58" s="46" t="s">
        <v>285</v>
      </c>
      <c r="C58" s="39" t="s">
        <v>465</v>
      </c>
      <c r="D58" s="102">
        <v>948480407</v>
      </c>
      <c r="E58" s="102">
        <v>9191449596</v>
      </c>
      <c r="F58" s="39" t="s">
        <v>247</v>
      </c>
      <c r="G58" s="81">
        <f>37088+(364+182)</f>
        <v>37634</v>
      </c>
      <c r="H58" s="50" t="str">
        <f t="shared" si="0"/>
        <v>Jan</v>
      </c>
      <c r="I58" s="51">
        <f t="shared" ca="1" si="1"/>
        <v>13</v>
      </c>
      <c r="J58" s="52"/>
      <c r="K58" s="53">
        <v>61370</v>
      </c>
      <c r="L58" s="54">
        <v>3</v>
      </c>
      <c r="M58" s="59">
        <f t="shared" si="2"/>
        <v>61370</v>
      </c>
      <c r="P58" s="75"/>
      <c r="Q58" s="75"/>
    </row>
    <row r="59" spans="1:17">
      <c r="A59" s="39" t="s">
        <v>418</v>
      </c>
      <c r="B59" s="46" t="s">
        <v>285</v>
      </c>
      <c r="C59" s="39" t="s">
        <v>417</v>
      </c>
      <c r="D59" s="102">
        <v>575648597</v>
      </c>
      <c r="E59" s="102">
        <v>9198865267</v>
      </c>
      <c r="F59" s="39" t="s">
        <v>247</v>
      </c>
      <c r="G59" s="81">
        <f>37095+(364+182)</f>
        <v>37641</v>
      </c>
      <c r="H59" s="50" t="str">
        <f t="shared" si="0"/>
        <v>Jan</v>
      </c>
      <c r="I59" s="51">
        <f t="shared" ca="1" si="1"/>
        <v>13</v>
      </c>
      <c r="J59" s="52"/>
      <c r="K59" s="53">
        <v>31970</v>
      </c>
      <c r="L59" s="54">
        <v>5</v>
      </c>
      <c r="M59" s="59">
        <f t="shared" si="2"/>
        <v>31970</v>
      </c>
    </row>
    <row r="60" spans="1:17">
      <c r="A60" s="39" t="s">
        <v>893</v>
      </c>
      <c r="B60" s="46" t="s">
        <v>280</v>
      </c>
      <c r="C60" s="39" t="s">
        <v>856</v>
      </c>
      <c r="D60" s="102">
        <v>666194498</v>
      </c>
      <c r="E60" s="102">
        <v>2526593848</v>
      </c>
      <c r="F60" s="39" t="s">
        <v>256</v>
      </c>
      <c r="G60" s="81">
        <f>37807+(364+182)</f>
        <v>38353</v>
      </c>
      <c r="H60" s="50" t="str">
        <f t="shared" si="0"/>
        <v>Jan</v>
      </c>
      <c r="I60" s="51">
        <f t="shared" ca="1" si="1"/>
        <v>11</v>
      </c>
      <c r="J60" s="52" t="s">
        <v>283</v>
      </c>
      <c r="K60" s="53">
        <v>83710</v>
      </c>
      <c r="L60" s="54">
        <v>3</v>
      </c>
      <c r="M60" s="59">
        <f t="shared" si="2"/>
        <v>83710</v>
      </c>
      <c r="P60" s="75"/>
      <c r="Q60" s="75"/>
    </row>
    <row r="61" spans="1:17">
      <c r="A61" s="39" t="s">
        <v>627</v>
      </c>
      <c r="B61" s="46" t="s">
        <v>285</v>
      </c>
      <c r="C61" s="39" t="s">
        <v>626</v>
      </c>
      <c r="D61" s="102">
        <v>364404060</v>
      </c>
      <c r="E61" s="102">
        <v>2527722509</v>
      </c>
      <c r="F61" s="39" t="s">
        <v>261</v>
      </c>
      <c r="G61" s="81">
        <f>37816+(364+182)</f>
        <v>38362</v>
      </c>
      <c r="H61" s="50" t="str">
        <f t="shared" si="0"/>
        <v>Jan</v>
      </c>
      <c r="I61" s="51">
        <f t="shared" ca="1" si="1"/>
        <v>11</v>
      </c>
      <c r="J61" s="52" t="s">
        <v>257</v>
      </c>
      <c r="K61" s="53">
        <v>31255</v>
      </c>
      <c r="L61" s="54">
        <v>5</v>
      </c>
      <c r="M61" s="59">
        <f t="shared" si="2"/>
        <v>31255</v>
      </c>
    </row>
    <row r="62" spans="1:17">
      <c r="A62" s="39" t="s">
        <v>499</v>
      </c>
      <c r="B62" s="46" t="s">
        <v>280</v>
      </c>
      <c r="C62" s="39" t="s">
        <v>465</v>
      </c>
      <c r="D62" s="102">
        <v>620336005</v>
      </c>
      <c r="E62" s="102">
        <v>9196422185</v>
      </c>
      <c r="F62" s="39" t="s">
        <v>256</v>
      </c>
      <c r="G62" s="81">
        <f>37831+(364+182)</f>
        <v>38377</v>
      </c>
      <c r="H62" s="50" t="str">
        <f t="shared" si="0"/>
        <v>Jan</v>
      </c>
      <c r="I62" s="51">
        <f t="shared" ca="1" si="1"/>
        <v>11</v>
      </c>
      <c r="J62" s="52" t="s">
        <v>257</v>
      </c>
      <c r="K62" s="53">
        <v>41060</v>
      </c>
      <c r="L62" s="54">
        <v>3</v>
      </c>
      <c r="M62" s="59">
        <f t="shared" si="2"/>
        <v>41060</v>
      </c>
    </row>
    <row r="63" spans="1:17">
      <c r="A63" s="39" t="s">
        <v>608</v>
      </c>
      <c r="B63" s="46" t="s">
        <v>285</v>
      </c>
      <c r="C63" s="39" t="s">
        <v>465</v>
      </c>
      <c r="D63" s="102">
        <v>564908088</v>
      </c>
      <c r="E63" s="102">
        <v>9193386758</v>
      </c>
      <c r="F63" s="39" t="s">
        <v>256</v>
      </c>
      <c r="G63" s="81">
        <f>37831+(364+182)</f>
        <v>38377</v>
      </c>
      <c r="H63" s="50" t="str">
        <f t="shared" si="0"/>
        <v>Jan</v>
      </c>
      <c r="I63" s="51">
        <f t="shared" ca="1" si="1"/>
        <v>11</v>
      </c>
      <c r="J63" s="52" t="s">
        <v>257</v>
      </c>
      <c r="K63" s="53">
        <v>87760</v>
      </c>
      <c r="L63" s="54">
        <v>1</v>
      </c>
      <c r="M63" s="59">
        <f t="shared" si="2"/>
        <v>87760</v>
      </c>
    </row>
    <row r="64" spans="1:17">
      <c r="A64" s="39" t="s">
        <v>811</v>
      </c>
      <c r="B64" s="46" t="s">
        <v>266</v>
      </c>
      <c r="C64" s="39" t="s">
        <v>767</v>
      </c>
      <c r="D64" s="102">
        <v>437460422</v>
      </c>
      <c r="E64" s="102">
        <v>2528439277</v>
      </c>
      <c r="F64" s="39" t="s">
        <v>261</v>
      </c>
      <c r="G64" s="81">
        <f>38177+(364+182)</f>
        <v>38723</v>
      </c>
      <c r="H64" s="50" t="str">
        <f t="shared" si="0"/>
        <v>Jan</v>
      </c>
      <c r="I64" s="51">
        <f t="shared" ca="1" si="1"/>
        <v>10</v>
      </c>
      <c r="J64" s="52" t="s">
        <v>283</v>
      </c>
      <c r="K64" s="53">
        <v>10630</v>
      </c>
      <c r="L64" s="54">
        <v>3</v>
      </c>
      <c r="M64" s="59">
        <f t="shared" si="2"/>
        <v>10630</v>
      </c>
    </row>
    <row r="65" spans="1:15">
      <c r="A65" s="39" t="s">
        <v>507</v>
      </c>
      <c r="B65" s="46" t="s">
        <v>245</v>
      </c>
      <c r="C65" s="39" t="s">
        <v>465</v>
      </c>
      <c r="D65" s="102">
        <v>405396173</v>
      </c>
      <c r="E65" s="102">
        <v>2521777060</v>
      </c>
      <c r="F65" s="39" t="s">
        <v>256</v>
      </c>
      <c r="G65" s="81">
        <f>38187+(364+182)</f>
        <v>38733</v>
      </c>
      <c r="H65" s="50" t="str">
        <f t="shared" si="0"/>
        <v>Jan</v>
      </c>
      <c r="I65" s="51">
        <f t="shared" ca="1" si="1"/>
        <v>10</v>
      </c>
      <c r="J65" s="52" t="s">
        <v>276</v>
      </c>
      <c r="K65" s="53">
        <v>68710</v>
      </c>
      <c r="L65" s="54">
        <v>4</v>
      </c>
      <c r="M65" s="59">
        <f t="shared" si="2"/>
        <v>68710</v>
      </c>
    </row>
    <row r="66" spans="1:15">
      <c r="A66" s="39" t="s">
        <v>593</v>
      </c>
      <c r="B66" s="46" t="s">
        <v>245</v>
      </c>
      <c r="C66" s="39" t="s">
        <v>465</v>
      </c>
      <c r="D66" s="102">
        <v>328787467</v>
      </c>
      <c r="E66" s="102">
        <v>9194897618</v>
      </c>
      <c r="F66" s="39" t="s">
        <v>252</v>
      </c>
      <c r="G66" s="81">
        <f>38541+(364+182)</f>
        <v>39087</v>
      </c>
      <c r="H66" s="50" t="str">
        <f t="shared" si="0"/>
        <v>Jan</v>
      </c>
      <c r="I66" s="51">
        <f t="shared" ca="1" si="1"/>
        <v>9</v>
      </c>
      <c r="J66" s="52"/>
      <c r="K66" s="53">
        <v>14416</v>
      </c>
      <c r="L66" s="54">
        <v>4</v>
      </c>
      <c r="M66" s="59">
        <f t="shared" si="2"/>
        <v>14416</v>
      </c>
    </row>
    <row r="67" spans="1:15">
      <c r="A67" s="39" t="s">
        <v>629</v>
      </c>
      <c r="B67" s="46" t="s">
        <v>245</v>
      </c>
      <c r="C67" s="39" t="s">
        <v>626</v>
      </c>
      <c r="D67" s="102">
        <v>980960186</v>
      </c>
      <c r="E67" s="102">
        <v>9191517218</v>
      </c>
      <c r="F67" s="39" t="s">
        <v>261</v>
      </c>
      <c r="G67" s="81">
        <f>38552+(364+182)</f>
        <v>39098</v>
      </c>
      <c r="H67" s="50" t="str">
        <f t="shared" ref="H67:H130" si="3">CHOOSE(MONTH(G67),"Jan","Feb","Mar","Apr","May","Jun","Jul","Aug","Sep","Oct","Nov","Dec")</f>
        <v>Jan</v>
      </c>
      <c r="I67" s="51">
        <f t="shared" ref="I67:I130" ca="1" si="4">DATEDIF(G67,TODAY(),"Y")</f>
        <v>9</v>
      </c>
      <c r="J67" s="52" t="s">
        <v>283</v>
      </c>
      <c r="K67" s="53">
        <v>47705</v>
      </c>
      <c r="L67" s="54">
        <v>5</v>
      </c>
      <c r="M67" s="59">
        <f t="shared" ref="M67:M130" si="5">ROUND(K67*P65+K67,0)</f>
        <v>47705</v>
      </c>
    </row>
    <row r="68" spans="1:15">
      <c r="A68" s="39" t="s">
        <v>501</v>
      </c>
      <c r="B68" s="46" t="s">
        <v>266</v>
      </c>
      <c r="C68" s="39" t="s">
        <v>465</v>
      </c>
      <c r="D68" s="102">
        <v>292993080</v>
      </c>
      <c r="E68" s="102">
        <v>2525085320</v>
      </c>
      <c r="F68" s="39" t="s">
        <v>256</v>
      </c>
      <c r="G68" s="81">
        <f>38909+(364+182)</f>
        <v>39455</v>
      </c>
      <c r="H68" s="50" t="str">
        <f t="shared" si="3"/>
        <v>Jan</v>
      </c>
      <c r="I68" s="51">
        <f t="shared" ca="1" si="4"/>
        <v>8</v>
      </c>
      <c r="J68" s="52" t="s">
        <v>283</v>
      </c>
      <c r="K68" s="53">
        <v>59420</v>
      </c>
      <c r="L68" s="54">
        <v>4</v>
      </c>
      <c r="M68" s="59">
        <f t="shared" si="5"/>
        <v>59420</v>
      </c>
    </row>
    <row r="69" spans="1:15">
      <c r="A69" s="39" t="s">
        <v>905</v>
      </c>
      <c r="B69" s="46" t="s">
        <v>245</v>
      </c>
      <c r="C69" s="39" t="s">
        <v>856</v>
      </c>
      <c r="D69" s="102">
        <v>855135948</v>
      </c>
      <c r="E69" s="102">
        <v>9196408497</v>
      </c>
      <c r="F69" s="39" t="s">
        <v>256</v>
      </c>
      <c r="G69" s="81">
        <f>39269+(364+182)</f>
        <v>39815</v>
      </c>
      <c r="H69" s="50" t="str">
        <f t="shared" si="3"/>
        <v>Jan</v>
      </c>
      <c r="I69" s="51">
        <f t="shared" ca="1" si="4"/>
        <v>7</v>
      </c>
      <c r="J69" s="52" t="s">
        <v>283</v>
      </c>
      <c r="K69" s="53">
        <v>72060</v>
      </c>
      <c r="L69" s="54">
        <v>2</v>
      </c>
      <c r="M69" s="59">
        <f t="shared" si="5"/>
        <v>72060</v>
      </c>
    </row>
    <row r="70" spans="1:15">
      <c r="A70" s="39" t="s">
        <v>500</v>
      </c>
      <c r="B70" s="46" t="s">
        <v>245</v>
      </c>
      <c r="C70" s="39" t="s">
        <v>465</v>
      </c>
      <c r="D70" s="102">
        <v>436778229</v>
      </c>
      <c r="E70" s="102">
        <v>2525871924</v>
      </c>
      <c r="F70" s="39" t="s">
        <v>247</v>
      </c>
      <c r="G70" s="81">
        <f>39276+(364+182)</f>
        <v>39822</v>
      </c>
      <c r="H70" s="50" t="str">
        <f t="shared" si="3"/>
        <v>Jan</v>
      </c>
      <c r="I70" s="51">
        <f t="shared" ca="1" si="4"/>
        <v>7</v>
      </c>
      <c r="J70" s="52"/>
      <c r="K70" s="53">
        <v>60040</v>
      </c>
      <c r="L70" s="54">
        <v>5</v>
      </c>
      <c r="M70" s="59">
        <f t="shared" si="5"/>
        <v>60040</v>
      </c>
    </row>
    <row r="71" spans="1:15">
      <c r="A71" s="39" t="s">
        <v>589</v>
      </c>
      <c r="B71" s="46" t="s">
        <v>245</v>
      </c>
      <c r="C71" s="39" t="s">
        <v>465</v>
      </c>
      <c r="D71" s="102">
        <v>159117255</v>
      </c>
      <c r="E71" s="102">
        <v>9198426889</v>
      </c>
      <c r="F71" s="39" t="s">
        <v>247</v>
      </c>
      <c r="G71" s="81">
        <f>39284+(364+182)</f>
        <v>39830</v>
      </c>
      <c r="H71" s="50" t="str">
        <f t="shared" si="3"/>
        <v>Jan</v>
      </c>
      <c r="I71" s="51">
        <f t="shared" ca="1" si="4"/>
        <v>7</v>
      </c>
      <c r="J71" s="52"/>
      <c r="K71" s="53">
        <v>78520</v>
      </c>
      <c r="L71" s="54">
        <v>4</v>
      </c>
      <c r="M71" s="59">
        <f t="shared" si="5"/>
        <v>78520</v>
      </c>
    </row>
    <row r="72" spans="1:15">
      <c r="A72" s="39" t="s">
        <v>547</v>
      </c>
      <c r="B72" s="46" t="s">
        <v>285</v>
      </c>
      <c r="C72" s="39" t="s">
        <v>465</v>
      </c>
      <c r="D72" s="102">
        <v>798466688</v>
      </c>
      <c r="E72" s="102">
        <v>9192232339</v>
      </c>
      <c r="F72" s="39" t="s">
        <v>256</v>
      </c>
      <c r="G72" s="81">
        <f>39657+(364+182)</f>
        <v>40203</v>
      </c>
      <c r="H72" s="50" t="str">
        <f t="shared" si="3"/>
        <v>Jan</v>
      </c>
      <c r="I72" s="51">
        <f t="shared" ca="1" si="4"/>
        <v>6</v>
      </c>
      <c r="J72" s="52" t="s">
        <v>257</v>
      </c>
      <c r="K72" s="53">
        <v>35600</v>
      </c>
      <c r="L72" s="54">
        <v>5</v>
      </c>
      <c r="M72" s="59">
        <f t="shared" si="5"/>
        <v>35600</v>
      </c>
    </row>
    <row r="73" spans="1:15">
      <c r="A73" s="39" t="s">
        <v>644</v>
      </c>
      <c r="B73" s="46" t="s">
        <v>271</v>
      </c>
      <c r="C73" s="39" t="s">
        <v>626</v>
      </c>
      <c r="D73" s="102">
        <v>649234799</v>
      </c>
      <c r="E73" s="102">
        <v>2521588597</v>
      </c>
      <c r="F73" s="39" t="s">
        <v>256</v>
      </c>
      <c r="G73" s="81">
        <f>39663+(364+182)</f>
        <v>40209</v>
      </c>
      <c r="H73" s="50" t="str">
        <f t="shared" si="3"/>
        <v>Jan</v>
      </c>
      <c r="I73" s="51">
        <f t="shared" ca="1" si="4"/>
        <v>6</v>
      </c>
      <c r="J73" s="52" t="s">
        <v>283</v>
      </c>
      <c r="K73" s="53">
        <v>45260</v>
      </c>
      <c r="L73" s="54">
        <v>4</v>
      </c>
      <c r="M73" s="59">
        <f t="shared" si="5"/>
        <v>45260</v>
      </c>
    </row>
    <row r="74" spans="1:15">
      <c r="A74" s="39" t="s">
        <v>973</v>
      </c>
      <c r="B74" s="46" t="s">
        <v>285</v>
      </c>
      <c r="C74" s="39" t="s">
        <v>930</v>
      </c>
      <c r="D74" s="102">
        <v>151532569</v>
      </c>
      <c r="E74" s="102">
        <v>2525202015</v>
      </c>
      <c r="F74" s="39" t="s">
        <v>247</v>
      </c>
      <c r="G74" s="103">
        <f>40017+(364+182)</f>
        <v>40563</v>
      </c>
      <c r="H74" s="50" t="str">
        <f t="shared" si="3"/>
        <v>Jan</v>
      </c>
      <c r="I74" s="51">
        <f t="shared" ca="1" si="4"/>
        <v>5</v>
      </c>
      <c r="J74" s="52"/>
      <c r="K74" s="53">
        <v>55510</v>
      </c>
      <c r="L74" s="54">
        <v>3</v>
      </c>
      <c r="M74" s="59">
        <f t="shared" si="5"/>
        <v>55510</v>
      </c>
    </row>
    <row r="75" spans="1:15">
      <c r="A75" s="39" t="s">
        <v>1014</v>
      </c>
      <c r="B75" s="46" t="s">
        <v>285</v>
      </c>
      <c r="C75" s="39" t="s">
        <v>930</v>
      </c>
      <c r="D75" s="102">
        <v>121173068</v>
      </c>
      <c r="E75" s="102">
        <v>9196778600</v>
      </c>
      <c r="F75" s="39" t="s">
        <v>256</v>
      </c>
      <c r="G75" s="81">
        <f>40022+(364+182)</f>
        <v>40568</v>
      </c>
      <c r="H75" s="50" t="str">
        <f t="shared" si="3"/>
        <v>Jan</v>
      </c>
      <c r="I75" s="51">
        <f t="shared" ca="1" si="4"/>
        <v>5</v>
      </c>
      <c r="J75" s="52" t="s">
        <v>257</v>
      </c>
      <c r="K75" s="53">
        <v>46390</v>
      </c>
      <c r="L75" s="54">
        <v>5</v>
      </c>
      <c r="M75" s="59">
        <f t="shared" si="5"/>
        <v>46390</v>
      </c>
    </row>
    <row r="76" spans="1:15">
      <c r="A76" s="39" t="s">
        <v>380</v>
      </c>
      <c r="B76" s="46" t="s">
        <v>285</v>
      </c>
      <c r="C76" s="39" t="s">
        <v>381</v>
      </c>
      <c r="D76" s="102">
        <v>124203063</v>
      </c>
      <c r="E76" s="102">
        <v>9192229885</v>
      </c>
      <c r="F76" s="39" t="s">
        <v>261</v>
      </c>
      <c r="G76" s="81">
        <f>40026+(364+182)</f>
        <v>40572</v>
      </c>
      <c r="H76" s="50" t="str">
        <f t="shared" si="3"/>
        <v>Jan</v>
      </c>
      <c r="I76" s="51">
        <f t="shared" ca="1" si="4"/>
        <v>5</v>
      </c>
      <c r="J76" s="52" t="s">
        <v>283</v>
      </c>
      <c r="K76" s="53">
        <v>10520</v>
      </c>
      <c r="L76" s="54">
        <v>4</v>
      </c>
      <c r="M76" s="59">
        <f t="shared" si="5"/>
        <v>10520</v>
      </c>
      <c r="O76" s="101"/>
    </row>
    <row r="77" spans="1:15">
      <c r="A77" s="39" t="s">
        <v>485</v>
      </c>
      <c r="B77" s="46" t="s">
        <v>271</v>
      </c>
      <c r="C77" s="39" t="s">
        <v>465</v>
      </c>
      <c r="D77" s="102">
        <v>665773893</v>
      </c>
      <c r="E77" s="102">
        <v>9198857217</v>
      </c>
      <c r="F77" s="39" t="s">
        <v>252</v>
      </c>
      <c r="G77" s="81">
        <f>40028+(364+182)</f>
        <v>40574</v>
      </c>
      <c r="H77" s="50" t="str">
        <f t="shared" si="3"/>
        <v>Jan</v>
      </c>
      <c r="I77" s="51">
        <f t="shared" ca="1" si="4"/>
        <v>5</v>
      </c>
      <c r="J77" s="52"/>
      <c r="K77" s="53">
        <v>28424</v>
      </c>
      <c r="L77" s="54">
        <v>4</v>
      </c>
      <c r="M77" s="59">
        <f t="shared" si="5"/>
        <v>28424</v>
      </c>
    </row>
    <row r="78" spans="1:15">
      <c r="A78" s="39" t="s">
        <v>978</v>
      </c>
      <c r="B78" s="46" t="s">
        <v>271</v>
      </c>
      <c r="C78" s="39" t="s">
        <v>930</v>
      </c>
      <c r="D78" s="102">
        <v>657835603</v>
      </c>
      <c r="E78" s="102">
        <v>2526609693</v>
      </c>
      <c r="F78" s="39" t="s">
        <v>256</v>
      </c>
      <c r="G78" s="81">
        <f>32733+(364+182)</f>
        <v>33279</v>
      </c>
      <c r="H78" s="50" t="str">
        <f t="shared" si="3"/>
        <v>Feb</v>
      </c>
      <c r="I78" s="51">
        <f t="shared" ca="1" si="4"/>
        <v>25</v>
      </c>
      <c r="J78" s="52" t="s">
        <v>257</v>
      </c>
      <c r="K78" s="53">
        <v>24200</v>
      </c>
      <c r="L78" s="54">
        <v>5</v>
      </c>
      <c r="M78" s="59">
        <f t="shared" si="5"/>
        <v>24200</v>
      </c>
    </row>
    <row r="79" spans="1:15">
      <c r="A79" s="39" t="s">
        <v>757</v>
      </c>
      <c r="B79" s="46" t="s">
        <v>285</v>
      </c>
      <c r="C79" s="39" t="s">
        <v>750</v>
      </c>
      <c r="D79" s="102">
        <v>292693795</v>
      </c>
      <c r="E79" s="102">
        <v>9195990139</v>
      </c>
      <c r="F79" s="39" t="s">
        <v>256</v>
      </c>
      <c r="G79" s="81">
        <f>32734+(364+182)</f>
        <v>33280</v>
      </c>
      <c r="H79" s="50" t="str">
        <f t="shared" si="3"/>
        <v>Feb</v>
      </c>
      <c r="I79" s="51">
        <f t="shared" ca="1" si="4"/>
        <v>25</v>
      </c>
      <c r="J79" s="52" t="s">
        <v>257</v>
      </c>
      <c r="K79" s="53">
        <v>87950</v>
      </c>
      <c r="L79" s="54">
        <v>4</v>
      </c>
      <c r="M79" s="59">
        <f t="shared" si="5"/>
        <v>87950</v>
      </c>
    </row>
    <row r="80" spans="1:15">
      <c r="A80" s="39" t="s">
        <v>860</v>
      </c>
      <c r="B80" s="46" t="s">
        <v>251</v>
      </c>
      <c r="C80" s="39" t="s">
        <v>856</v>
      </c>
      <c r="D80" s="102">
        <v>265993407</v>
      </c>
      <c r="E80" s="102">
        <v>9193558443</v>
      </c>
      <c r="F80" s="39" t="s">
        <v>247</v>
      </c>
      <c r="G80" s="81">
        <f>32736+(364+182)</f>
        <v>33282</v>
      </c>
      <c r="H80" s="50" t="str">
        <f t="shared" si="3"/>
        <v>Feb</v>
      </c>
      <c r="I80" s="51">
        <f t="shared" ca="1" si="4"/>
        <v>25</v>
      </c>
      <c r="J80" s="52"/>
      <c r="K80" s="53">
        <v>89450</v>
      </c>
      <c r="L80" s="54">
        <v>2</v>
      </c>
      <c r="M80" s="59">
        <f t="shared" si="5"/>
        <v>89450</v>
      </c>
    </row>
    <row r="81" spans="1:15">
      <c r="A81" s="39" t="s">
        <v>765</v>
      </c>
      <c r="B81" s="46" t="s">
        <v>251</v>
      </c>
      <c r="C81" s="39" t="s">
        <v>750</v>
      </c>
      <c r="D81" s="102">
        <v>264960848</v>
      </c>
      <c r="E81" s="102">
        <v>9195012757</v>
      </c>
      <c r="F81" s="39" t="s">
        <v>247</v>
      </c>
      <c r="G81" s="81">
        <f>32740+(364+182)</f>
        <v>33286</v>
      </c>
      <c r="H81" s="50" t="str">
        <f t="shared" si="3"/>
        <v>Feb</v>
      </c>
      <c r="I81" s="51">
        <f t="shared" ca="1" si="4"/>
        <v>25</v>
      </c>
      <c r="J81" s="52"/>
      <c r="K81" s="53">
        <v>49070</v>
      </c>
      <c r="L81" s="54">
        <v>3</v>
      </c>
      <c r="M81" s="59">
        <f t="shared" si="5"/>
        <v>49070</v>
      </c>
    </row>
    <row r="82" spans="1:15">
      <c r="A82" s="45" t="s">
        <v>260</v>
      </c>
      <c r="B82" s="46" t="s">
        <v>245</v>
      </c>
      <c r="C82" s="45" t="s">
        <v>246</v>
      </c>
      <c r="D82" s="106">
        <v>914428485</v>
      </c>
      <c r="E82" s="106">
        <v>2521774590</v>
      </c>
      <c r="F82" s="45" t="s">
        <v>261</v>
      </c>
      <c r="G82" s="105">
        <f>32744+(364+182)</f>
        <v>33290</v>
      </c>
      <c r="H82" s="50" t="str">
        <f t="shared" si="3"/>
        <v>Feb</v>
      </c>
      <c r="I82" s="51">
        <f t="shared" ca="1" si="4"/>
        <v>25</v>
      </c>
      <c r="J82" s="52" t="s">
        <v>262</v>
      </c>
      <c r="K82" s="53">
        <v>26795</v>
      </c>
      <c r="L82" s="54">
        <v>4</v>
      </c>
      <c r="M82" s="59">
        <f t="shared" si="5"/>
        <v>26795</v>
      </c>
      <c r="N82" s="107"/>
      <c r="O82" s="104"/>
    </row>
    <row r="83" spans="1:15">
      <c r="A83" s="39" t="s">
        <v>737</v>
      </c>
      <c r="B83" s="46" t="s">
        <v>245</v>
      </c>
      <c r="C83" s="39" t="s">
        <v>705</v>
      </c>
      <c r="D83" s="102">
        <v>294130565</v>
      </c>
      <c r="E83" s="102">
        <v>9193744359</v>
      </c>
      <c r="F83" s="39" t="s">
        <v>256</v>
      </c>
      <c r="G83" s="81">
        <f>33090+(364+182)</f>
        <v>33636</v>
      </c>
      <c r="H83" s="50" t="str">
        <f t="shared" si="3"/>
        <v>Feb</v>
      </c>
      <c r="I83" s="51">
        <f t="shared" ca="1" si="4"/>
        <v>24</v>
      </c>
      <c r="J83" s="52" t="s">
        <v>257</v>
      </c>
      <c r="K83" s="53">
        <v>26360</v>
      </c>
      <c r="L83" s="54">
        <v>1</v>
      </c>
      <c r="M83" s="59">
        <f t="shared" si="5"/>
        <v>26360</v>
      </c>
    </row>
    <row r="84" spans="1:15">
      <c r="A84" s="39" t="s">
        <v>799</v>
      </c>
      <c r="B84" s="46" t="s">
        <v>245</v>
      </c>
      <c r="C84" s="39" t="s">
        <v>767</v>
      </c>
      <c r="D84" s="102">
        <v>433314045</v>
      </c>
      <c r="E84" s="102">
        <v>2522543210</v>
      </c>
      <c r="F84" s="39" t="s">
        <v>247</v>
      </c>
      <c r="G84" s="81">
        <f>33092+(364+182)</f>
        <v>33638</v>
      </c>
      <c r="H84" s="50" t="str">
        <f t="shared" si="3"/>
        <v>Feb</v>
      </c>
      <c r="I84" s="51">
        <f t="shared" ca="1" si="4"/>
        <v>24</v>
      </c>
      <c r="J84" s="52"/>
      <c r="K84" s="53">
        <v>47590</v>
      </c>
      <c r="L84" s="54">
        <v>3</v>
      </c>
      <c r="M84" s="59">
        <f t="shared" si="5"/>
        <v>47590</v>
      </c>
    </row>
    <row r="85" spans="1:15">
      <c r="A85" s="39" t="s">
        <v>743</v>
      </c>
      <c r="B85" s="46" t="s">
        <v>285</v>
      </c>
      <c r="C85" s="39" t="s">
        <v>705</v>
      </c>
      <c r="D85" s="102">
        <v>474117484</v>
      </c>
      <c r="E85" s="102">
        <v>9196132408</v>
      </c>
      <c r="F85" s="39" t="s">
        <v>256</v>
      </c>
      <c r="G85" s="81">
        <f>33096+(364+182)</f>
        <v>33642</v>
      </c>
      <c r="H85" s="50" t="str">
        <f t="shared" si="3"/>
        <v>Feb</v>
      </c>
      <c r="I85" s="51">
        <f t="shared" ca="1" si="4"/>
        <v>24</v>
      </c>
      <c r="J85" s="52" t="s">
        <v>257</v>
      </c>
      <c r="K85" s="53">
        <v>79770</v>
      </c>
      <c r="L85" s="54">
        <v>4</v>
      </c>
      <c r="M85" s="59">
        <f t="shared" si="5"/>
        <v>79770</v>
      </c>
    </row>
    <row r="86" spans="1:15">
      <c r="A86" s="39" t="s">
        <v>529</v>
      </c>
      <c r="B86" s="46" t="s">
        <v>271</v>
      </c>
      <c r="C86" s="39" t="s">
        <v>465</v>
      </c>
      <c r="D86" s="102">
        <v>259573806</v>
      </c>
      <c r="E86" s="102">
        <v>9193302808</v>
      </c>
      <c r="F86" s="39" t="s">
        <v>256</v>
      </c>
      <c r="G86" s="81">
        <f>33102+(364+182)</f>
        <v>33648</v>
      </c>
      <c r="H86" s="50" t="str">
        <f t="shared" si="3"/>
        <v>Feb</v>
      </c>
      <c r="I86" s="51">
        <f t="shared" ca="1" si="4"/>
        <v>24</v>
      </c>
      <c r="J86" s="52" t="s">
        <v>276</v>
      </c>
      <c r="K86" s="53">
        <v>60380</v>
      </c>
      <c r="L86" s="54">
        <v>4</v>
      </c>
      <c r="M86" s="59">
        <f t="shared" si="5"/>
        <v>60380</v>
      </c>
    </row>
    <row r="87" spans="1:15">
      <c r="A87" s="39" t="s">
        <v>793</v>
      </c>
      <c r="B87" s="46" t="s">
        <v>245</v>
      </c>
      <c r="C87" s="39" t="s">
        <v>767</v>
      </c>
      <c r="D87" s="102">
        <v>808012612</v>
      </c>
      <c r="E87" s="102">
        <v>9193717553</v>
      </c>
      <c r="F87" s="39" t="s">
        <v>247</v>
      </c>
      <c r="G87" s="81">
        <f>33112+(364+182)</f>
        <v>33658</v>
      </c>
      <c r="H87" s="50" t="str">
        <f t="shared" si="3"/>
        <v>Feb</v>
      </c>
      <c r="I87" s="51">
        <f t="shared" ca="1" si="4"/>
        <v>24</v>
      </c>
      <c r="J87" s="52"/>
      <c r="K87" s="53">
        <v>60550</v>
      </c>
      <c r="L87" s="54">
        <v>2</v>
      </c>
      <c r="M87" s="59">
        <f t="shared" si="5"/>
        <v>60550</v>
      </c>
    </row>
    <row r="88" spans="1:15">
      <c r="A88" s="39" t="s">
        <v>1034</v>
      </c>
      <c r="B88" s="46" t="s">
        <v>285</v>
      </c>
      <c r="C88" s="39" t="s">
        <v>1031</v>
      </c>
      <c r="D88" s="102">
        <v>183135788</v>
      </c>
      <c r="E88" s="102">
        <v>2521198851</v>
      </c>
      <c r="F88" s="39" t="s">
        <v>247</v>
      </c>
      <c r="G88" s="81">
        <f>33457+(364+182)</f>
        <v>34003</v>
      </c>
      <c r="H88" s="50" t="str">
        <f t="shared" si="3"/>
        <v>Feb</v>
      </c>
      <c r="I88" s="51">
        <f t="shared" ca="1" si="4"/>
        <v>23</v>
      </c>
      <c r="J88" s="52"/>
      <c r="K88" s="53">
        <v>60760</v>
      </c>
      <c r="L88" s="54">
        <v>2</v>
      </c>
      <c r="M88" s="59">
        <f t="shared" si="5"/>
        <v>60760</v>
      </c>
      <c r="O88" s="101"/>
    </row>
    <row r="89" spans="1:15">
      <c r="A89" s="39" t="s">
        <v>1012</v>
      </c>
      <c r="B89" s="46" t="s">
        <v>285</v>
      </c>
      <c r="C89" s="39" t="s">
        <v>930</v>
      </c>
      <c r="D89" s="102">
        <v>287476507</v>
      </c>
      <c r="E89" s="102">
        <v>9191509619</v>
      </c>
      <c r="F89" s="39" t="s">
        <v>261</v>
      </c>
      <c r="G89" s="81">
        <f>33459+(364+182)</f>
        <v>34005</v>
      </c>
      <c r="H89" s="50" t="str">
        <f t="shared" si="3"/>
        <v>Feb</v>
      </c>
      <c r="I89" s="51">
        <f t="shared" ca="1" si="4"/>
        <v>23</v>
      </c>
      <c r="J89" s="52" t="s">
        <v>257</v>
      </c>
      <c r="K89" s="53">
        <v>19935</v>
      </c>
      <c r="L89" s="54">
        <v>1</v>
      </c>
      <c r="M89" s="59">
        <f t="shared" si="5"/>
        <v>19935</v>
      </c>
    </row>
    <row r="90" spans="1:15">
      <c r="A90" s="39" t="s">
        <v>919</v>
      </c>
      <c r="B90" s="46" t="s">
        <v>245</v>
      </c>
      <c r="C90" s="39" t="s">
        <v>856</v>
      </c>
      <c r="D90" s="102">
        <v>186821354</v>
      </c>
      <c r="E90" s="102">
        <v>2528527032</v>
      </c>
      <c r="F90" s="39" t="s">
        <v>256</v>
      </c>
      <c r="G90" s="81">
        <f>33464+(364+182)</f>
        <v>34010</v>
      </c>
      <c r="H90" s="50" t="str">
        <f t="shared" si="3"/>
        <v>Feb</v>
      </c>
      <c r="I90" s="51">
        <f t="shared" ca="1" si="4"/>
        <v>23</v>
      </c>
      <c r="J90" s="52" t="s">
        <v>257</v>
      </c>
      <c r="K90" s="53">
        <v>54270</v>
      </c>
      <c r="L90" s="54">
        <v>3</v>
      </c>
      <c r="M90" s="59">
        <f t="shared" si="5"/>
        <v>54270</v>
      </c>
    </row>
    <row r="91" spans="1:15">
      <c r="A91" s="39" t="s">
        <v>869</v>
      </c>
      <c r="B91" s="46" t="s">
        <v>251</v>
      </c>
      <c r="C91" s="39" t="s">
        <v>856</v>
      </c>
      <c r="D91" s="102">
        <v>462461365</v>
      </c>
      <c r="E91" s="102">
        <v>2527126482</v>
      </c>
      <c r="F91" s="39" t="s">
        <v>256</v>
      </c>
      <c r="G91" s="81">
        <f>33475+(364+182)</f>
        <v>34021</v>
      </c>
      <c r="H91" s="50" t="str">
        <f t="shared" si="3"/>
        <v>Feb</v>
      </c>
      <c r="I91" s="51">
        <f t="shared" ca="1" si="4"/>
        <v>23</v>
      </c>
      <c r="J91" s="52" t="s">
        <v>283</v>
      </c>
      <c r="K91" s="53">
        <v>45110</v>
      </c>
      <c r="L91" s="54">
        <v>2</v>
      </c>
      <c r="M91" s="59">
        <f t="shared" si="5"/>
        <v>45110</v>
      </c>
    </row>
    <row r="92" spans="1:15">
      <c r="A92" s="39" t="s">
        <v>898</v>
      </c>
      <c r="B92" s="46" t="s">
        <v>271</v>
      </c>
      <c r="C92" s="39" t="s">
        <v>856</v>
      </c>
      <c r="D92" s="102">
        <v>404589373</v>
      </c>
      <c r="E92" s="102">
        <v>9198407416</v>
      </c>
      <c r="F92" s="39" t="s">
        <v>256</v>
      </c>
      <c r="G92" s="81">
        <f>33482+(364+182)</f>
        <v>34028</v>
      </c>
      <c r="H92" s="50" t="str">
        <f t="shared" si="3"/>
        <v>Feb</v>
      </c>
      <c r="I92" s="51">
        <f t="shared" ca="1" si="4"/>
        <v>23</v>
      </c>
      <c r="J92" s="52" t="s">
        <v>283</v>
      </c>
      <c r="K92" s="53">
        <v>66824</v>
      </c>
      <c r="L92" s="54">
        <v>2</v>
      </c>
      <c r="M92" s="59">
        <f t="shared" si="5"/>
        <v>66824</v>
      </c>
    </row>
    <row r="93" spans="1:15">
      <c r="A93" s="39" t="s">
        <v>722</v>
      </c>
      <c r="B93" s="46" t="s">
        <v>285</v>
      </c>
      <c r="C93" s="39" t="s">
        <v>705</v>
      </c>
      <c r="D93" s="102">
        <v>555718765</v>
      </c>
      <c r="E93" s="102">
        <v>2524618773</v>
      </c>
      <c r="F93" s="39" t="s">
        <v>256</v>
      </c>
      <c r="G93" s="81">
        <f>34191+(364+182)</f>
        <v>34737</v>
      </c>
      <c r="H93" s="50" t="str">
        <f t="shared" si="3"/>
        <v>Feb</v>
      </c>
      <c r="I93" s="51">
        <f t="shared" ca="1" si="4"/>
        <v>21</v>
      </c>
      <c r="J93" s="52" t="s">
        <v>257</v>
      </c>
      <c r="K93" s="53">
        <v>88850</v>
      </c>
      <c r="L93" s="54">
        <v>3</v>
      </c>
      <c r="M93" s="59">
        <f t="shared" si="5"/>
        <v>88850</v>
      </c>
    </row>
    <row r="94" spans="1:15">
      <c r="A94" s="39" t="s">
        <v>728</v>
      </c>
      <c r="B94" s="46" t="s">
        <v>266</v>
      </c>
      <c r="C94" s="39" t="s">
        <v>705</v>
      </c>
      <c r="D94" s="102">
        <v>297806507</v>
      </c>
      <c r="E94" s="102">
        <v>9197312659</v>
      </c>
      <c r="F94" s="39" t="s">
        <v>256</v>
      </c>
      <c r="G94" s="81">
        <f>34194+(364+182)</f>
        <v>34740</v>
      </c>
      <c r="H94" s="50" t="str">
        <f t="shared" si="3"/>
        <v>Feb</v>
      </c>
      <c r="I94" s="51">
        <f t="shared" ca="1" si="4"/>
        <v>21</v>
      </c>
      <c r="J94" s="52" t="s">
        <v>267</v>
      </c>
      <c r="K94" s="53">
        <v>77840</v>
      </c>
      <c r="L94" s="54">
        <v>2</v>
      </c>
      <c r="M94" s="59">
        <f t="shared" si="5"/>
        <v>77840</v>
      </c>
    </row>
    <row r="95" spans="1:15">
      <c r="A95" s="39" t="s">
        <v>857</v>
      </c>
      <c r="B95" s="46" t="s">
        <v>271</v>
      </c>
      <c r="C95" s="39" t="s">
        <v>856</v>
      </c>
      <c r="D95" s="102">
        <v>709234421</v>
      </c>
      <c r="E95" s="102">
        <v>2523838954</v>
      </c>
      <c r="F95" s="39" t="s">
        <v>256</v>
      </c>
      <c r="G95" s="81">
        <f>34208+(364+182)</f>
        <v>34754</v>
      </c>
      <c r="H95" s="50" t="str">
        <f t="shared" si="3"/>
        <v>Feb</v>
      </c>
      <c r="I95" s="51">
        <f t="shared" ca="1" si="4"/>
        <v>21</v>
      </c>
      <c r="J95" s="52" t="s">
        <v>257</v>
      </c>
      <c r="K95" s="53">
        <v>39000</v>
      </c>
      <c r="L95" s="54">
        <v>5</v>
      </c>
      <c r="M95" s="59">
        <f t="shared" si="5"/>
        <v>39000</v>
      </c>
    </row>
    <row r="96" spans="1:15">
      <c r="A96" s="39" t="s">
        <v>445</v>
      </c>
      <c r="B96" s="46" t="s">
        <v>285</v>
      </c>
      <c r="C96" s="39" t="s">
        <v>417</v>
      </c>
      <c r="D96" s="102">
        <v>116869057</v>
      </c>
      <c r="E96" s="102">
        <v>2521614846</v>
      </c>
      <c r="F96" s="39" t="s">
        <v>261</v>
      </c>
      <c r="G96" s="81">
        <f>34209+(364+182)</f>
        <v>34755</v>
      </c>
      <c r="H96" s="50" t="str">
        <f t="shared" si="3"/>
        <v>Feb</v>
      </c>
      <c r="I96" s="51">
        <f t="shared" ca="1" si="4"/>
        <v>21</v>
      </c>
      <c r="J96" s="52" t="s">
        <v>267</v>
      </c>
      <c r="K96" s="53">
        <v>15005</v>
      </c>
      <c r="L96" s="54">
        <v>4</v>
      </c>
      <c r="M96" s="59">
        <f t="shared" si="5"/>
        <v>15005</v>
      </c>
      <c r="N96" s="107"/>
    </row>
    <row r="97" spans="1:15">
      <c r="A97" s="39" t="s">
        <v>326</v>
      </c>
      <c r="B97" s="46" t="s">
        <v>280</v>
      </c>
      <c r="C97" s="39" t="s">
        <v>312</v>
      </c>
      <c r="D97" s="102">
        <v>247276092</v>
      </c>
      <c r="E97" s="102">
        <v>2522636516</v>
      </c>
      <c r="F97" s="39" t="s">
        <v>247</v>
      </c>
      <c r="G97" s="81">
        <f>34573+(364+182)</f>
        <v>35119</v>
      </c>
      <c r="H97" s="50" t="str">
        <f t="shared" si="3"/>
        <v>Feb</v>
      </c>
      <c r="I97" s="51">
        <f t="shared" ca="1" si="4"/>
        <v>20</v>
      </c>
      <c r="J97" s="52"/>
      <c r="K97" s="53">
        <v>64390</v>
      </c>
      <c r="L97" s="54">
        <v>2</v>
      </c>
      <c r="M97" s="59">
        <f t="shared" si="5"/>
        <v>64390</v>
      </c>
    </row>
    <row r="98" spans="1:15">
      <c r="A98" s="39" t="s">
        <v>677</v>
      </c>
      <c r="B98" s="46" t="s">
        <v>285</v>
      </c>
      <c r="C98" s="39" t="s">
        <v>678</v>
      </c>
      <c r="D98" s="102">
        <v>414905182</v>
      </c>
      <c r="E98" s="102">
        <v>9193820411</v>
      </c>
      <c r="F98" s="39" t="s">
        <v>256</v>
      </c>
      <c r="G98" s="81">
        <f>34575+(364+182)</f>
        <v>35121</v>
      </c>
      <c r="H98" s="50" t="str">
        <f t="shared" si="3"/>
        <v>Feb</v>
      </c>
      <c r="I98" s="51">
        <f t="shared" ca="1" si="4"/>
        <v>20</v>
      </c>
      <c r="J98" s="52" t="s">
        <v>283</v>
      </c>
      <c r="K98" s="53">
        <v>22860</v>
      </c>
      <c r="L98" s="54">
        <v>5</v>
      </c>
      <c r="M98" s="59">
        <f t="shared" si="5"/>
        <v>22860</v>
      </c>
    </row>
    <row r="99" spans="1:15">
      <c r="A99" s="39" t="s">
        <v>284</v>
      </c>
      <c r="B99" s="46" t="s">
        <v>285</v>
      </c>
      <c r="C99" s="39" t="s">
        <v>272</v>
      </c>
      <c r="D99" s="102">
        <v>768681542</v>
      </c>
      <c r="E99" s="102">
        <v>8021673267</v>
      </c>
      <c r="F99" s="39" t="s">
        <v>256</v>
      </c>
      <c r="G99" s="81">
        <f>34918+(364+182)</f>
        <v>35464</v>
      </c>
      <c r="H99" s="50" t="str">
        <f t="shared" si="3"/>
        <v>Feb</v>
      </c>
      <c r="I99" s="51">
        <f t="shared" ca="1" si="4"/>
        <v>19</v>
      </c>
      <c r="J99" s="52" t="s">
        <v>257</v>
      </c>
      <c r="K99" s="53">
        <v>60830</v>
      </c>
      <c r="L99" s="54">
        <v>2</v>
      </c>
      <c r="M99" s="59">
        <f t="shared" si="5"/>
        <v>60830</v>
      </c>
      <c r="O99" s="104"/>
    </row>
    <row r="100" spans="1:15">
      <c r="A100" s="39" t="s">
        <v>966</v>
      </c>
      <c r="B100" s="46" t="s">
        <v>285</v>
      </c>
      <c r="C100" s="39" t="s">
        <v>930</v>
      </c>
      <c r="D100" s="102">
        <v>894855096</v>
      </c>
      <c r="E100" s="102">
        <v>9193936198</v>
      </c>
      <c r="F100" s="39" t="s">
        <v>261</v>
      </c>
      <c r="G100" s="81">
        <f>34920+(364+182)</f>
        <v>35466</v>
      </c>
      <c r="H100" s="50" t="str">
        <f t="shared" si="3"/>
        <v>Feb</v>
      </c>
      <c r="I100" s="51">
        <f t="shared" ca="1" si="4"/>
        <v>19</v>
      </c>
      <c r="J100" s="52" t="s">
        <v>262</v>
      </c>
      <c r="K100" s="53">
        <v>37660</v>
      </c>
      <c r="L100" s="54">
        <v>4</v>
      </c>
      <c r="M100" s="59">
        <f t="shared" si="5"/>
        <v>37660</v>
      </c>
    </row>
    <row r="101" spans="1:15">
      <c r="A101" s="39" t="s">
        <v>396</v>
      </c>
      <c r="B101" s="46" t="s">
        <v>266</v>
      </c>
      <c r="C101" s="39" t="s">
        <v>391</v>
      </c>
      <c r="D101" s="102">
        <v>291798311</v>
      </c>
      <c r="E101" s="102">
        <v>2526742736</v>
      </c>
      <c r="F101" s="39" t="s">
        <v>256</v>
      </c>
      <c r="G101" s="81">
        <f>34941+(364+182)</f>
        <v>35487</v>
      </c>
      <c r="H101" s="50" t="str">
        <f t="shared" si="3"/>
        <v>Feb</v>
      </c>
      <c r="I101" s="51">
        <f t="shared" ca="1" si="4"/>
        <v>19</v>
      </c>
      <c r="J101" s="52" t="s">
        <v>257</v>
      </c>
      <c r="K101" s="53">
        <v>80120</v>
      </c>
      <c r="L101" s="54">
        <v>4</v>
      </c>
      <c r="M101" s="59">
        <f t="shared" si="5"/>
        <v>80120</v>
      </c>
    </row>
    <row r="102" spans="1:15">
      <c r="A102" s="39" t="s">
        <v>352</v>
      </c>
      <c r="B102" s="46" t="s">
        <v>285</v>
      </c>
      <c r="C102" s="39" t="s">
        <v>312</v>
      </c>
      <c r="D102" s="102">
        <v>571120098</v>
      </c>
      <c r="E102" s="102">
        <v>2525789252</v>
      </c>
      <c r="F102" s="39" t="s">
        <v>256</v>
      </c>
      <c r="G102" s="81">
        <f>35283+(364+182)</f>
        <v>35829</v>
      </c>
      <c r="H102" s="50" t="str">
        <f t="shared" si="3"/>
        <v>Feb</v>
      </c>
      <c r="I102" s="51">
        <f t="shared" ca="1" si="4"/>
        <v>18</v>
      </c>
      <c r="J102" s="52" t="s">
        <v>257</v>
      </c>
      <c r="K102" s="53">
        <v>61030</v>
      </c>
      <c r="L102" s="54">
        <v>3</v>
      </c>
      <c r="M102" s="59">
        <f t="shared" si="5"/>
        <v>61030</v>
      </c>
      <c r="N102" s="107"/>
      <c r="O102" s="101"/>
    </row>
    <row r="103" spans="1:15">
      <c r="A103" s="39" t="s">
        <v>559</v>
      </c>
      <c r="B103" s="46" t="s">
        <v>245</v>
      </c>
      <c r="C103" s="39" t="s">
        <v>465</v>
      </c>
      <c r="D103" s="102">
        <v>661850671</v>
      </c>
      <c r="E103" s="102">
        <v>2528405900</v>
      </c>
      <c r="F103" s="39" t="s">
        <v>252</v>
      </c>
      <c r="G103" s="81">
        <f>35283+(364+182)</f>
        <v>35829</v>
      </c>
      <c r="H103" s="50" t="str">
        <f t="shared" si="3"/>
        <v>Feb</v>
      </c>
      <c r="I103" s="51">
        <f t="shared" ca="1" si="4"/>
        <v>18</v>
      </c>
      <c r="J103" s="52"/>
      <c r="K103" s="53">
        <v>29176</v>
      </c>
      <c r="L103" s="54">
        <v>3</v>
      </c>
      <c r="M103" s="59">
        <f t="shared" si="5"/>
        <v>29176</v>
      </c>
    </row>
    <row r="104" spans="1:15">
      <c r="A104" s="39" t="s">
        <v>609</v>
      </c>
      <c r="B104" s="46" t="s">
        <v>266</v>
      </c>
      <c r="C104" s="39" t="s">
        <v>465</v>
      </c>
      <c r="D104" s="102">
        <v>881975933</v>
      </c>
      <c r="E104" s="102">
        <v>9192354572</v>
      </c>
      <c r="F104" s="39" t="s">
        <v>256</v>
      </c>
      <c r="G104" s="81">
        <f>35284+(364+182)</f>
        <v>35830</v>
      </c>
      <c r="H104" s="50" t="str">
        <f t="shared" si="3"/>
        <v>Feb</v>
      </c>
      <c r="I104" s="51">
        <f t="shared" ca="1" si="4"/>
        <v>18</v>
      </c>
      <c r="J104" s="52" t="s">
        <v>267</v>
      </c>
      <c r="K104" s="53">
        <v>35460</v>
      </c>
      <c r="L104" s="54">
        <v>5</v>
      </c>
      <c r="M104" s="59">
        <f t="shared" si="5"/>
        <v>35460</v>
      </c>
    </row>
    <row r="105" spans="1:15">
      <c r="A105" s="39" t="s">
        <v>344</v>
      </c>
      <c r="B105" s="46" t="s">
        <v>271</v>
      </c>
      <c r="C105" s="39" t="s">
        <v>312</v>
      </c>
      <c r="D105" s="102">
        <v>639314672</v>
      </c>
      <c r="E105" s="102">
        <v>9191919478</v>
      </c>
      <c r="F105" s="39" t="s">
        <v>261</v>
      </c>
      <c r="G105" s="81">
        <f>35296+(364+182)</f>
        <v>35842</v>
      </c>
      <c r="H105" s="50" t="str">
        <f t="shared" si="3"/>
        <v>Feb</v>
      </c>
      <c r="I105" s="51">
        <f t="shared" ca="1" si="4"/>
        <v>18</v>
      </c>
      <c r="J105" s="52" t="s">
        <v>276</v>
      </c>
      <c r="K105" s="53">
        <v>23380</v>
      </c>
      <c r="L105" s="54">
        <v>4</v>
      </c>
      <c r="M105" s="59">
        <f t="shared" si="5"/>
        <v>23380</v>
      </c>
    </row>
    <row r="106" spans="1:15">
      <c r="A106" s="39" t="s">
        <v>911</v>
      </c>
      <c r="B106" s="46" t="s">
        <v>280</v>
      </c>
      <c r="C106" s="39" t="s">
        <v>856</v>
      </c>
      <c r="D106" s="102">
        <v>619456809</v>
      </c>
      <c r="E106" s="102">
        <v>9196865606</v>
      </c>
      <c r="F106" s="39" t="s">
        <v>261</v>
      </c>
      <c r="G106" s="81">
        <f>35296+(364+182)</f>
        <v>35842</v>
      </c>
      <c r="H106" s="50" t="str">
        <f t="shared" si="3"/>
        <v>Feb</v>
      </c>
      <c r="I106" s="51">
        <f t="shared" ca="1" si="4"/>
        <v>18</v>
      </c>
      <c r="J106" s="52" t="s">
        <v>267</v>
      </c>
      <c r="K106" s="53">
        <v>39530</v>
      </c>
      <c r="L106" s="54">
        <v>5</v>
      </c>
      <c r="M106" s="59">
        <f t="shared" si="5"/>
        <v>39530</v>
      </c>
    </row>
    <row r="107" spans="1:15">
      <c r="A107" s="39" t="s">
        <v>314</v>
      </c>
      <c r="B107" s="46" t="s">
        <v>271</v>
      </c>
      <c r="C107" s="39" t="s">
        <v>312</v>
      </c>
      <c r="D107" s="102">
        <v>981106829</v>
      </c>
      <c r="E107" s="102">
        <v>2526196095</v>
      </c>
      <c r="F107" s="39" t="s">
        <v>247</v>
      </c>
      <c r="G107" s="81">
        <f>35302+(364+182)</f>
        <v>35848</v>
      </c>
      <c r="H107" s="50" t="str">
        <f t="shared" si="3"/>
        <v>Feb</v>
      </c>
      <c r="I107" s="51">
        <f t="shared" ca="1" si="4"/>
        <v>18</v>
      </c>
      <c r="J107" s="52"/>
      <c r="K107" s="53">
        <v>85480</v>
      </c>
      <c r="L107" s="54">
        <v>5</v>
      </c>
      <c r="M107" s="59">
        <f t="shared" si="5"/>
        <v>85480</v>
      </c>
    </row>
    <row r="108" spans="1:15">
      <c r="A108" s="39" t="s">
        <v>657</v>
      </c>
      <c r="B108" s="46" t="s">
        <v>245</v>
      </c>
      <c r="C108" s="39" t="s">
        <v>626</v>
      </c>
      <c r="D108" s="102">
        <v>259330447</v>
      </c>
      <c r="E108" s="102">
        <v>9195252544</v>
      </c>
      <c r="F108" s="39" t="s">
        <v>247</v>
      </c>
      <c r="G108" s="81">
        <f>35646+(364+182)</f>
        <v>36192</v>
      </c>
      <c r="H108" s="50" t="str">
        <f t="shared" si="3"/>
        <v>Feb</v>
      </c>
      <c r="I108" s="51">
        <f t="shared" ca="1" si="4"/>
        <v>17</v>
      </c>
      <c r="J108" s="52"/>
      <c r="K108" s="53">
        <v>47620</v>
      </c>
      <c r="L108" s="54">
        <v>5</v>
      </c>
      <c r="M108" s="59">
        <f t="shared" si="5"/>
        <v>47620</v>
      </c>
    </row>
    <row r="109" spans="1:15">
      <c r="A109" s="39" t="s">
        <v>934</v>
      </c>
      <c r="B109" s="46" t="s">
        <v>245</v>
      </c>
      <c r="C109" s="39" t="s">
        <v>930</v>
      </c>
      <c r="D109" s="102">
        <v>247422007</v>
      </c>
      <c r="E109" s="102">
        <v>2528012440</v>
      </c>
      <c r="F109" s="39" t="s">
        <v>247</v>
      </c>
      <c r="G109" s="81">
        <f>35647+(364+182)</f>
        <v>36193</v>
      </c>
      <c r="H109" s="50" t="str">
        <f t="shared" si="3"/>
        <v>Feb</v>
      </c>
      <c r="I109" s="51">
        <f t="shared" ca="1" si="4"/>
        <v>17</v>
      </c>
      <c r="J109" s="52"/>
      <c r="K109" s="53">
        <v>58250</v>
      </c>
      <c r="L109" s="54">
        <v>2</v>
      </c>
      <c r="M109" s="59">
        <f t="shared" si="5"/>
        <v>58250</v>
      </c>
    </row>
    <row r="110" spans="1:15">
      <c r="A110" s="39" t="s">
        <v>782</v>
      </c>
      <c r="B110" s="46" t="s">
        <v>271</v>
      </c>
      <c r="C110" s="39" t="s">
        <v>767</v>
      </c>
      <c r="D110" s="102">
        <v>978154935</v>
      </c>
      <c r="E110" s="102">
        <v>2521384592</v>
      </c>
      <c r="F110" s="39" t="s">
        <v>256</v>
      </c>
      <c r="G110" s="81">
        <f>35649+(364+182)</f>
        <v>36195</v>
      </c>
      <c r="H110" s="50" t="str">
        <f t="shared" si="3"/>
        <v>Feb</v>
      </c>
      <c r="I110" s="51">
        <f t="shared" ca="1" si="4"/>
        <v>17</v>
      </c>
      <c r="J110" s="52" t="s">
        <v>267</v>
      </c>
      <c r="K110" s="53">
        <v>46360</v>
      </c>
      <c r="L110" s="54">
        <v>5</v>
      </c>
      <c r="M110" s="59">
        <f t="shared" si="5"/>
        <v>46360</v>
      </c>
    </row>
    <row r="111" spans="1:15">
      <c r="A111" s="39" t="s">
        <v>901</v>
      </c>
      <c r="B111" s="46" t="s">
        <v>271</v>
      </c>
      <c r="C111" s="39" t="s">
        <v>856</v>
      </c>
      <c r="D111" s="102">
        <v>718930584</v>
      </c>
      <c r="E111" s="102">
        <v>9195804771</v>
      </c>
      <c r="F111" s="39" t="s">
        <v>261</v>
      </c>
      <c r="G111" s="81">
        <f>35650+(364+182)</f>
        <v>36196</v>
      </c>
      <c r="H111" s="50" t="str">
        <f t="shared" si="3"/>
        <v>Feb</v>
      </c>
      <c r="I111" s="51">
        <f t="shared" ca="1" si="4"/>
        <v>17</v>
      </c>
      <c r="J111" s="52" t="s">
        <v>257</v>
      </c>
      <c r="K111" s="53">
        <v>34980</v>
      </c>
      <c r="L111" s="54">
        <v>2</v>
      </c>
      <c r="M111" s="59">
        <f t="shared" si="5"/>
        <v>34980</v>
      </c>
    </row>
    <row r="112" spans="1:15">
      <c r="A112" s="39" t="s">
        <v>486</v>
      </c>
      <c r="B112" s="46" t="s">
        <v>251</v>
      </c>
      <c r="C112" s="39" t="s">
        <v>465</v>
      </c>
      <c r="D112" s="102">
        <v>923123594</v>
      </c>
      <c r="E112" s="102">
        <v>2528669137</v>
      </c>
      <c r="F112" s="39" t="s">
        <v>256</v>
      </c>
      <c r="G112" s="81">
        <f>35652+(364+182)</f>
        <v>36198</v>
      </c>
      <c r="H112" s="50" t="str">
        <f t="shared" si="3"/>
        <v>Feb</v>
      </c>
      <c r="I112" s="51">
        <f t="shared" ca="1" si="4"/>
        <v>17</v>
      </c>
      <c r="J112" s="52" t="s">
        <v>276</v>
      </c>
      <c r="K112" s="53">
        <v>81400</v>
      </c>
      <c r="L112" s="54">
        <v>2</v>
      </c>
      <c r="M112" s="59">
        <f t="shared" si="5"/>
        <v>81400</v>
      </c>
    </row>
    <row r="113" spans="1:15">
      <c r="A113" s="39" t="s">
        <v>664</v>
      </c>
      <c r="B113" s="46" t="s">
        <v>251</v>
      </c>
      <c r="C113" s="39" t="s">
        <v>626</v>
      </c>
      <c r="D113" s="102">
        <v>345817459</v>
      </c>
      <c r="E113" s="102">
        <v>9195594427</v>
      </c>
      <c r="F113" s="39" t="s">
        <v>247</v>
      </c>
      <c r="G113" s="81">
        <f>35653+(364+182)</f>
        <v>36199</v>
      </c>
      <c r="H113" s="50" t="str">
        <f t="shared" si="3"/>
        <v>Feb</v>
      </c>
      <c r="I113" s="51">
        <f t="shared" ca="1" si="4"/>
        <v>17</v>
      </c>
      <c r="J113" s="52"/>
      <c r="K113" s="53">
        <v>31270</v>
      </c>
      <c r="L113" s="54">
        <v>5</v>
      </c>
      <c r="M113" s="59">
        <f t="shared" si="5"/>
        <v>31270</v>
      </c>
    </row>
    <row r="114" spans="1:15">
      <c r="A114" s="39" t="s">
        <v>298</v>
      </c>
      <c r="B114" s="46" t="s">
        <v>285</v>
      </c>
      <c r="C114" s="39" t="s">
        <v>296</v>
      </c>
      <c r="D114" s="102">
        <v>533976888</v>
      </c>
      <c r="E114" s="102">
        <v>9192572783</v>
      </c>
      <c r="F114" s="39" t="s">
        <v>256</v>
      </c>
      <c r="G114" s="81">
        <f>35668+(364+182)</f>
        <v>36214</v>
      </c>
      <c r="H114" s="50" t="str">
        <f t="shared" si="3"/>
        <v>Feb</v>
      </c>
      <c r="I114" s="51">
        <f t="shared" ca="1" si="4"/>
        <v>17</v>
      </c>
      <c r="J114" s="52" t="s">
        <v>276</v>
      </c>
      <c r="K114" s="53">
        <v>47850</v>
      </c>
      <c r="L114" s="54">
        <v>1</v>
      </c>
      <c r="M114" s="59">
        <f t="shared" si="5"/>
        <v>47850</v>
      </c>
    </row>
    <row r="115" spans="1:15">
      <c r="A115" s="39" t="s">
        <v>888</v>
      </c>
      <c r="B115" s="46" t="s">
        <v>285</v>
      </c>
      <c r="C115" s="39" t="s">
        <v>856</v>
      </c>
      <c r="D115" s="102">
        <v>351003584</v>
      </c>
      <c r="E115" s="102">
        <v>2524269081</v>
      </c>
      <c r="F115" s="39" t="s">
        <v>247</v>
      </c>
      <c r="G115" s="81">
        <f>35668+(364+182)</f>
        <v>36214</v>
      </c>
      <c r="H115" s="50" t="str">
        <f t="shared" si="3"/>
        <v>Feb</v>
      </c>
      <c r="I115" s="51">
        <f t="shared" ca="1" si="4"/>
        <v>17</v>
      </c>
      <c r="J115" s="52"/>
      <c r="K115" s="53">
        <v>53310</v>
      </c>
      <c r="L115" s="54">
        <v>5</v>
      </c>
      <c r="M115" s="59">
        <f t="shared" si="5"/>
        <v>53310</v>
      </c>
    </row>
    <row r="116" spans="1:15">
      <c r="A116" s="45" t="s">
        <v>281</v>
      </c>
      <c r="B116" s="46" t="s">
        <v>251</v>
      </c>
      <c r="C116" s="45" t="s">
        <v>272</v>
      </c>
      <c r="D116" s="106">
        <v>356110882</v>
      </c>
      <c r="E116" s="106">
        <v>2527936742</v>
      </c>
      <c r="F116" s="45" t="s">
        <v>261</v>
      </c>
      <c r="G116" s="105">
        <f>35671+(364+182)</f>
        <v>36217</v>
      </c>
      <c r="H116" s="50" t="str">
        <f t="shared" si="3"/>
        <v>Feb</v>
      </c>
      <c r="I116" s="51">
        <f t="shared" ca="1" si="4"/>
        <v>17</v>
      </c>
      <c r="J116" s="52" t="s">
        <v>257</v>
      </c>
      <c r="K116" s="53">
        <v>15240</v>
      </c>
      <c r="L116" s="54">
        <v>1</v>
      </c>
      <c r="M116" s="59">
        <f t="shared" si="5"/>
        <v>15240</v>
      </c>
      <c r="O116" s="104"/>
    </row>
    <row r="117" spans="1:15">
      <c r="A117" s="39" t="s">
        <v>818</v>
      </c>
      <c r="B117" s="46" t="s">
        <v>280</v>
      </c>
      <c r="C117" s="39" t="s">
        <v>767</v>
      </c>
      <c r="D117" s="102">
        <v>369210573</v>
      </c>
      <c r="E117" s="102">
        <v>2526555049</v>
      </c>
      <c r="F117" s="39" t="s">
        <v>261</v>
      </c>
      <c r="G117" s="81">
        <f>35671+(364+182)</f>
        <v>36217</v>
      </c>
      <c r="H117" s="50" t="str">
        <f t="shared" si="3"/>
        <v>Feb</v>
      </c>
      <c r="I117" s="51">
        <f t="shared" ca="1" si="4"/>
        <v>17</v>
      </c>
      <c r="J117" s="52" t="s">
        <v>283</v>
      </c>
      <c r="K117" s="53">
        <v>22475</v>
      </c>
      <c r="L117" s="54">
        <v>4</v>
      </c>
      <c r="M117" s="59">
        <f t="shared" si="5"/>
        <v>22475</v>
      </c>
    </row>
    <row r="118" spans="1:15">
      <c r="A118" s="39" t="s">
        <v>868</v>
      </c>
      <c r="B118" s="46" t="s">
        <v>266</v>
      </c>
      <c r="C118" s="39" t="s">
        <v>856</v>
      </c>
      <c r="D118" s="102">
        <v>733881041</v>
      </c>
      <c r="E118" s="102">
        <v>2524072342</v>
      </c>
      <c r="F118" s="39" t="s">
        <v>252</v>
      </c>
      <c r="G118" s="81">
        <f>36011+(364+182)</f>
        <v>36557</v>
      </c>
      <c r="H118" s="50" t="str">
        <f t="shared" si="3"/>
        <v>Feb</v>
      </c>
      <c r="I118" s="51">
        <f t="shared" ca="1" si="4"/>
        <v>16</v>
      </c>
      <c r="J118" s="52"/>
      <c r="K118" s="53">
        <v>15552</v>
      </c>
      <c r="L118" s="54">
        <v>4</v>
      </c>
      <c r="M118" s="59">
        <f t="shared" si="5"/>
        <v>15552</v>
      </c>
    </row>
    <row r="119" spans="1:15">
      <c r="A119" s="39" t="s">
        <v>1033</v>
      </c>
      <c r="B119" s="46" t="s">
        <v>266</v>
      </c>
      <c r="C119" s="39" t="s">
        <v>1031</v>
      </c>
      <c r="D119" s="102">
        <v>495372474</v>
      </c>
      <c r="E119" s="102">
        <v>9194137278</v>
      </c>
      <c r="F119" s="39" t="s">
        <v>261</v>
      </c>
      <c r="G119" s="81">
        <f>36011+(364+182)</f>
        <v>36557</v>
      </c>
      <c r="H119" s="50" t="str">
        <f t="shared" si="3"/>
        <v>Feb</v>
      </c>
      <c r="I119" s="51">
        <f t="shared" ca="1" si="4"/>
        <v>16</v>
      </c>
      <c r="J119" s="52" t="s">
        <v>257</v>
      </c>
      <c r="K119" s="53">
        <v>31250</v>
      </c>
      <c r="L119" s="54">
        <v>2</v>
      </c>
      <c r="M119" s="59">
        <f t="shared" si="5"/>
        <v>31250</v>
      </c>
    </row>
    <row r="120" spans="1:15">
      <c r="A120" s="39" t="s">
        <v>686</v>
      </c>
      <c r="B120" s="46" t="s">
        <v>280</v>
      </c>
      <c r="C120" s="39" t="s">
        <v>678</v>
      </c>
      <c r="D120" s="102">
        <v>665006199</v>
      </c>
      <c r="E120" s="102">
        <v>2525555817</v>
      </c>
      <c r="F120" s="39" t="s">
        <v>256</v>
      </c>
      <c r="G120" s="81">
        <f>36021+(364+182)</f>
        <v>36567</v>
      </c>
      <c r="H120" s="50" t="str">
        <f t="shared" si="3"/>
        <v>Feb</v>
      </c>
      <c r="I120" s="51">
        <f t="shared" ca="1" si="4"/>
        <v>16</v>
      </c>
      <c r="J120" s="52" t="s">
        <v>276</v>
      </c>
      <c r="K120" s="53">
        <v>45450</v>
      </c>
      <c r="L120" s="54">
        <v>5</v>
      </c>
      <c r="M120" s="59">
        <f t="shared" si="5"/>
        <v>45450</v>
      </c>
    </row>
    <row r="121" spans="1:15">
      <c r="A121" s="39" t="s">
        <v>414</v>
      </c>
      <c r="B121" s="46" t="s">
        <v>245</v>
      </c>
      <c r="C121" s="39" t="s">
        <v>411</v>
      </c>
      <c r="D121" s="102">
        <v>885773638</v>
      </c>
      <c r="E121" s="102">
        <v>9196188082</v>
      </c>
      <c r="F121" s="39" t="s">
        <v>256</v>
      </c>
      <c r="G121" s="81">
        <f>36023+(364+182)</f>
        <v>36569</v>
      </c>
      <c r="H121" s="50" t="str">
        <f t="shared" si="3"/>
        <v>Feb</v>
      </c>
      <c r="I121" s="51">
        <f t="shared" ca="1" si="4"/>
        <v>16</v>
      </c>
      <c r="J121" s="52" t="s">
        <v>283</v>
      </c>
      <c r="K121" s="53">
        <v>75060</v>
      </c>
      <c r="L121" s="54">
        <v>5</v>
      </c>
      <c r="M121" s="59">
        <f t="shared" si="5"/>
        <v>75060</v>
      </c>
    </row>
    <row r="122" spans="1:15">
      <c r="A122" s="39" t="s">
        <v>665</v>
      </c>
      <c r="B122" s="46" t="s">
        <v>245</v>
      </c>
      <c r="C122" s="39" t="s">
        <v>626</v>
      </c>
      <c r="D122" s="102">
        <v>662247915</v>
      </c>
      <c r="E122" s="102">
        <v>9194378387</v>
      </c>
      <c r="F122" s="39" t="s">
        <v>256</v>
      </c>
      <c r="G122" s="81">
        <f>36394+(364+182)</f>
        <v>36940</v>
      </c>
      <c r="H122" s="50" t="str">
        <f t="shared" si="3"/>
        <v>Feb</v>
      </c>
      <c r="I122" s="51">
        <f t="shared" ca="1" si="4"/>
        <v>15</v>
      </c>
      <c r="J122" s="52" t="s">
        <v>257</v>
      </c>
      <c r="K122" s="53">
        <v>48990</v>
      </c>
      <c r="L122" s="54">
        <v>5</v>
      </c>
      <c r="M122" s="59">
        <f t="shared" si="5"/>
        <v>48990</v>
      </c>
    </row>
    <row r="123" spans="1:15">
      <c r="A123" s="39" t="s">
        <v>454</v>
      </c>
      <c r="B123" s="46" t="s">
        <v>271</v>
      </c>
      <c r="C123" s="39" t="s">
        <v>417</v>
      </c>
      <c r="D123" s="102">
        <v>625531462</v>
      </c>
      <c r="E123" s="102">
        <v>2527553017</v>
      </c>
      <c r="F123" s="39" t="s">
        <v>256</v>
      </c>
      <c r="G123" s="81">
        <f>36742+(364+182)</f>
        <v>37288</v>
      </c>
      <c r="H123" s="50" t="str">
        <f t="shared" si="3"/>
        <v>Feb</v>
      </c>
      <c r="I123" s="51">
        <f t="shared" ca="1" si="4"/>
        <v>14</v>
      </c>
      <c r="J123" s="52" t="s">
        <v>257</v>
      </c>
      <c r="K123" s="53">
        <v>42480</v>
      </c>
      <c r="L123" s="54">
        <v>3</v>
      </c>
      <c r="M123" s="59">
        <f t="shared" si="5"/>
        <v>42480</v>
      </c>
    </row>
    <row r="124" spans="1:15">
      <c r="A124" s="39" t="s">
        <v>394</v>
      </c>
      <c r="B124" s="46" t="s">
        <v>280</v>
      </c>
      <c r="C124" s="39" t="s">
        <v>391</v>
      </c>
      <c r="D124" s="102">
        <v>581823751</v>
      </c>
      <c r="E124" s="102">
        <v>2528577225</v>
      </c>
      <c r="F124" s="39" t="s">
        <v>247</v>
      </c>
      <c r="G124" s="81">
        <f>37121+(364+182)</f>
        <v>37667</v>
      </c>
      <c r="H124" s="50" t="str">
        <f t="shared" si="3"/>
        <v>Feb</v>
      </c>
      <c r="I124" s="51">
        <f t="shared" ca="1" si="4"/>
        <v>13</v>
      </c>
      <c r="J124" s="52"/>
      <c r="K124" s="53">
        <v>73390</v>
      </c>
      <c r="L124" s="54">
        <v>2</v>
      </c>
      <c r="M124" s="59">
        <f t="shared" si="5"/>
        <v>73390</v>
      </c>
    </row>
    <row r="125" spans="1:15">
      <c r="A125" s="39" t="s">
        <v>918</v>
      </c>
      <c r="B125" s="46" t="s">
        <v>251</v>
      </c>
      <c r="C125" s="39" t="s">
        <v>856</v>
      </c>
      <c r="D125" s="102">
        <v>626501093</v>
      </c>
      <c r="E125" s="102">
        <v>9192822520</v>
      </c>
      <c r="F125" s="39" t="s">
        <v>247</v>
      </c>
      <c r="G125" s="81">
        <f>37481+(364+182)</f>
        <v>38027</v>
      </c>
      <c r="H125" s="50" t="str">
        <f t="shared" si="3"/>
        <v>Feb</v>
      </c>
      <c r="I125" s="51">
        <f t="shared" ca="1" si="4"/>
        <v>12</v>
      </c>
      <c r="J125" s="52"/>
      <c r="K125" s="53">
        <v>64590</v>
      </c>
      <c r="L125" s="54">
        <v>1</v>
      </c>
      <c r="M125" s="59">
        <f t="shared" si="5"/>
        <v>64590</v>
      </c>
    </row>
    <row r="126" spans="1:15">
      <c r="A126" s="39" t="s">
        <v>489</v>
      </c>
      <c r="B126" s="46" t="s">
        <v>285</v>
      </c>
      <c r="C126" s="39" t="s">
        <v>465</v>
      </c>
      <c r="D126" s="102">
        <v>337370590</v>
      </c>
      <c r="E126" s="102">
        <v>9197046530</v>
      </c>
      <c r="F126" s="39" t="s">
        <v>247</v>
      </c>
      <c r="G126" s="81">
        <f>37498+(364+182)</f>
        <v>38044</v>
      </c>
      <c r="H126" s="50" t="str">
        <f t="shared" si="3"/>
        <v>Feb</v>
      </c>
      <c r="I126" s="51">
        <f t="shared" ca="1" si="4"/>
        <v>12</v>
      </c>
      <c r="J126" s="52"/>
      <c r="K126" s="53">
        <v>57410</v>
      </c>
      <c r="L126" s="54">
        <v>2</v>
      </c>
      <c r="M126" s="59">
        <f t="shared" si="5"/>
        <v>57410</v>
      </c>
    </row>
    <row r="127" spans="1:15">
      <c r="A127" s="39" t="s">
        <v>373</v>
      </c>
      <c r="B127" s="46" t="s">
        <v>271</v>
      </c>
      <c r="C127" s="39" t="s">
        <v>372</v>
      </c>
      <c r="D127" s="102">
        <v>759350847</v>
      </c>
      <c r="E127" s="102">
        <v>2527474942</v>
      </c>
      <c r="F127" s="39" t="s">
        <v>256</v>
      </c>
      <c r="G127" s="81">
        <f>37851+(364+182)</f>
        <v>38397</v>
      </c>
      <c r="H127" s="50" t="str">
        <f t="shared" si="3"/>
        <v>Feb</v>
      </c>
      <c r="I127" s="51">
        <f t="shared" ca="1" si="4"/>
        <v>11</v>
      </c>
      <c r="J127" s="52" t="s">
        <v>257</v>
      </c>
      <c r="K127" s="53">
        <v>36630</v>
      </c>
      <c r="L127" s="54">
        <v>4</v>
      </c>
      <c r="M127" s="59">
        <f t="shared" si="5"/>
        <v>36630</v>
      </c>
    </row>
    <row r="128" spans="1:15">
      <c r="A128" s="39" t="s">
        <v>440</v>
      </c>
      <c r="B128" s="46" t="s">
        <v>285</v>
      </c>
      <c r="C128" s="39" t="s">
        <v>417</v>
      </c>
      <c r="D128" s="102">
        <v>659929807</v>
      </c>
      <c r="E128" s="102">
        <v>9193089561</v>
      </c>
      <c r="F128" s="39" t="s">
        <v>256</v>
      </c>
      <c r="G128" s="81">
        <f>38207+(364+182)</f>
        <v>38753</v>
      </c>
      <c r="H128" s="50" t="str">
        <f t="shared" si="3"/>
        <v>Feb</v>
      </c>
      <c r="I128" s="51">
        <f t="shared" ca="1" si="4"/>
        <v>10</v>
      </c>
      <c r="J128" s="52" t="s">
        <v>257</v>
      </c>
      <c r="K128" s="53">
        <v>22410</v>
      </c>
      <c r="L128" s="54">
        <v>4</v>
      </c>
      <c r="M128" s="59">
        <f t="shared" si="5"/>
        <v>22410</v>
      </c>
    </row>
    <row r="129" spans="1:34">
      <c r="A129" s="39" t="s">
        <v>374</v>
      </c>
      <c r="B129" s="46" t="s">
        <v>285</v>
      </c>
      <c r="C129" s="39" t="s">
        <v>372</v>
      </c>
      <c r="D129" s="102">
        <v>920505896</v>
      </c>
      <c r="E129" s="102">
        <v>2523173691</v>
      </c>
      <c r="F129" s="39" t="s">
        <v>247</v>
      </c>
      <c r="G129" s="81">
        <f>38209+(364+182)</f>
        <v>38755</v>
      </c>
      <c r="H129" s="50" t="str">
        <f t="shared" si="3"/>
        <v>Feb</v>
      </c>
      <c r="I129" s="51">
        <f t="shared" ca="1" si="4"/>
        <v>10</v>
      </c>
      <c r="J129" s="52"/>
      <c r="K129" s="53">
        <v>78860</v>
      </c>
      <c r="L129" s="54">
        <v>2</v>
      </c>
      <c r="M129" s="59">
        <f t="shared" si="5"/>
        <v>78860</v>
      </c>
    </row>
    <row r="130" spans="1:34" s="84" customFormat="1">
      <c r="A130" s="39" t="s">
        <v>807</v>
      </c>
      <c r="B130" s="46" t="s">
        <v>285</v>
      </c>
      <c r="C130" s="39" t="s">
        <v>767</v>
      </c>
      <c r="D130" s="102">
        <v>765512793</v>
      </c>
      <c r="E130" s="102">
        <v>9197686976</v>
      </c>
      <c r="F130" s="39" t="s">
        <v>256</v>
      </c>
      <c r="G130" s="81">
        <f>39318+(364+182)</f>
        <v>39864</v>
      </c>
      <c r="H130" s="50" t="str">
        <f t="shared" si="3"/>
        <v>Feb</v>
      </c>
      <c r="I130" s="51">
        <f t="shared" ca="1" si="4"/>
        <v>7</v>
      </c>
      <c r="J130" s="52" t="s">
        <v>257</v>
      </c>
      <c r="K130" s="53">
        <v>64320</v>
      </c>
      <c r="L130" s="54">
        <v>5</v>
      </c>
      <c r="M130" s="59">
        <f t="shared" si="5"/>
        <v>64320</v>
      </c>
      <c r="N130" s="100"/>
      <c r="O130" s="45"/>
      <c r="P130" s="39"/>
      <c r="Q130" s="39"/>
      <c r="R130" s="39"/>
      <c r="S130" s="39"/>
      <c r="T130" s="39"/>
      <c r="U130" s="39"/>
      <c r="V130" s="39"/>
      <c r="W130" s="39"/>
      <c r="X130" s="39"/>
      <c r="Y130" s="39"/>
      <c r="Z130" s="39"/>
      <c r="AA130" s="39"/>
      <c r="AB130" s="39"/>
      <c r="AC130" s="39"/>
      <c r="AD130" s="39"/>
      <c r="AE130" s="39"/>
      <c r="AF130" s="39"/>
      <c r="AG130" s="39"/>
      <c r="AH130" s="39"/>
    </row>
    <row r="131" spans="1:34" s="84" customFormat="1">
      <c r="A131" s="39" t="s">
        <v>653</v>
      </c>
      <c r="B131" s="46" t="s">
        <v>245</v>
      </c>
      <c r="C131" s="39" t="s">
        <v>626</v>
      </c>
      <c r="D131" s="102">
        <v>132016163</v>
      </c>
      <c r="E131" s="102">
        <v>2527726916</v>
      </c>
      <c r="F131" s="39" t="s">
        <v>261</v>
      </c>
      <c r="G131" s="81">
        <f>39325+(364+182)</f>
        <v>39871</v>
      </c>
      <c r="H131" s="50" t="str">
        <f t="shared" ref="H131:H194" si="6">CHOOSE(MONTH(G131),"Jan","Feb","Mar","Apr","May","Jun","Jul","Aug","Sep","Oct","Nov","Dec")</f>
        <v>Feb</v>
      </c>
      <c r="I131" s="51">
        <f t="shared" ref="I131:I194" ca="1" si="7">DATEDIF(G131,TODAY(),"Y")</f>
        <v>7</v>
      </c>
      <c r="J131" s="52" t="s">
        <v>267</v>
      </c>
      <c r="K131" s="53">
        <v>38575</v>
      </c>
      <c r="L131" s="54">
        <v>2</v>
      </c>
      <c r="M131" s="59">
        <f t="shared" ref="M131:M194" si="8">ROUND(K131*P129+K131,0)</f>
        <v>38575</v>
      </c>
      <c r="N131" s="100"/>
      <c r="O131" s="45"/>
      <c r="P131" s="39"/>
      <c r="Q131" s="39"/>
      <c r="R131" s="39"/>
      <c r="S131" s="39"/>
      <c r="T131" s="39"/>
      <c r="U131" s="39"/>
      <c r="V131" s="39"/>
      <c r="W131" s="39"/>
      <c r="X131" s="39"/>
      <c r="Y131" s="39"/>
      <c r="Z131" s="39"/>
      <c r="AA131" s="39"/>
      <c r="AB131" s="39"/>
      <c r="AC131" s="39"/>
      <c r="AD131" s="39"/>
      <c r="AE131" s="39"/>
      <c r="AF131" s="39"/>
      <c r="AG131" s="39"/>
      <c r="AH131" s="39"/>
    </row>
    <row r="132" spans="1:34" s="84" customFormat="1">
      <c r="A132" s="39" t="s">
        <v>949</v>
      </c>
      <c r="B132" s="46" t="s">
        <v>285</v>
      </c>
      <c r="C132" s="39" t="s">
        <v>930</v>
      </c>
      <c r="D132" s="102">
        <v>794814501</v>
      </c>
      <c r="E132" s="102">
        <v>2525604891</v>
      </c>
      <c r="F132" s="39" t="s">
        <v>247</v>
      </c>
      <c r="G132" s="81">
        <f>39689+(364+182)</f>
        <v>40235</v>
      </c>
      <c r="H132" s="50" t="str">
        <f t="shared" si="6"/>
        <v>Feb</v>
      </c>
      <c r="I132" s="51">
        <f t="shared" ca="1" si="7"/>
        <v>6</v>
      </c>
      <c r="J132" s="52"/>
      <c r="K132" s="53">
        <v>80729</v>
      </c>
      <c r="L132" s="54">
        <v>3</v>
      </c>
      <c r="M132" s="59">
        <f t="shared" si="8"/>
        <v>80729</v>
      </c>
      <c r="N132" s="100"/>
      <c r="O132" s="45"/>
      <c r="P132" s="39"/>
      <c r="Q132" s="39"/>
      <c r="R132" s="39"/>
      <c r="S132" s="39"/>
      <c r="T132" s="39"/>
      <c r="U132" s="39"/>
      <c r="V132" s="39"/>
      <c r="W132" s="39"/>
      <c r="X132" s="39"/>
      <c r="Y132" s="39"/>
      <c r="Z132" s="39"/>
      <c r="AA132" s="39"/>
      <c r="AB132" s="39"/>
      <c r="AC132" s="39"/>
      <c r="AD132" s="39"/>
      <c r="AE132" s="39"/>
      <c r="AF132" s="39"/>
      <c r="AG132" s="39"/>
      <c r="AH132" s="39"/>
    </row>
    <row r="133" spans="1:34" s="84" customFormat="1">
      <c r="A133" s="39" t="s">
        <v>448</v>
      </c>
      <c r="B133" s="46" t="s">
        <v>271</v>
      </c>
      <c r="C133" s="39" t="s">
        <v>417</v>
      </c>
      <c r="D133" s="102">
        <v>232896341</v>
      </c>
      <c r="E133" s="102">
        <v>9197288082</v>
      </c>
      <c r="F133" s="39" t="s">
        <v>247</v>
      </c>
      <c r="G133" s="103">
        <f>39690+(364+182)</f>
        <v>40236</v>
      </c>
      <c r="H133" s="50" t="str">
        <f t="shared" si="6"/>
        <v>Feb</v>
      </c>
      <c r="I133" s="51">
        <f t="shared" ca="1" si="7"/>
        <v>6</v>
      </c>
      <c r="J133" s="52"/>
      <c r="K133" s="53">
        <v>45830</v>
      </c>
      <c r="L133" s="54">
        <v>4</v>
      </c>
      <c r="M133" s="59">
        <f t="shared" si="8"/>
        <v>45830</v>
      </c>
      <c r="N133" s="100"/>
      <c r="O133" s="45"/>
      <c r="P133" s="39"/>
      <c r="Q133" s="39"/>
      <c r="R133" s="39"/>
      <c r="S133" s="39"/>
      <c r="T133" s="39"/>
      <c r="U133" s="39"/>
      <c r="V133" s="39"/>
      <c r="W133" s="39"/>
      <c r="X133" s="39"/>
      <c r="Y133" s="39"/>
      <c r="Z133" s="39"/>
      <c r="AA133" s="39"/>
      <c r="AB133" s="39"/>
      <c r="AC133" s="39"/>
      <c r="AD133" s="39"/>
      <c r="AE133" s="39"/>
      <c r="AF133" s="39"/>
      <c r="AG133" s="39"/>
      <c r="AH133" s="39"/>
    </row>
    <row r="134" spans="1:34" s="84" customFormat="1">
      <c r="A134" s="39" t="s">
        <v>365</v>
      </c>
      <c r="B134" s="46" t="s">
        <v>251</v>
      </c>
      <c r="C134" s="39" t="s">
        <v>312</v>
      </c>
      <c r="D134" s="102">
        <v>877122222</v>
      </c>
      <c r="E134" s="102">
        <v>9195511103</v>
      </c>
      <c r="F134" s="39" t="s">
        <v>256</v>
      </c>
      <c r="G134" s="81">
        <f>40029+(364+182)</f>
        <v>40575</v>
      </c>
      <c r="H134" s="50" t="str">
        <f t="shared" si="6"/>
        <v>Feb</v>
      </c>
      <c r="I134" s="51">
        <f t="shared" ca="1" si="7"/>
        <v>5</v>
      </c>
      <c r="J134" s="52" t="s">
        <v>276</v>
      </c>
      <c r="K134" s="53">
        <v>74710</v>
      </c>
      <c r="L134" s="54">
        <v>2</v>
      </c>
      <c r="M134" s="59">
        <f t="shared" si="8"/>
        <v>74710</v>
      </c>
      <c r="N134" s="100"/>
      <c r="O134" s="45"/>
      <c r="P134" s="39"/>
      <c r="Q134" s="39"/>
      <c r="R134" s="39"/>
      <c r="S134" s="39"/>
      <c r="T134" s="39"/>
      <c r="U134" s="39"/>
      <c r="V134" s="39"/>
      <c r="W134" s="39"/>
      <c r="X134" s="39"/>
      <c r="Y134" s="39"/>
      <c r="Z134" s="39"/>
      <c r="AA134" s="39"/>
      <c r="AB134" s="39"/>
      <c r="AC134" s="39"/>
      <c r="AD134" s="39"/>
      <c r="AE134" s="39"/>
      <c r="AF134" s="39"/>
      <c r="AG134" s="39"/>
      <c r="AH134" s="39"/>
    </row>
    <row r="135" spans="1:34" s="84" customFormat="1">
      <c r="A135" s="39" t="s">
        <v>481</v>
      </c>
      <c r="B135" s="46" t="s">
        <v>245</v>
      </c>
      <c r="C135" s="39" t="s">
        <v>465</v>
      </c>
      <c r="D135" s="102">
        <v>466947318</v>
      </c>
      <c r="E135" s="102">
        <v>9191765611</v>
      </c>
      <c r="F135" s="39" t="s">
        <v>256</v>
      </c>
      <c r="G135" s="81">
        <f>40032+(364+182)</f>
        <v>40578</v>
      </c>
      <c r="H135" s="50" t="str">
        <f t="shared" si="6"/>
        <v>Feb</v>
      </c>
      <c r="I135" s="51">
        <f t="shared" ca="1" si="7"/>
        <v>5</v>
      </c>
      <c r="J135" s="52" t="s">
        <v>257</v>
      </c>
      <c r="K135" s="53">
        <v>43820</v>
      </c>
      <c r="L135" s="54">
        <v>2</v>
      </c>
      <c r="M135" s="59">
        <f t="shared" si="8"/>
        <v>43820</v>
      </c>
      <c r="N135" s="100"/>
      <c r="O135" s="45"/>
      <c r="P135" s="39"/>
      <c r="Q135" s="39"/>
      <c r="R135" s="39"/>
      <c r="S135" s="39"/>
      <c r="T135" s="39"/>
      <c r="U135" s="39"/>
      <c r="V135" s="39"/>
      <c r="W135" s="39"/>
      <c r="X135" s="39"/>
      <c r="Y135" s="39"/>
      <c r="Z135" s="39"/>
      <c r="AA135" s="39"/>
      <c r="AB135" s="39"/>
      <c r="AC135" s="39"/>
      <c r="AD135" s="39"/>
      <c r="AE135" s="39"/>
      <c r="AF135" s="39"/>
      <c r="AG135" s="39"/>
      <c r="AH135" s="39"/>
    </row>
    <row r="136" spans="1:34" s="84" customFormat="1">
      <c r="A136" s="39" t="s">
        <v>883</v>
      </c>
      <c r="B136" s="46" t="s">
        <v>285</v>
      </c>
      <c r="C136" s="39" t="s">
        <v>856</v>
      </c>
      <c r="D136" s="102">
        <v>323701315</v>
      </c>
      <c r="E136" s="102">
        <v>9194479196</v>
      </c>
      <c r="F136" s="39" t="s">
        <v>256</v>
      </c>
      <c r="G136" s="81">
        <f>40035+(364+182)</f>
        <v>40581</v>
      </c>
      <c r="H136" s="50" t="str">
        <f t="shared" si="6"/>
        <v>Feb</v>
      </c>
      <c r="I136" s="51">
        <f t="shared" ca="1" si="7"/>
        <v>5</v>
      </c>
      <c r="J136" s="52" t="s">
        <v>267</v>
      </c>
      <c r="K136" s="53">
        <v>80260</v>
      </c>
      <c r="L136" s="54">
        <v>3</v>
      </c>
      <c r="M136" s="59">
        <f t="shared" si="8"/>
        <v>80260</v>
      </c>
      <c r="N136" s="100"/>
      <c r="O136" s="45"/>
      <c r="P136" s="39"/>
      <c r="Q136" s="39"/>
      <c r="R136" s="39"/>
      <c r="S136" s="39"/>
      <c r="T136" s="39"/>
      <c r="U136" s="39"/>
      <c r="V136" s="39"/>
      <c r="W136" s="39"/>
      <c r="X136" s="39"/>
      <c r="Y136" s="39"/>
      <c r="Z136" s="39"/>
      <c r="AA136" s="39"/>
      <c r="AB136" s="39"/>
      <c r="AC136" s="39"/>
      <c r="AD136" s="39"/>
      <c r="AE136" s="39"/>
      <c r="AF136" s="39"/>
      <c r="AG136" s="39"/>
      <c r="AH136" s="39"/>
    </row>
    <row r="137" spans="1:34" s="84" customFormat="1">
      <c r="A137" s="39" t="s">
        <v>340</v>
      </c>
      <c r="B137" s="46" t="s">
        <v>285</v>
      </c>
      <c r="C137" s="39" t="s">
        <v>312</v>
      </c>
      <c r="D137" s="102">
        <v>129397083</v>
      </c>
      <c r="E137" s="102">
        <v>2521391475</v>
      </c>
      <c r="F137" s="39" t="s">
        <v>256</v>
      </c>
      <c r="G137" s="81">
        <f>40050+(364+182)</f>
        <v>40596</v>
      </c>
      <c r="H137" s="50" t="str">
        <f t="shared" si="6"/>
        <v>Feb</v>
      </c>
      <c r="I137" s="51">
        <f t="shared" ca="1" si="7"/>
        <v>5</v>
      </c>
      <c r="J137" s="52" t="s">
        <v>267</v>
      </c>
      <c r="K137" s="53">
        <v>68910</v>
      </c>
      <c r="L137" s="54">
        <v>5</v>
      </c>
      <c r="M137" s="59">
        <f t="shared" si="8"/>
        <v>68910</v>
      </c>
      <c r="N137" s="100"/>
      <c r="O137" s="45"/>
      <c r="P137" s="39"/>
      <c r="Q137" s="39"/>
      <c r="R137" s="39"/>
      <c r="S137" s="39"/>
      <c r="T137" s="39"/>
      <c r="U137" s="39"/>
      <c r="V137" s="39"/>
      <c r="W137" s="39"/>
      <c r="X137" s="39"/>
      <c r="Y137" s="39"/>
      <c r="Z137" s="39"/>
      <c r="AA137" s="39"/>
      <c r="AB137" s="39"/>
      <c r="AC137" s="39"/>
      <c r="AD137" s="39"/>
      <c r="AE137" s="39"/>
      <c r="AF137" s="39"/>
      <c r="AG137" s="39"/>
      <c r="AH137" s="39"/>
    </row>
    <row r="138" spans="1:34" s="84" customFormat="1">
      <c r="A138" s="39" t="s">
        <v>654</v>
      </c>
      <c r="B138" s="46" t="s">
        <v>285</v>
      </c>
      <c r="C138" s="39" t="s">
        <v>626</v>
      </c>
      <c r="D138" s="102">
        <v>643272576</v>
      </c>
      <c r="E138" s="102">
        <v>2522256131</v>
      </c>
      <c r="F138" s="39" t="s">
        <v>252</v>
      </c>
      <c r="G138" s="81">
        <f>32759+(364+182)</f>
        <v>33305</v>
      </c>
      <c r="H138" s="50" t="str">
        <f t="shared" si="6"/>
        <v>Mar</v>
      </c>
      <c r="I138" s="51">
        <f t="shared" ca="1" si="7"/>
        <v>25</v>
      </c>
      <c r="J138" s="52"/>
      <c r="K138" s="53">
        <v>36844</v>
      </c>
      <c r="L138" s="54">
        <v>4</v>
      </c>
      <c r="M138" s="59">
        <f t="shared" si="8"/>
        <v>36844</v>
      </c>
      <c r="N138" s="100"/>
      <c r="O138" s="45"/>
      <c r="P138" s="39"/>
      <c r="Q138" s="39"/>
      <c r="R138" s="39"/>
      <c r="S138" s="39"/>
      <c r="T138" s="39"/>
      <c r="U138" s="39"/>
      <c r="V138" s="39"/>
      <c r="W138" s="39"/>
      <c r="X138" s="39"/>
      <c r="Y138" s="39"/>
      <c r="Z138" s="39"/>
      <c r="AA138" s="39"/>
      <c r="AB138" s="39"/>
      <c r="AC138" s="39"/>
      <c r="AD138" s="39"/>
      <c r="AE138" s="39"/>
      <c r="AF138" s="39"/>
      <c r="AG138" s="39"/>
      <c r="AH138" s="39"/>
    </row>
    <row r="139" spans="1:34" s="84" customFormat="1">
      <c r="A139" s="39" t="s">
        <v>643</v>
      </c>
      <c r="B139" s="46" t="s">
        <v>271</v>
      </c>
      <c r="C139" s="39" t="s">
        <v>626</v>
      </c>
      <c r="D139" s="102">
        <v>555025137</v>
      </c>
      <c r="E139" s="102">
        <v>2526565171</v>
      </c>
      <c r="F139" s="39" t="s">
        <v>261</v>
      </c>
      <c r="G139" s="81">
        <f>32773+(364+182)</f>
        <v>33319</v>
      </c>
      <c r="H139" s="50" t="str">
        <f t="shared" si="6"/>
        <v>Mar</v>
      </c>
      <c r="I139" s="51">
        <f t="shared" ca="1" si="7"/>
        <v>25</v>
      </c>
      <c r="J139" s="52" t="s">
        <v>267</v>
      </c>
      <c r="K139" s="53">
        <v>13090</v>
      </c>
      <c r="L139" s="54">
        <v>4</v>
      </c>
      <c r="M139" s="59">
        <f t="shared" si="8"/>
        <v>13090</v>
      </c>
      <c r="N139" s="100"/>
      <c r="O139" s="45"/>
      <c r="P139" s="39"/>
      <c r="Q139" s="39"/>
      <c r="R139" s="39"/>
      <c r="S139" s="39"/>
      <c r="T139" s="39"/>
      <c r="U139" s="39"/>
      <c r="V139" s="39"/>
      <c r="W139" s="39"/>
      <c r="X139" s="39"/>
      <c r="Y139" s="39"/>
      <c r="Z139" s="39"/>
      <c r="AA139" s="39"/>
      <c r="AB139" s="39"/>
      <c r="AC139" s="39"/>
      <c r="AD139" s="39"/>
      <c r="AE139" s="39"/>
      <c r="AF139" s="39"/>
      <c r="AG139" s="39"/>
      <c r="AH139" s="39"/>
    </row>
    <row r="140" spans="1:34" s="84" customFormat="1">
      <c r="A140" s="39" t="s">
        <v>759</v>
      </c>
      <c r="B140" s="46" t="s">
        <v>271</v>
      </c>
      <c r="C140" s="39" t="s">
        <v>750</v>
      </c>
      <c r="D140" s="102">
        <v>967826310</v>
      </c>
      <c r="E140" s="102">
        <v>9196100410</v>
      </c>
      <c r="F140" s="39" t="s">
        <v>256</v>
      </c>
      <c r="G140" s="81">
        <f>32774+(364+182)</f>
        <v>33320</v>
      </c>
      <c r="H140" s="50" t="str">
        <f t="shared" si="6"/>
        <v>Mar</v>
      </c>
      <c r="I140" s="51">
        <f t="shared" ca="1" si="7"/>
        <v>25</v>
      </c>
      <c r="J140" s="52" t="s">
        <v>276</v>
      </c>
      <c r="K140" s="53">
        <v>35320</v>
      </c>
      <c r="L140" s="54">
        <v>3</v>
      </c>
      <c r="M140" s="59">
        <f t="shared" si="8"/>
        <v>35320</v>
      </c>
      <c r="N140" s="100"/>
      <c r="O140" s="45"/>
      <c r="P140" s="39"/>
      <c r="Q140" s="39"/>
      <c r="R140" s="39"/>
      <c r="S140" s="39"/>
      <c r="T140" s="39"/>
      <c r="U140" s="39"/>
      <c r="V140" s="39"/>
      <c r="W140" s="39"/>
      <c r="X140" s="39"/>
      <c r="Y140" s="39"/>
      <c r="Z140" s="39"/>
      <c r="AA140" s="39"/>
      <c r="AB140" s="39"/>
      <c r="AC140" s="39"/>
      <c r="AD140" s="39"/>
      <c r="AE140" s="39"/>
      <c r="AF140" s="39"/>
      <c r="AG140" s="39"/>
      <c r="AH140" s="39"/>
    </row>
    <row r="141" spans="1:34" s="84" customFormat="1">
      <c r="A141" s="39" t="s">
        <v>809</v>
      </c>
      <c r="B141" s="46" t="s">
        <v>245</v>
      </c>
      <c r="C141" s="39" t="s">
        <v>767</v>
      </c>
      <c r="D141" s="102">
        <v>378882665</v>
      </c>
      <c r="E141" s="102">
        <v>2526079829</v>
      </c>
      <c r="F141" s="39" t="s">
        <v>261</v>
      </c>
      <c r="G141" s="81">
        <f>33125+(364+182)</f>
        <v>33671</v>
      </c>
      <c r="H141" s="50" t="str">
        <f t="shared" si="6"/>
        <v>Mar</v>
      </c>
      <c r="I141" s="51">
        <f t="shared" ca="1" si="7"/>
        <v>24</v>
      </c>
      <c r="J141" s="52" t="s">
        <v>257</v>
      </c>
      <c r="K141" s="53">
        <v>46380</v>
      </c>
      <c r="L141" s="54">
        <v>3</v>
      </c>
      <c r="M141" s="59">
        <f t="shared" si="8"/>
        <v>46380</v>
      </c>
      <c r="N141" s="100"/>
      <c r="O141" s="45"/>
      <c r="P141" s="39"/>
      <c r="Q141" s="39"/>
      <c r="R141" s="39"/>
      <c r="S141" s="39"/>
      <c r="T141" s="39"/>
      <c r="U141" s="39"/>
      <c r="V141" s="39"/>
      <c r="W141" s="39"/>
      <c r="X141" s="39"/>
      <c r="Y141" s="39"/>
      <c r="Z141" s="39"/>
      <c r="AA141" s="39"/>
      <c r="AB141" s="39"/>
      <c r="AC141" s="39"/>
      <c r="AD141" s="39"/>
      <c r="AE141" s="39"/>
      <c r="AF141" s="39"/>
      <c r="AG141" s="39"/>
      <c r="AH141" s="39"/>
    </row>
    <row r="142" spans="1:34" s="84" customFormat="1">
      <c r="A142" s="39" t="s">
        <v>349</v>
      </c>
      <c r="B142" s="46" t="s">
        <v>251</v>
      </c>
      <c r="C142" s="39" t="s">
        <v>312</v>
      </c>
      <c r="D142" s="102">
        <v>403504590</v>
      </c>
      <c r="E142" s="102">
        <v>9192400511</v>
      </c>
      <c r="F142" s="39" t="s">
        <v>247</v>
      </c>
      <c r="G142" s="81">
        <f>33132+(364+182)</f>
        <v>33678</v>
      </c>
      <c r="H142" s="50" t="str">
        <f t="shared" si="6"/>
        <v>Mar</v>
      </c>
      <c r="I142" s="51">
        <f t="shared" ca="1" si="7"/>
        <v>24</v>
      </c>
      <c r="J142" s="52"/>
      <c r="K142" s="53">
        <v>64460</v>
      </c>
      <c r="L142" s="54">
        <v>1</v>
      </c>
      <c r="M142" s="59">
        <f t="shared" si="8"/>
        <v>64460</v>
      </c>
      <c r="N142" s="100"/>
      <c r="O142" s="45"/>
      <c r="P142" s="39"/>
      <c r="Q142" s="39"/>
      <c r="R142" s="39"/>
      <c r="S142" s="39"/>
      <c r="T142" s="39"/>
      <c r="U142" s="39"/>
      <c r="V142" s="39"/>
      <c r="W142" s="39"/>
      <c r="X142" s="39"/>
      <c r="Y142" s="39"/>
      <c r="Z142" s="39"/>
      <c r="AA142" s="39"/>
      <c r="AB142" s="39"/>
      <c r="AC142" s="39"/>
      <c r="AD142" s="39"/>
      <c r="AE142" s="39"/>
      <c r="AF142" s="39"/>
      <c r="AG142" s="39"/>
      <c r="AH142" s="39"/>
    </row>
    <row r="143" spans="1:34" s="84" customFormat="1">
      <c r="A143" s="39" t="s">
        <v>980</v>
      </c>
      <c r="B143" s="46" t="s">
        <v>285</v>
      </c>
      <c r="C143" s="39" t="s">
        <v>930</v>
      </c>
      <c r="D143" s="102">
        <v>283476654</v>
      </c>
      <c r="E143" s="102">
        <v>9197049910</v>
      </c>
      <c r="F143" s="39" t="s">
        <v>256</v>
      </c>
      <c r="G143" s="81">
        <f>33135+(364+182)</f>
        <v>33681</v>
      </c>
      <c r="H143" s="50" t="str">
        <f t="shared" si="6"/>
        <v>Mar</v>
      </c>
      <c r="I143" s="51">
        <f t="shared" ca="1" si="7"/>
        <v>24</v>
      </c>
      <c r="J143" s="52" t="s">
        <v>262</v>
      </c>
      <c r="K143" s="53">
        <v>46550</v>
      </c>
      <c r="L143" s="54">
        <v>4</v>
      </c>
      <c r="M143" s="59">
        <f t="shared" si="8"/>
        <v>46550</v>
      </c>
      <c r="N143" s="100"/>
      <c r="O143" s="45"/>
      <c r="P143" s="39"/>
      <c r="Q143" s="39"/>
      <c r="R143" s="39"/>
      <c r="S143" s="39"/>
      <c r="T143" s="39"/>
      <c r="U143" s="39"/>
      <c r="V143" s="39"/>
      <c r="W143" s="39"/>
      <c r="X143" s="39"/>
      <c r="Y143" s="39"/>
      <c r="Z143" s="39"/>
      <c r="AA143" s="39"/>
      <c r="AB143" s="39"/>
      <c r="AC143" s="39"/>
      <c r="AD143" s="39"/>
      <c r="AE143" s="39"/>
      <c r="AF143" s="39"/>
      <c r="AG143" s="39"/>
      <c r="AH143" s="39"/>
    </row>
    <row r="144" spans="1:34" s="84" customFormat="1">
      <c r="A144" s="39" t="s">
        <v>876</v>
      </c>
      <c r="B144" s="46" t="s">
        <v>285</v>
      </c>
      <c r="C144" s="39" t="s">
        <v>856</v>
      </c>
      <c r="D144" s="102">
        <v>622200296</v>
      </c>
      <c r="E144" s="102">
        <v>2526306545</v>
      </c>
      <c r="F144" s="39" t="s">
        <v>256</v>
      </c>
      <c r="G144" s="81">
        <f>33139+(364+182)</f>
        <v>33685</v>
      </c>
      <c r="H144" s="50" t="str">
        <f t="shared" si="6"/>
        <v>Mar</v>
      </c>
      <c r="I144" s="51">
        <f t="shared" ca="1" si="7"/>
        <v>24</v>
      </c>
      <c r="J144" s="52" t="s">
        <v>257</v>
      </c>
      <c r="K144" s="53">
        <v>65571</v>
      </c>
      <c r="L144" s="54">
        <v>3</v>
      </c>
      <c r="M144" s="59">
        <f t="shared" si="8"/>
        <v>65571</v>
      </c>
      <c r="N144" s="100"/>
      <c r="O144" s="45"/>
      <c r="P144" s="39"/>
      <c r="Q144" s="39"/>
      <c r="R144" s="39"/>
      <c r="S144" s="39"/>
      <c r="T144" s="39"/>
      <c r="U144" s="39"/>
      <c r="V144" s="39"/>
      <c r="W144" s="39"/>
      <c r="X144" s="39"/>
      <c r="Y144" s="39"/>
      <c r="Z144" s="39"/>
      <c r="AA144" s="39"/>
      <c r="AB144" s="39"/>
      <c r="AC144" s="39"/>
      <c r="AD144" s="39"/>
      <c r="AE144" s="39"/>
      <c r="AF144" s="39"/>
      <c r="AG144" s="39"/>
      <c r="AH144" s="39"/>
    </row>
    <row r="145" spans="1:34" s="84" customFormat="1">
      <c r="A145" s="39" t="s">
        <v>474</v>
      </c>
      <c r="B145" s="46" t="s">
        <v>251</v>
      </c>
      <c r="C145" s="39" t="s">
        <v>465</v>
      </c>
      <c r="D145" s="102">
        <v>884025623</v>
      </c>
      <c r="E145" s="102">
        <v>2521280865</v>
      </c>
      <c r="F145" s="39" t="s">
        <v>247</v>
      </c>
      <c r="G145" s="81">
        <f>33485+(364+182)</f>
        <v>34031</v>
      </c>
      <c r="H145" s="50" t="str">
        <f t="shared" si="6"/>
        <v>Mar</v>
      </c>
      <c r="I145" s="51">
        <f t="shared" ca="1" si="7"/>
        <v>23</v>
      </c>
      <c r="J145" s="52"/>
      <c r="K145" s="53">
        <v>64430</v>
      </c>
      <c r="L145" s="54">
        <v>4</v>
      </c>
      <c r="M145" s="59">
        <f t="shared" si="8"/>
        <v>64430</v>
      </c>
      <c r="N145" s="100"/>
      <c r="O145" s="45"/>
      <c r="P145" s="39"/>
      <c r="Q145" s="39"/>
      <c r="R145" s="39"/>
      <c r="S145" s="39"/>
      <c r="T145" s="39"/>
      <c r="U145" s="39"/>
      <c r="V145" s="39"/>
      <c r="W145" s="39"/>
      <c r="X145" s="39"/>
      <c r="Y145" s="39"/>
      <c r="Z145" s="39"/>
      <c r="AA145" s="39"/>
      <c r="AB145" s="39"/>
      <c r="AC145" s="39"/>
      <c r="AD145" s="39"/>
      <c r="AE145" s="39"/>
      <c r="AF145" s="39"/>
      <c r="AG145" s="39"/>
      <c r="AH145" s="39"/>
    </row>
    <row r="146" spans="1:34" s="84" customFormat="1">
      <c r="A146" s="39" t="s">
        <v>638</v>
      </c>
      <c r="B146" s="46" t="s">
        <v>285</v>
      </c>
      <c r="C146" s="39" t="s">
        <v>626</v>
      </c>
      <c r="D146" s="102">
        <v>254201611</v>
      </c>
      <c r="E146" s="102">
        <v>9197803578</v>
      </c>
      <c r="F146" s="39" t="s">
        <v>256</v>
      </c>
      <c r="G146" s="81">
        <f>33488+(364+182)</f>
        <v>34034</v>
      </c>
      <c r="H146" s="50" t="str">
        <f t="shared" si="6"/>
        <v>Mar</v>
      </c>
      <c r="I146" s="51">
        <f t="shared" ca="1" si="7"/>
        <v>23</v>
      </c>
      <c r="J146" s="52" t="s">
        <v>267</v>
      </c>
      <c r="K146" s="53">
        <v>45180</v>
      </c>
      <c r="L146" s="54">
        <v>5</v>
      </c>
      <c r="M146" s="59">
        <f t="shared" si="8"/>
        <v>45180</v>
      </c>
      <c r="N146" s="100"/>
      <c r="O146" s="45"/>
      <c r="P146" s="39"/>
      <c r="Q146" s="39"/>
      <c r="R146" s="39"/>
      <c r="S146" s="39"/>
      <c r="T146" s="39"/>
      <c r="U146" s="39"/>
      <c r="V146" s="39"/>
      <c r="W146" s="39"/>
      <c r="X146" s="39"/>
      <c r="Y146" s="39"/>
      <c r="Z146" s="39"/>
      <c r="AA146" s="39"/>
      <c r="AB146" s="39"/>
      <c r="AC146" s="39"/>
      <c r="AD146" s="39"/>
      <c r="AE146" s="39"/>
      <c r="AF146" s="39"/>
      <c r="AG146" s="39"/>
      <c r="AH146" s="39"/>
    </row>
    <row r="147" spans="1:34" s="84" customFormat="1">
      <c r="A147" s="39" t="s">
        <v>987</v>
      </c>
      <c r="B147" s="46" t="s">
        <v>271</v>
      </c>
      <c r="C147" s="39" t="s">
        <v>930</v>
      </c>
      <c r="D147" s="102">
        <v>750006979</v>
      </c>
      <c r="E147" s="102">
        <v>2528444054</v>
      </c>
      <c r="F147" s="39" t="s">
        <v>261</v>
      </c>
      <c r="G147" s="81">
        <f>33496+(364+182)</f>
        <v>34042</v>
      </c>
      <c r="H147" s="50" t="str">
        <f t="shared" si="6"/>
        <v>Mar</v>
      </c>
      <c r="I147" s="51">
        <f t="shared" ca="1" si="7"/>
        <v>23</v>
      </c>
      <c r="J147" s="52" t="s">
        <v>267</v>
      </c>
      <c r="K147" s="53">
        <v>27710</v>
      </c>
      <c r="L147" s="54">
        <v>3</v>
      </c>
      <c r="M147" s="59">
        <f t="shared" si="8"/>
        <v>27710</v>
      </c>
      <c r="N147" s="100"/>
      <c r="O147" s="45"/>
      <c r="P147" s="39"/>
      <c r="Q147" s="39"/>
      <c r="R147" s="39"/>
      <c r="S147" s="39"/>
      <c r="T147" s="39"/>
      <c r="U147" s="39"/>
      <c r="V147" s="39"/>
      <c r="W147" s="39"/>
      <c r="X147" s="39"/>
      <c r="Y147" s="39"/>
      <c r="Z147" s="39"/>
      <c r="AA147" s="39"/>
      <c r="AB147" s="39"/>
      <c r="AC147" s="39"/>
      <c r="AD147" s="39"/>
      <c r="AE147" s="39"/>
      <c r="AF147" s="39"/>
      <c r="AG147" s="39"/>
      <c r="AH147" s="39"/>
    </row>
    <row r="148" spans="1:34" s="84" customFormat="1">
      <c r="A148" s="39" t="s">
        <v>565</v>
      </c>
      <c r="B148" s="46" t="s">
        <v>245</v>
      </c>
      <c r="C148" s="39" t="s">
        <v>465</v>
      </c>
      <c r="D148" s="102">
        <v>138607245</v>
      </c>
      <c r="E148" s="102">
        <v>2522140101</v>
      </c>
      <c r="F148" s="39" t="s">
        <v>247</v>
      </c>
      <c r="G148" s="81">
        <f>33507+(364+182)</f>
        <v>34053</v>
      </c>
      <c r="H148" s="50" t="str">
        <f t="shared" si="6"/>
        <v>Mar</v>
      </c>
      <c r="I148" s="51">
        <f t="shared" ca="1" si="7"/>
        <v>23</v>
      </c>
      <c r="J148" s="52"/>
      <c r="K148" s="53">
        <v>79220</v>
      </c>
      <c r="L148" s="54">
        <v>4</v>
      </c>
      <c r="M148" s="59">
        <f t="shared" si="8"/>
        <v>79220</v>
      </c>
      <c r="N148" s="100"/>
      <c r="O148" s="45"/>
      <c r="P148" s="39"/>
      <c r="Q148" s="39"/>
      <c r="R148" s="39"/>
      <c r="S148" s="39"/>
      <c r="T148" s="39"/>
      <c r="U148" s="39"/>
      <c r="V148" s="39"/>
      <c r="W148" s="39"/>
      <c r="X148" s="39"/>
      <c r="Y148" s="39"/>
      <c r="Z148" s="39"/>
      <c r="AA148" s="39"/>
      <c r="AB148" s="39"/>
      <c r="AC148" s="39"/>
      <c r="AD148" s="39"/>
      <c r="AE148" s="39"/>
      <c r="AF148" s="39"/>
      <c r="AG148" s="39"/>
      <c r="AH148" s="39"/>
    </row>
    <row r="149" spans="1:34" s="84" customFormat="1">
      <c r="A149" s="39" t="s">
        <v>652</v>
      </c>
      <c r="B149" s="46" t="s">
        <v>266</v>
      </c>
      <c r="C149" s="39" t="s">
        <v>626</v>
      </c>
      <c r="D149" s="102">
        <v>466400098</v>
      </c>
      <c r="E149" s="102">
        <v>2524652136</v>
      </c>
      <c r="F149" s="39" t="s">
        <v>247</v>
      </c>
      <c r="G149" s="81">
        <f>33508+(364+182)</f>
        <v>34054</v>
      </c>
      <c r="H149" s="50" t="str">
        <f t="shared" si="6"/>
        <v>Mar</v>
      </c>
      <c r="I149" s="51">
        <f t="shared" ca="1" si="7"/>
        <v>23</v>
      </c>
      <c r="J149" s="52"/>
      <c r="K149" s="53">
        <v>29000</v>
      </c>
      <c r="L149" s="54">
        <v>5</v>
      </c>
      <c r="M149" s="59">
        <f t="shared" si="8"/>
        <v>29000</v>
      </c>
      <c r="N149" s="100"/>
      <c r="O149" s="45"/>
      <c r="P149" s="39"/>
      <c r="Q149" s="39"/>
      <c r="R149" s="39"/>
      <c r="S149" s="39"/>
      <c r="T149" s="39"/>
      <c r="U149" s="39"/>
      <c r="V149" s="39"/>
      <c r="W149" s="39"/>
      <c r="X149" s="39"/>
      <c r="Y149" s="39"/>
      <c r="Z149" s="39"/>
      <c r="AA149" s="39"/>
      <c r="AB149" s="39"/>
      <c r="AC149" s="39"/>
      <c r="AD149" s="39"/>
      <c r="AE149" s="39"/>
      <c r="AF149" s="39"/>
      <c r="AG149" s="39"/>
      <c r="AH149" s="39"/>
    </row>
    <row r="150" spans="1:34" s="84" customFormat="1">
      <c r="A150" s="39" t="s">
        <v>463</v>
      </c>
      <c r="B150" s="46" t="s">
        <v>271</v>
      </c>
      <c r="C150" s="39" t="s">
        <v>456</v>
      </c>
      <c r="D150" s="102">
        <v>244171882</v>
      </c>
      <c r="E150" s="102">
        <v>2527577867</v>
      </c>
      <c r="F150" s="39" t="s">
        <v>261</v>
      </c>
      <c r="G150" s="81">
        <f>33855+(364+182)</f>
        <v>34401</v>
      </c>
      <c r="H150" s="50" t="str">
        <f t="shared" si="6"/>
        <v>Mar</v>
      </c>
      <c r="I150" s="51">
        <f t="shared" ca="1" si="7"/>
        <v>22</v>
      </c>
      <c r="J150" s="52" t="s">
        <v>267</v>
      </c>
      <c r="K150" s="53">
        <v>89780</v>
      </c>
      <c r="L150" s="54">
        <v>4</v>
      </c>
      <c r="M150" s="59">
        <f t="shared" si="8"/>
        <v>89780</v>
      </c>
      <c r="N150" s="100"/>
      <c r="O150" s="45"/>
      <c r="P150" s="39"/>
      <c r="Q150" s="39"/>
      <c r="R150" s="39"/>
      <c r="S150" s="39"/>
      <c r="T150" s="39"/>
      <c r="U150" s="39"/>
      <c r="V150" s="39"/>
      <c r="W150" s="39"/>
      <c r="X150" s="39"/>
      <c r="Y150" s="39"/>
      <c r="Z150" s="39"/>
      <c r="AA150" s="39"/>
      <c r="AB150" s="39"/>
      <c r="AC150" s="39"/>
      <c r="AD150" s="39"/>
      <c r="AE150" s="39"/>
      <c r="AF150" s="39"/>
      <c r="AG150" s="39"/>
      <c r="AH150" s="39"/>
    </row>
    <row r="151" spans="1:34" s="84" customFormat="1">
      <c r="A151" s="39" t="s">
        <v>518</v>
      </c>
      <c r="B151" s="46" t="s">
        <v>271</v>
      </c>
      <c r="C151" s="39" t="s">
        <v>465</v>
      </c>
      <c r="D151" s="102">
        <v>775217609</v>
      </c>
      <c r="E151" s="102">
        <v>9191591006</v>
      </c>
      <c r="F151" s="39" t="s">
        <v>256</v>
      </c>
      <c r="G151" s="81">
        <f>33858+(364+182)</f>
        <v>34404</v>
      </c>
      <c r="H151" s="50" t="str">
        <f t="shared" si="6"/>
        <v>Mar</v>
      </c>
      <c r="I151" s="51">
        <f t="shared" ca="1" si="7"/>
        <v>22</v>
      </c>
      <c r="J151" s="52" t="s">
        <v>283</v>
      </c>
      <c r="K151" s="53">
        <v>24710</v>
      </c>
      <c r="L151" s="54">
        <v>2</v>
      </c>
      <c r="M151" s="59">
        <f t="shared" si="8"/>
        <v>24710</v>
      </c>
      <c r="N151" s="100"/>
      <c r="O151" s="45"/>
      <c r="P151" s="39"/>
      <c r="Q151" s="39"/>
      <c r="R151" s="39"/>
      <c r="S151" s="39"/>
      <c r="T151" s="39"/>
      <c r="U151" s="39"/>
      <c r="V151" s="39"/>
      <c r="W151" s="39"/>
      <c r="X151" s="39"/>
      <c r="Y151" s="39"/>
      <c r="Z151" s="39"/>
      <c r="AA151" s="39"/>
      <c r="AB151" s="39"/>
      <c r="AC151" s="39"/>
      <c r="AD151" s="39"/>
      <c r="AE151" s="39"/>
      <c r="AF151" s="39"/>
      <c r="AG151" s="39"/>
      <c r="AH151" s="39"/>
    </row>
    <row r="152" spans="1:34" s="84" customFormat="1">
      <c r="A152" s="39" t="s">
        <v>702</v>
      </c>
      <c r="B152" s="46" t="s">
        <v>245</v>
      </c>
      <c r="C152" s="39" t="s">
        <v>700</v>
      </c>
      <c r="D152" s="102">
        <v>425943144</v>
      </c>
      <c r="E152" s="102">
        <v>2522911046</v>
      </c>
      <c r="F152" s="39" t="s">
        <v>247</v>
      </c>
      <c r="G152" s="81">
        <f>33862+(364+182)</f>
        <v>34408</v>
      </c>
      <c r="H152" s="50" t="str">
        <f t="shared" si="6"/>
        <v>Mar</v>
      </c>
      <c r="I152" s="51">
        <f t="shared" ca="1" si="7"/>
        <v>22</v>
      </c>
      <c r="J152" s="52"/>
      <c r="K152" s="53">
        <v>71700</v>
      </c>
      <c r="L152" s="54">
        <v>2</v>
      </c>
      <c r="M152" s="59">
        <f t="shared" si="8"/>
        <v>71700</v>
      </c>
      <c r="N152" s="100"/>
      <c r="O152" s="45"/>
      <c r="P152" s="39"/>
      <c r="Q152" s="39"/>
      <c r="R152" s="39"/>
      <c r="S152" s="39"/>
      <c r="T152" s="39"/>
      <c r="U152" s="39"/>
      <c r="V152" s="39"/>
      <c r="W152" s="39"/>
      <c r="X152" s="39"/>
      <c r="Y152" s="39"/>
      <c r="Z152" s="39"/>
      <c r="AA152" s="39"/>
      <c r="AB152" s="39"/>
      <c r="AC152" s="39"/>
      <c r="AD152" s="39"/>
      <c r="AE152" s="39"/>
      <c r="AF152" s="39"/>
      <c r="AG152" s="39"/>
      <c r="AH152" s="39"/>
    </row>
    <row r="153" spans="1:34" s="84" customFormat="1">
      <c r="A153" s="39" t="s">
        <v>430</v>
      </c>
      <c r="B153" s="46" t="s">
        <v>245</v>
      </c>
      <c r="C153" s="39" t="s">
        <v>417</v>
      </c>
      <c r="D153" s="102">
        <v>870601943</v>
      </c>
      <c r="E153" s="102">
        <v>9196097340</v>
      </c>
      <c r="F153" s="39" t="s">
        <v>247</v>
      </c>
      <c r="G153" s="81">
        <f>34215+(364+182)</f>
        <v>34761</v>
      </c>
      <c r="H153" s="50" t="str">
        <f t="shared" si="6"/>
        <v>Mar</v>
      </c>
      <c r="I153" s="51">
        <f t="shared" ca="1" si="7"/>
        <v>21</v>
      </c>
      <c r="J153" s="52"/>
      <c r="K153" s="53">
        <v>45040</v>
      </c>
      <c r="L153" s="54">
        <v>5</v>
      </c>
      <c r="M153" s="59">
        <f t="shared" si="8"/>
        <v>45040</v>
      </c>
      <c r="N153" s="100"/>
      <c r="O153" s="45"/>
      <c r="P153" s="39"/>
      <c r="Q153" s="39"/>
      <c r="R153" s="39"/>
      <c r="S153" s="39"/>
      <c r="T153" s="39"/>
      <c r="U153" s="39"/>
      <c r="V153" s="39"/>
      <c r="W153" s="39"/>
      <c r="X153" s="39"/>
      <c r="Y153" s="39"/>
      <c r="Z153" s="39"/>
      <c r="AA153" s="39"/>
      <c r="AB153" s="39"/>
      <c r="AC153" s="39"/>
      <c r="AD153" s="39"/>
      <c r="AE153" s="39"/>
      <c r="AF153" s="39"/>
      <c r="AG153" s="39"/>
      <c r="AH153" s="39"/>
    </row>
    <row r="154" spans="1:34" s="84" customFormat="1">
      <c r="A154" s="39" t="s">
        <v>453</v>
      </c>
      <c r="B154" s="46" t="s">
        <v>271</v>
      </c>
      <c r="C154" s="39" t="s">
        <v>417</v>
      </c>
      <c r="D154" s="102">
        <v>622274162</v>
      </c>
      <c r="E154" s="102">
        <v>9191264786</v>
      </c>
      <c r="F154" s="39" t="s">
        <v>247</v>
      </c>
      <c r="G154" s="81">
        <f>34225+(364+182)</f>
        <v>34771</v>
      </c>
      <c r="H154" s="50" t="str">
        <f t="shared" si="6"/>
        <v>Mar</v>
      </c>
      <c r="I154" s="51">
        <f t="shared" ca="1" si="7"/>
        <v>21</v>
      </c>
      <c r="J154" s="52"/>
      <c r="K154" s="53">
        <v>26360</v>
      </c>
      <c r="L154" s="54">
        <v>4</v>
      </c>
      <c r="M154" s="59">
        <f t="shared" si="8"/>
        <v>26360</v>
      </c>
      <c r="N154" s="100"/>
      <c r="O154" s="45"/>
      <c r="P154" s="39"/>
      <c r="Q154" s="39"/>
      <c r="R154" s="39"/>
      <c r="S154" s="39"/>
      <c r="T154" s="39"/>
      <c r="U154" s="39"/>
      <c r="V154" s="39"/>
      <c r="W154" s="39"/>
      <c r="X154" s="39"/>
      <c r="Y154" s="39"/>
      <c r="Z154" s="39"/>
      <c r="AA154" s="39"/>
      <c r="AB154" s="39"/>
      <c r="AC154" s="39"/>
      <c r="AD154" s="39"/>
      <c r="AE154" s="39"/>
      <c r="AF154" s="39"/>
      <c r="AG154" s="39"/>
      <c r="AH154" s="39"/>
    </row>
    <row r="155" spans="1:34" s="84" customFormat="1">
      <c r="A155" s="39" t="s">
        <v>582</v>
      </c>
      <c r="B155" s="46" t="s">
        <v>251</v>
      </c>
      <c r="C155" s="39" t="s">
        <v>465</v>
      </c>
      <c r="D155" s="102">
        <v>944793994</v>
      </c>
      <c r="E155" s="102">
        <v>2525725646</v>
      </c>
      <c r="F155" s="39" t="s">
        <v>256</v>
      </c>
      <c r="G155" s="81">
        <f>34239+(364+182)</f>
        <v>34785</v>
      </c>
      <c r="H155" s="50" t="str">
        <f t="shared" si="6"/>
        <v>Mar</v>
      </c>
      <c r="I155" s="51">
        <f t="shared" ca="1" si="7"/>
        <v>21</v>
      </c>
      <c r="J155" s="52" t="s">
        <v>257</v>
      </c>
      <c r="K155" s="53">
        <v>24300</v>
      </c>
      <c r="L155" s="54">
        <v>3</v>
      </c>
      <c r="M155" s="59">
        <f t="shared" si="8"/>
        <v>24300</v>
      </c>
      <c r="N155" s="100"/>
      <c r="O155" s="45"/>
      <c r="P155" s="39"/>
      <c r="Q155" s="39"/>
      <c r="R155" s="39"/>
      <c r="S155" s="39"/>
      <c r="T155" s="39"/>
      <c r="U155" s="39"/>
      <c r="V155" s="39"/>
      <c r="W155" s="39"/>
      <c r="X155" s="39"/>
      <c r="Y155" s="39"/>
      <c r="Z155" s="39"/>
      <c r="AA155" s="39"/>
      <c r="AB155" s="39"/>
      <c r="AC155" s="39"/>
      <c r="AD155" s="39"/>
      <c r="AE155" s="39"/>
      <c r="AF155" s="39"/>
      <c r="AG155" s="39"/>
      <c r="AH155" s="39"/>
    </row>
    <row r="156" spans="1:34" s="84" customFormat="1">
      <c r="A156" s="39" t="s">
        <v>740</v>
      </c>
      <c r="B156" s="46" t="s">
        <v>280</v>
      </c>
      <c r="C156" s="39" t="s">
        <v>705</v>
      </c>
      <c r="D156" s="102">
        <v>577239513</v>
      </c>
      <c r="E156" s="102">
        <v>9193199265</v>
      </c>
      <c r="F156" s="39" t="s">
        <v>256</v>
      </c>
      <c r="G156" s="81">
        <f>34587+(364+182)</f>
        <v>35133</v>
      </c>
      <c r="H156" s="50" t="str">
        <f t="shared" si="6"/>
        <v>Mar</v>
      </c>
      <c r="I156" s="51">
        <f t="shared" ca="1" si="7"/>
        <v>20</v>
      </c>
      <c r="J156" s="52" t="s">
        <v>283</v>
      </c>
      <c r="K156" s="53">
        <v>63080</v>
      </c>
      <c r="L156" s="54">
        <v>5</v>
      </c>
      <c r="M156" s="59">
        <f t="shared" si="8"/>
        <v>63080</v>
      </c>
      <c r="N156" s="100"/>
      <c r="O156" s="45"/>
      <c r="P156" s="39"/>
      <c r="Q156" s="39"/>
      <c r="R156" s="39"/>
      <c r="S156" s="39"/>
      <c r="T156" s="39"/>
      <c r="U156" s="39"/>
      <c r="V156" s="39"/>
      <c r="W156" s="39"/>
      <c r="X156" s="39"/>
      <c r="Y156" s="39"/>
      <c r="Z156" s="39"/>
      <c r="AA156" s="39"/>
      <c r="AB156" s="39"/>
      <c r="AC156" s="39"/>
      <c r="AD156" s="39"/>
      <c r="AE156" s="39"/>
      <c r="AF156" s="39"/>
      <c r="AG156" s="39"/>
      <c r="AH156" s="39"/>
    </row>
    <row r="157" spans="1:34" s="84" customFormat="1">
      <c r="A157" s="39" t="s">
        <v>1000</v>
      </c>
      <c r="B157" s="46" t="s">
        <v>285</v>
      </c>
      <c r="C157" s="39" t="s">
        <v>930</v>
      </c>
      <c r="D157" s="102">
        <v>483483618</v>
      </c>
      <c r="E157" s="102">
        <v>2526459263</v>
      </c>
      <c r="F157" s="39" t="s">
        <v>256</v>
      </c>
      <c r="G157" s="81">
        <f>34591+(364+182)</f>
        <v>35137</v>
      </c>
      <c r="H157" s="50" t="str">
        <f t="shared" si="6"/>
        <v>Mar</v>
      </c>
      <c r="I157" s="51">
        <f t="shared" ca="1" si="7"/>
        <v>20</v>
      </c>
      <c r="J157" s="52" t="s">
        <v>283</v>
      </c>
      <c r="K157" s="53">
        <v>33590</v>
      </c>
      <c r="L157" s="54">
        <v>5</v>
      </c>
      <c r="M157" s="59">
        <f t="shared" si="8"/>
        <v>33590</v>
      </c>
      <c r="N157" s="100"/>
      <c r="O157" s="45"/>
      <c r="P157" s="39"/>
      <c r="Q157" s="39"/>
      <c r="R157" s="39"/>
      <c r="S157" s="39"/>
      <c r="T157" s="39"/>
      <c r="U157" s="39"/>
      <c r="V157" s="39"/>
      <c r="W157" s="39"/>
      <c r="X157" s="39"/>
      <c r="Y157" s="39"/>
      <c r="Z157" s="39"/>
      <c r="AA157" s="39"/>
      <c r="AB157" s="39"/>
      <c r="AC157" s="39"/>
      <c r="AD157" s="39"/>
      <c r="AE157" s="39"/>
      <c r="AF157" s="39"/>
      <c r="AG157" s="39"/>
      <c r="AH157" s="39"/>
    </row>
    <row r="158" spans="1:34" s="84" customFormat="1">
      <c r="A158" s="39" t="s">
        <v>786</v>
      </c>
      <c r="B158" s="46" t="s">
        <v>285</v>
      </c>
      <c r="C158" s="39" t="s">
        <v>767</v>
      </c>
      <c r="D158" s="102">
        <v>963000861</v>
      </c>
      <c r="E158" s="102">
        <v>2522792063</v>
      </c>
      <c r="F158" s="39" t="s">
        <v>247</v>
      </c>
      <c r="G158" s="81">
        <f>34600+(364+182)</f>
        <v>35146</v>
      </c>
      <c r="H158" s="50" t="str">
        <f t="shared" si="6"/>
        <v>Mar</v>
      </c>
      <c r="I158" s="51">
        <f t="shared" ca="1" si="7"/>
        <v>20</v>
      </c>
      <c r="J158" s="52"/>
      <c r="K158" s="53">
        <v>73190</v>
      </c>
      <c r="L158" s="54">
        <v>1</v>
      </c>
      <c r="M158" s="59">
        <f t="shared" si="8"/>
        <v>73190</v>
      </c>
      <c r="N158" s="100"/>
      <c r="O158" s="45"/>
      <c r="P158" s="39"/>
      <c r="Q158" s="39"/>
      <c r="R158" s="39"/>
      <c r="S158" s="39"/>
      <c r="T158" s="39"/>
      <c r="U158" s="39"/>
      <c r="V158" s="39"/>
      <c r="W158" s="39"/>
      <c r="X158" s="39"/>
      <c r="Y158" s="39"/>
      <c r="Z158" s="39"/>
      <c r="AA158" s="39"/>
      <c r="AB158" s="39"/>
      <c r="AC158" s="39"/>
      <c r="AD158" s="39"/>
      <c r="AE158" s="39"/>
      <c r="AF158" s="39"/>
      <c r="AG158" s="39"/>
      <c r="AH158" s="39"/>
    </row>
    <row r="159" spans="1:34" s="84" customFormat="1">
      <c r="A159" s="39" t="s">
        <v>406</v>
      </c>
      <c r="B159" s="46" t="s">
        <v>245</v>
      </c>
      <c r="C159" s="39" t="s">
        <v>391</v>
      </c>
      <c r="D159" s="102">
        <v>681596577</v>
      </c>
      <c r="E159" s="102">
        <v>9192387348</v>
      </c>
      <c r="F159" s="39" t="s">
        <v>247</v>
      </c>
      <c r="G159" s="81">
        <f>34604+(364+182)</f>
        <v>35150</v>
      </c>
      <c r="H159" s="50" t="str">
        <f t="shared" si="6"/>
        <v>Mar</v>
      </c>
      <c r="I159" s="51">
        <f t="shared" ca="1" si="7"/>
        <v>20</v>
      </c>
      <c r="J159" s="52"/>
      <c r="K159" s="53">
        <v>35260</v>
      </c>
      <c r="L159" s="54">
        <v>2</v>
      </c>
      <c r="M159" s="59">
        <f t="shared" si="8"/>
        <v>35260</v>
      </c>
      <c r="N159" s="100"/>
      <c r="O159" s="45"/>
      <c r="P159" s="39"/>
      <c r="Q159" s="39"/>
      <c r="R159" s="39"/>
      <c r="S159" s="39"/>
      <c r="T159" s="39"/>
      <c r="U159" s="39"/>
      <c r="V159" s="39"/>
      <c r="W159" s="39"/>
      <c r="X159" s="39"/>
      <c r="Y159" s="39"/>
      <c r="Z159" s="39"/>
      <c r="AA159" s="39"/>
      <c r="AB159" s="39"/>
      <c r="AC159" s="39"/>
      <c r="AD159" s="39"/>
      <c r="AE159" s="39"/>
      <c r="AF159" s="39"/>
      <c r="AG159" s="39"/>
      <c r="AH159" s="39"/>
    </row>
    <row r="160" spans="1:34" s="84" customFormat="1">
      <c r="A160" s="39" t="s">
        <v>680</v>
      </c>
      <c r="B160" s="46" t="s">
        <v>280</v>
      </c>
      <c r="C160" s="39" t="s">
        <v>678</v>
      </c>
      <c r="D160" s="102">
        <v>303641529</v>
      </c>
      <c r="E160" s="102">
        <v>9196753698</v>
      </c>
      <c r="F160" s="39" t="s">
        <v>261</v>
      </c>
      <c r="G160" s="81">
        <f>34604+(364+182)</f>
        <v>35150</v>
      </c>
      <c r="H160" s="50" t="str">
        <f t="shared" si="6"/>
        <v>Mar</v>
      </c>
      <c r="I160" s="51">
        <f t="shared" ca="1" si="7"/>
        <v>20</v>
      </c>
      <c r="J160" s="52" t="s">
        <v>257</v>
      </c>
      <c r="K160" s="53">
        <v>49405</v>
      </c>
      <c r="L160" s="54">
        <v>4</v>
      </c>
      <c r="M160" s="59">
        <f t="shared" si="8"/>
        <v>49405</v>
      </c>
      <c r="N160" s="100"/>
      <c r="O160" s="45"/>
      <c r="P160" s="39"/>
      <c r="Q160" s="39"/>
      <c r="R160" s="39"/>
      <c r="S160" s="39"/>
      <c r="T160" s="39"/>
      <c r="U160" s="39"/>
      <c r="V160" s="39"/>
      <c r="W160" s="39"/>
      <c r="X160" s="39"/>
      <c r="Y160" s="39"/>
      <c r="Z160" s="39"/>
      <c r="AA160" s="39"/>
      <c r="AB160" s="39"/>
      <c r="AC160" s="39"/>
      <c r="AD160" s="39"/>
      <c r="AE160" s="39"/>
      <c r="AF160" s="39"/>
      <c r="AG160" s="39"/>
      <c r="AH160" s="39"/>
    </row>
    <row r="161" spans="1:34" s="84" customFormat="1">
      <c r="A161" s="39" t="s">
        <v>773</v>
      </c>
      <c r="B161" s="46" t="s">
        <v>245</v>
      </c>
      <c r="C161" s="39" t="s">
        <v>767</v>
      </c>
      <c r="D161" s="102">
        <v>991221095</v>
      </c>
      <c r="E161" s="102">
        <v>9194630903</v>
      </c>
      <c r="F161" s="39" t="s">
        <v>256</v>
      </c>
      <c r="G161" s="81">
        <f>34605+(364+182)</f>
        <v>35151</v>
      </c>
      <c r="H161" s="50" t="str">
        <f t="shared" si="6"/>
        <v>Mar</v>
      </c>
      <c r="I161" s="51">
        <f t="shared" ca="1" si="7"/>
        <v>20</v>
      </c>
      <c r="J161" s="52" t="s">
        <v>276</v>
      </c>
      <c r="K161" s="53">
        <v>29760</v>
      </c>
      <c r="L161" s="54">
        <v>2</v>
      </c>
      <c r="M161" s="59">
        <f t="shared" si="8"/>
        <v>29760</v>
      </c>
      <c r="N161" s="100"/>
      <c r="O161" s="45"/>
      <c r="P161" s="39"/>
      <c r="Q161" s="39"/>
      <c r="R161" s="39"/>
      <c r="S161" s="39"/>
      <c r="T161" s="39"/>
      <c r="U161" s="39"/>
      <c r="V161" s="39"/>
      <c r="W161" s="39"/>
      <c r="X161" s="39"/>
      <c r="Y161" s="39"/>
      <c r="Z161" s="39"/>
      <c r="AA161" s="39"/>
      <c r="AB161" s="39"/>
      <c r="AC161" s="39"/>
      <c r="AD161" s="39"/>
      <c r="AE161" s="39"/>
      <c r="AF161" s="39"/>
      <c r="AG161" s="39"/>
      <c r="AH161" s="39"/>
    </row>
    <row r="162" spans="1:34" s="84" customFormat="1">
      <c r="A162" s="39" t="s">
        <v>595</v>
      </c>
      <c r="B162" s="46" t="s">
        <v>245</v>
      </c>
      <c r="C162" s="39" t="s">
        <v>465</v>
      </c>
      <c r="D162" s="102">
        <v>313128501</v>
      </c>
      <c r="E162" s="102">
        <v>9193184277</v>
      </c>
      <c r="F162" s="39" t="s">
        <v>252</v>
      </c>
      <c r="G162" s="81">
        <f>34944+(364+182)</f>
        <v>35490</v>
      </c>
      <c r="H162" s="50" t="str">
        <f t="shared" si="6"/>
        <v>Mar</v>
      </c>
      <c r="I162" s="51">
        <f t="shared" ca="1" si="7"/>
        <v>19</v>
      </c>
      <c r="J162" s="52"/>
      <c r="K162" s="53">
        <v>22472</v>
      </c>
      <c r="L162" s="54">
        <v>1</v>
      </c>
      <c r="M162" s="59">
        <f t="shared" si="8"/>
        <v>22472</v>
      </c>
      <c r="N162" s="100"/>
      <c r="O162" s="45"/>
      <c r="P162" s="39"/>
      <c r="Q162" s="39"/>
      <c r="R162" s="39"/>
      <c r="S162" s="39"/>
      <c r="T162" s="39"/>
      <c r="U162" s="39"/>
      <c r="V162" s="39"/>
      <c r="W162" s="39"/>
      <c r="X162" s="39"/>
      <c r="Y162" s="39"/>
      <c r="Z162" s="39"/>
      <c r="AA162" s="39"/>
      <c r="AB162" s="39"/>
      <c r="AC162" s="39"/>
      <c r="AD162" s="39"/>
      <c r="AE162" s="39"/>
      <c r="AF162" s="39"/>
      <c r="AG162" s="39"/>
      <c r="AH162" s="39"/>
    </row>
    <row r="163" spans="1:34" s="84" customFormat="1">
      <c r="A163" s="39" t="s">
        <v>865</v>
      </c>
      <c r="B163" s="46" t="s">
        <v>285</v>
      </c>
      <c r="C163" s="39" t="s">
        <v>856</v>
      </c>
      <c r="D163" s="102">
        <v>110726520</v>
      </c>
      <c r="E163" s="102">
        <v>9197963782</v>
      </c>
      <c r="F163" s="39" t="s">
        <v>256</v>
      </c>
      <c r="G163" s="81">
        <f>34951+(364+182)</f>
        <v>35497</v>
      </c>
      <c r="H163" s="50" t="str">
        <f t="shared" si="6"/>
        <v>Mar</v>
      </c>
      <c r="I163" s="51">
        <f t="shared" ca="1" si="7"/>
        <v>19</v>
      </c>
      <c r="J163" s="52" t="s">
        <v>257</v>
      </c>
      <c r="K163" s="53">
        <v>78710</v>
      </c>
      <c r="L163" s="54">
        <v>4</v>
      </c>
      <c r="M163" s="59">
        <f t="shared" si="8"/>
        <v>78710</v>
      </c>
      <c r="N163" s="100"/>
      <c r="O163" s="45"/>
      <c r="P163" s="39"/>
      <c r="Q163" s="39"/>
      <c r="R163" s="39"/>
      <c r="S163" s="39"/>
      <c r="T163" s="39"/>
      <c r="U163" s="39"/>
      <c r="V163" s="39"/>
      <c r="W163" s="39"/>
      <c r="X163" s="39"/>
      <c r="Y163" s="39"/>
      <c r="Z163" s="39"/>
      <c r="AA163" s="39"/>
      <c r="AB163" s="39"/>
      <c r="AC163" s="39"/>
      <c r="AD163" s="39"/>
      <c r="AE163" s="39"/>
      <c r="AF163" s="39"/>
      <c r="AG163" s="39"/>
      <c r="AH163" s="39"/>
    </row>
    <row r="164" spans="1:34" s="84" customFormat="1">
      <c r="A164" s="39" t="s">
        <v>447</v>
      </c>
      <c r="B164" s="46" t="s">
        <v>285</v>
      </c>
      <c r="C164" s="39" t="s">
        <v>417</v>
      </c>
      <c r="D164" s="102">
        <v>659766304</v>
      </c>
      <c r="E164" s="102">
        <v>9195876028</v>
      </c>
      <c r="F164" s="39" t="s">
        <v>256</v>
      </c>
      <c r="G164" s="81">
        <f>34955+(364+182)</f>
        <v>35501</v>
      </c>
      <c r="H164" s="50" t="str">
        <f t="shared" si="6"/>
        <v>Mar</v>
      </c>
      <c r="I164" s="51">
        <f t="shared" ca="1" si="7"/>
        <v>19</v>
      </c>
      <c r="J164" s="52" t="s">
        <v>283</v>
      </c>
      <c r="K164" s="53">
        <v>37750</v>
      </c>
      <c r="L164" s="54">
        <v>5</v>
      </c>
      <c r="M164" s="59">
        <f t="shared" si="8"/>
        <v>37750</v>
      </c>
      <c r="N164" s="100"/>
      <c r="O164" s="45"/>
      <c r="P164" s="39"/>
      <c r="Q164" s="39"/>
      <c r="R164" s="39"/>
      <c r="S164" s="39"/>
      <c r="T164" s="39"/>
      <c r="U164" s="39"/>
      <c r="V164" s="39"/>
      <c r="W164" s="39"/>
      <c r="X164" s="39"/>
      <c r="Y164" s="39"/>
      <c r="Z164" s="39"/>
      <c r="AA164" s="39"/>
      <c r="AB164" s="39"/>
      <c r="AC164" s="39"/>
      <c r="AD164" s="39"/>
      <c r="AE164" s="39"/>
      <c r="AF164" s="39"/>
      <c r="AG164" s="39"/>
      <c r="AH164" s="39"/>
    </row>
    <row r="165" spans="1:34" s="84" customFormat="1">
      <c r="A165" s="39" t="s">
        <v>353</v>
      </c>
      <c r="B165" s="46" t="s">
        <v>271</v>
      </c>
      <c r="C165" s="39" t="s">
        <v>312</v>
      </c>
      <c r="D165" s="102">
        <v>627678686</v>
      </c>
      <c r="E165" s="102">
        <v>2526101454</v>
      </c>
      <c r="F165" s="39" t="s">
        <v>247</v>
      </c>
      <c r="G165" s="81">
        <f>34959+(364+182)</f>
        <v>35505</v>
      </c>
      <c r="H165" s="50" t="str">
        <f t="shared" si="6"/>
        <v>Mar</v>
      </c>
      <c r="I165" s="51">
        <f t="shared" ca="1" si="7"/>
        <v>19</v>
      </c>
      <c r="J165" s="52"/>
      <c r="K165" s="53">
        <v>74740</v>
      </c>
      <c r="L165" s="54">
        <v>5</v>
      </c>
      <c r="M165" s="59">
        <f t="shared" si="8"/>
        <v>74740</v>
      </c>
      <c r="N165" s="100"/>
      <c r="O165" s="45"/>
      <c r="P165" s="39"/>
      <c r="Q165" s="39"/>
      <c r="R165" s="39"/>
      <c r="S165" s="39"/>
      <c r="T165" s="39"/>
      <c r="U165" s="39"/>
      <c r="V165" s="39"/>
      <c r="W165" s="39"/>
      <c r="X165" s="39"/>
      <c r="Y165" s="39"/>
      <c r="Z165" s="39"/>
      <c r="AA165" s="39"/>
      <c r="AB165" s="39"/>
      <c r="AC165" s="39"/>
      <c r="AD165" s="39"/>
      <c r="AE165" s="39"/>
      <c r="AF165" s="39"/>
      <c r="AG165" s="39"/>
      <c r="AH165" s="39"/>
    </row>
    <row r="166" spans="1:34" s="84" customFormat="1">
      <c r="A166" s="39" t="s">
        <v>477</v>
      </c>
      <c r="B166" s="46" t="s">
        <v>245</v>
      </c>
      <c r="C166" s="39" t="s">
        <v>465</v>
      </c>
      <c r="D166" s="102">
        <v>612295735</v>
      </c>
      <c r="E166" s="102">
        <v>9195228292</v>
      </c>
      <c r="F166" s="39" t="s">
        <v>256</v>
      </c>
      <c r="G166" s="81">
        <f>34965+(364+182)</f>
        <v>35511</v>
      </c>
      <c r="H166" s="50" t="str">
        <f t="shared" si="6"/>
        <v>Mar</v>
      </c>
      <c r="I166" s="51">
        <f t="shared" ca="1" si="7"/>
        <v>19</v>
      </c>
      <c r="J166" s="52" t="s">
        <v>283</v>
      </c>
      <c r="K166" s="53">
        <v>73144</v>
      </c>
      <c r="L166" s="54">
        <v>5</v>
      </c>
      <c r="M166" s="59">
        <f t="shared" si="8"/>
        <v>73144</v>
      </c>
      <c r="N166" s="100"/>
      <c r="O166" s="45"/>
      <c r="P166" s="39"/>
      <c r="Q166" s="39"/>
      <c r="R166" s="39"/>
      <c r="S166" s="39"/>
      <c r="T166" s="39"/>
      <c r="U166" s="39"/>
      <c r="V166" s="39"/>
      <c r="W166" s="39"/>
      <c r="X166" s="39"/>
      <c r="Y166" s="39"/>
      <c r="Z166" s="39"/>
      <c r="AA166" s="39"/>
      <c r="AB166" s="39"/>
      <c r="AC166" s="39"/>
      <c r="AD166" s="39"/>
      <c r="AE166" s="39"/>
      <c r="AF166" s="39"/>
      <c r="AG166" s="39"/>
      <c r="AH166" s="39"/>
    </row>
    <row r="167" spans="1:34" s="84" customFormat="1">
      <c r="A167" s="39" t="s">
        <v>386</v>
      </c>
      <c r="B167" s="46" t="s">
        <v>266</v>
      </c>
      <c r="C167" s="39" t="s">
        <v>381</v>
      </c>
      <c r="D167" s="102">
        <v>452692136</v>
      </c>
      <c r="E167" s="102">
        <v>2524106437</v>
      </c>
      <c r="F167" s="39" t="s">
        <v>256</v>
      </c>
      <c r="G167" s="81">
        <f>34968+(364+182)</f>
        <v>35514</v>
      </c>
      <c r="H167" s="50" t="str">
        <f t="shared" si="6"/>
        <v>Mar</v>
      </c>
      <c r="I167" s="51">
        <f t="shared" ca="1" si="7"/>
        <v>19</v>
      </c>
      <c r="J167" s="52" t="s">
        <v>267</v>
      </c>
      <c r="K167" s="53">
        <v>26510</v>
      </c>
      <c r="L167" s="54">
        <v>1</v>
      </c>
      <c r="M167" s="59">
        <f t="shared" si="8"/>
        <v>26510</v>
      </c>
      <c r="N167" s="100"/>
      <c r="O167" s="45"/>
      <c r="P167" s="39"/>
      <c r="Q167" s="39"/>
      <c r="R167" s="39"/>
      <c r="S167" s="39"/>
      <c r="T167" s="39"/>
      <c r="U167" s="39"/>
      <c r="V167" s="39"/>
      <c r="W167" s="39"/>
      <c r="X167" s="39"/>
      <c r="Y167" s="39"/>
      <c r="Z167" s="39"/>
      <c r="AA167" s="39"/>
      <c r="AB167" s="39"/>
      <c r="AC167" s="39"/>
      <c r="AD167" s="39"/>
      <c r="AE167" s="39"/>
      <c r="AF167" s="39"/>
      <c r="AG167" s="39"/>
      <c r="AH167" s="39"/>
    </row>
    <row r="168" spans="1:34" s="84" customFormat="1">
      <c r="A168" s="39" t="s">
        <v>346</v>
      </c>
      <c r="B168" s="46" t="s">
        <v>245</v>
      </c>
      <c r="C168" s="39" t="s">
        <v>312</v>
      </c>
      <c r="D168" s="102">
        <v>936730279</v>
      </c>
      <c r="E168" s="102">
        <v>2528033253</v>
      </c>
      <c r="F168" s="39" t="s">
        <v>261</v>
      </c>
      <c r="G168" s="81">
        <f>34971+(364+182)</f>
        <v>35517</v>
      </c>
      <c r="H168" s="50" t="str">
        <f t="shared" si="6"/>
        <v>Mar</v>
      </c>
      <c r="I168" s="51">
        <f t="shared" ca="1" si="7"/>
        <v>19</v>
      </c>
      <c r="J168" s="52" t="s">
        <v>267</v>
      </c>
      <c r="K168" s="53">
        <v>48415</v>
      </c>
      <c r="L168" s="54">
        <v>4</v>
      </c>
      <c r="M168" s="59">
        <f t="shared" si="8"/>
        <v>48415</v>
      </c>
      <c r="N168" s="100"/>
      <c r="O168" s="45"/>
      <c r="P168" s="39"/>
      <c r="Q168" s="39"/>
      <c r="R168" s="39"/>
      <c r="S168" s="39"/>
      <c r="T168" s="39"/>
      <c r="U168" s="39"/>
      <c r="V168" s="39"/>
      <c r="W168" s="39"/>
      <c r="X168" s="39"/>
      <c r="Y168" s="39"/>
      <c r="Z168" s="39"/>
      <c r="AA168" s="39"/>
      <c r="AB168" s="39"/>
      <c r="AC168" s="39"/>
      <c r="AD168" s="39"/>
      <c r="AE168" s="39"/>
      <c r="AF168" s="39"/>
      <c r="AG168" s="39"/>
      <c r="AH168" s="39"/>
    </row>
    <row r="169" spans="1:34" s="84" customFormat="1">
      <c r="A169" s="39" t="s">
        <v>671</v>
      </c>
      <c r="B169" s="46" t="s">
        <v>266</v>
      </c>
      <c r="C169" s="39" t="s">
        <v>626</v>
      </c>
      <c r="D169" s="102">
        <v>650784238</v>
      </c>
      <c r="E169" s="102">
        <v>9194679864</v>
      </c>
      <c r="F169" s="39" t="s">
        <v>247</v>
      </c>
      <c r="G169" s="81">
        <f>34972+(364+182)</f>
        <v>35518</v>
      </c>
      <c r="H169" s="50" t="str">
        <f t="shared" si="6"/>
        <v>Mar</v>
      </c>
      <c r="I169" s="51">
        <f t="shared" ca="1" si="7"/>
        <v>19</v>
      </c>
      <c r="J169" s="52"/>
      <c r="K169" s="53">
        <v>53870</v>
      </c>
      <c r="L169" s="54">
        <v>2</v>
      </c>
      <c r="M169" s="59">
        <f t="shared" si="8"/>
        <v>53870</v>
      </c>
      <c r="N169" s="100"/>
      <c r="O169" s="45"/>
      <c r="P169" s="39"/>
      <c r="Q169" s="39"/>
      <c r="R169" s="39"/>
      <c r="S169" s="39"/>
      <c r="T169" s="39"/>
      <c r="U169" s="39"/>
      <c r="V169" s="39"/>
      <c r="W169" s="39"/>
      <c r="X169" s="39"/>
      <c r="Y169" s="39"/>
      <c r="Z169" s="39"/>
      <c r="AA169" s="39"/>
      <c r="AB169" s="39"/>
      <c r="AC169" s="39"/>
      <c r="AD169" s="39"/>
      <c r="AE169" s="39"/>
      <c r="AF169" s="39"/>
      <c r="AG169" s="39"/>
      <c r="AH169" s="39"/>
    </row>
    <row r="170" spans="1:34" s="84" customFormat="1">
      <c r="A170" s="39" t="s">
        <v>977</v>
      </c>
      <c r="B170" s="46" t="s">
        <v>245</v>
      </c>
      <c r="C170" s="39" t="s">
        <v>930</v>
      </c>
      <c r="D170" s="102">
        <v>262585858</v>
      </c>
      <c r="E170" s="102">
        <v>2528566597</v>
      </c>
      <c r="F170" s="39" t="s">
        <v>261</v>
      </c>
      <c r="G170" s="81">
        <f>34972+(364+182)</f>
        <v>35518</v>
      </c>
      <c r="H170" s="50" t="str">
        <f t="shared" si="6"/>
        <v>Mar</v>
      </c>
      <c r="I170" s="51">
        <f t="shared" ca="1" si="7"/>
        <v>19</v>
      </c>
      <c r="J170" s="52" t="s">
        <v>262</v>
      </c>
      <c r="K170" s="53">
        <v>13690</v>
      </c>
      <c r="L170" s="54">
        <v>5</v>
      </c>
      <c r="M170" s="59">
        <f t="shared" si="8"/>
        <v>13690</v>
      </c>
      <c r="N170" s="100"/>
      <c r="O170" s="45"/>
      <c r="P170" s="39"/>
      <c r="Q170" s="39"/>
      <c r="R170" s="39"/>
      <c r="S170" s="39"/>
      <c r="T170" s="39"/>
      <c r="U170" s="39"/>
      <c r="V170" s="39"/>
      <c r="W170" s="39"/>
      <c r="X170" s="39"/>
      <c r="Y170" s="39"/>
      <c r="Z170" s="39"/>
      <c r="AA170" s="39"/>
      <c r="AB170" s="39"/>
      <c r="AC170" s="39"/>
      <c r="AD170" s="39"/>
      <c r="AE170" s="39"/>
      <c r="AF170" s="39"/>
      <c r="AG170" s="39"/>
      <c r="AH170" s="39"/>
    </row>
    <row r="171" spans="1:34" s="84" customFormat="1">
      <c r="A171" s="39" t="s">
        <v>464</v>
      </c>
      <c r="B171" s="46" t="s">
        <v>271</v>
      </c>
      <c r="C171" s="39" t="s">
        <v>465</v>
      </c>
      <c r="D171" s="102">
        <v>501523688</v>
      </c>
      <c r="E171" s="102">
        <v>2528560698</v>
      </c>
      <c r="F171" s="39" t="s">
        <v>256</v>
      </c>
      <c r="G171" s="81">
        <f>34974+(364+182)</f>
        <v>35520</v>
      </c>
      <c r="H171" s="50" t="str">
        <f t="shared" si="6"/>
        <v>Mar</v>
      </c>
      <c r="I171" s="51">
        <f t="shared" ca="1" si="7"/>
        <v>19</v>
      </c>
      <c r="J171" s="52" t="s">
        <v>257</v>
      </c>
      <c r="K171" s="53">
        <v>79730</v>
      </c>
      <c r="L171" s="54">
        <v>2</v>
      </c>
      <c r="M171" s="59">
        <f t="shared" si="8"/>
        <v>79730</v>
      </c>
      <c r="N171" s="100"/>
      <c r="O171" s="45"/>
      <c r="P171" s="39"/>
      <c r="Q171" s="39"/>
      <c r="R171" s="39"/>
      <c r="S171" s="39"/>
      <c r="T171" s="39"/>
      <c r="U171" s="39"/>
      <c r="V171" s="39"/>
      <c r="W171" s="39"/>
      <c r="X171" s="39"/>
      <c r="Y171" s="39"/>
      <c r="Z171" s="39"/>
      <c r="AA171" s="39"/>
      <c r="AB171" s="39"/>
      <c r="AC171" s="39"/>
      <c r="AD171" s="39"/>
      <c r="AE171" s="39"/>
      <c r="AF171" s="39"/>
      <c r="AG171" s="39"/>
      <c r="AH171" s="39"/>
    </row>
    <row r="172" spans="1:34" s="84" customFormat="1">
      <c r="A172" s="39" t="s">
        <v>660</v>
      </c>
      <c r="B172" s="46" t="s">
        <v>245</v>
      </c>
      <c r="C172" s="39" t="s">
        <v>626</v>
      </c>
      <c r="D172" s="102">
        <v>261920277</v>
      </c>
      <c r="E172" s="102">
        <v>2524272773</v>
      </c>
      <c r="F172" s="39" t="s">
        <v>256</v>
      </c>
      <c r="G172" s="81">
        <f>35310+(364+182)</f>
        <v>35856</v>
      </c>
      <c r="H172" s="50" t="str">
        <f t="shared" si="6"/>
        <v>Mar</v>
      </c>
      <c r="I172" s="51">
        <f t="shared" ca="1" si="7"/>
        <v>18</v>
      </c>
      <c r="J172" s="52" t="s">
        <v>276</v>
      </c>
      <c r="K172" s="53">
        <v>86830</v>
      </c>
      <c r="L172" s="54">
        <v>3</v>
      </c>
      <c r="M172" s="59">
        <f t="shared" si="8"/>
        <v>86830</v>
      </c>
      <c r="N172" s="100"/>
      <c r="O172" s="45"/>
      <c r="P172" s="39"/>
      <c r="Q172" s="39"/>
      <c r="R172" s="39"/>
      <c r="S172" s="39"/>
      <c r="T172" s="39"/>
      <c r="U172" s="39"/>
      <c r="V172" s="39"/>
      <c r="W172" s="39"/>
      <c r="X172" s="39"/>
      <c r="Y172" s="39"/>
      <c r="Z172" s="39"/>
      <c r="AA172" s="39"/>
      <c r="AB172" s="39"/>
      <c r="AC172" s="39"/>
      <c r="AD172" s="39"/>
      <c r="AE172" s="39"/>
      <c r="AF172" s="39"/>
      <c r="AG172" s="39"/>
      <c r="AH172" s="39"/>
    </row>
    <row r="173" spans="1:34" s="84" customFormat="1">
      <c r="A173" s="39" t="s">
        <v>635</v>
      </c>
      <c r="B173" s="46" t="s">
        <v>271</v>
      </c>
      <c r="C173" s="39" t="s">
        <v>626</v>
      </c>
      <c r="D173" s="102">
        <v>597641409</v>
      </c>
      <c r="E173" s="102">
        <v>9196201509</v>
      </c>
      <c r="F173" s="39" t="s">
        <v>256</v>
      </c>
      <c r="G173" s="81">
        <f>35311+(364+182)</f>
        <v>35857</v>
      </c>
      <c r="H173" s="50" t="str">
        <f t="shared" si="6"/>
        <v>Mar</v>
      </c>
      <c r="I173" s="51">
        <f t="shared" ca="1" si="7"/>
        <v>18</v>
      </c>
      <c r="J173" s="52" t="s">
        <v>283</v>
      </c>
      <c r="K173" s="53">
        <v>82110</v>
      </c>
      <c r="L173" s="54">
        <v>3</v>
      </c>
      <c r="M173" s="59">
        <f t="shared" si="8"/>
        <v>82110</v>
      </c>
      <c r="N173" s="100"/>
      <c r="O173" s="45"/>
      <c r="P173" s="39"/>
      <c r="Q173" s="39"/>
      <c r="R173" s="39"/>
      <c r="S173" s="39"/>
      <c r="T173" s="39"/>
      <c r="U173" s="39"/>
      <c r="V173" s="39"/>
      <c r="W173" s="39"/>
      <c r="X173" s="39"/>
      <c r="Y173" s="39"/>
      <c r="Z173" s="39"/>
      <c r="AA173" s="39"/>
      <c r="AB173" s="39"/>
      <c r="AC173" s="39"/>
      <c r="AD173" s="39"/>
      <c r="AE173" s="39"/>
      <c r="AF173" s="39"/>
      <c r="AG173" s="39"/>
      <c r="AH173" s="39"/>
    </row>
    <row r="174" spans="1:34" s="84" customFormat="1">
      <c r="A174" s="39" t="s">
        <v>863</v>
      </c>
      <c r="B174" s="46" t="s">
        <v>271</v>
      </c>
      <c r="C174" s="39" t="s">
        <v>856</v>
      </c>
      <c r="D174" s="102">
        <v>843632637</v>
      </c>
      <c r="E174" s="102">
        <v>9198545681</v>
      </c>
      <c r="F174" s="39" t="s">
        <v>252</v>
      </c>
      <c r="G174" s="81">
        <f>35315+(364+182)</f>
        <v>35861</v>
      </c>
      <c r="H174" s="50" t="str">
        <f t="shared" si="6"/>
        <v>Mar</v>
      </c>
      <c r="I174" s="51">
        <f t="shared" ca="1" si="7"/>
        <v>18</v>
      </c>
      <c r="J174" s="52"/>
      <c r="K174" s="53">
        <v>12836</v>
      </c>
      <c r="L174" s="54">
        <v>5</v>
      </c>
      <c r="M174" s="59">
        <f t="shared" si="8"/>
        <v>12836</v>
      </c>
      <c r="N174" s="100"/>
      <c r="O174" s="45"/>
      <c r="P174" s="39"/>
      <c r="Q174" s="39"/>
      <c r="R174" s="39"/>
      <c r="S174" s="39"/>
      <c r="T174" s="39"/>
      <c r="U174" s="39"/>
      <c r="V174" s="39"/>
      <c r="W174" s="39"/>
      <c r="X174" s="39"/>
      <c r="Y174" s="39"/>
      <c r="Z174" s="39"/>
      <c r="AA174" s="39"/>
      <c r="AB174" s="39"/>
      <c r="AC174" s="39"/>
      <c r="AD174" s="39"/>
      <c r="AE174" s="39"/>
      <c r="AF174" s="39"/>
      <c r="AG174" s="39"/>
      <c r="AH174" s="39"/>
    </row>
    <row r="175" spans="1:34" s="84" customFormat="1">
      <c r="A175" s="39" t="s">
        <v>921</v>
      </c>
      <c r="B175" s="46" t="s">
        <v>245</v>
      </c>
      <c r="C175" s="39" t="s">
        <v>856</v>
      </c>
      <c r="D175" s="102">
        <v>518009092</v>
      </c>
      <c r="E175" s="102">
        <v>2528792521</v>
      </c>
      <c r="F175" s="39" t="s">
        <v>252</v>
      </c>
      <c r="G175" s="81">
        <f>35323+(364+182)</f>
        <v>35869</v>
      </c>
      <c r="H175" s="50" t="str">
        <f t="shared" si="6"/>
        <v>Mar</v>
      </c>
      <c r="I175" s="51">
        <f t="shared" ca="1" si="7"/>
        <v>18</v>
      </c>
      <c r="J175" s="52"/>
      <c r="K175" s="53">
        <v>17912</v>
      </c>
      <c r="L175" s="54">
        <v>5</v>
      </c>
      <c r="M175" s="59">
        <f t="shared" si="8"/>
        <v>17912</v>
      </c>
      <c r="N175" s="100"/>
      <c r="O175" s="45"/>
      <c r="P175" s="39"/>
      <c r="Q175" s="39"/>
      <c r="R175" s="39"/>
      <c r="S175" s="39"/>
      <c r="T175" s="39"/>
      <c r="U175" s="39"/>
      <c r="V175" s="39"/>
      <c r="W175" s="39"/>
      <c r="X175" s="39"/>
      <c r="Y175" s="39"/>
      <c r="Z175" s="39"/>
      <c r="AA175" s="39"/>
      <c r="AB175" s="39"/>
      <c r="AC175" s="39"/>
      <c r="AD175" s="39"/>
      <c r="AE175" s="39"/>
      <c r="AF175" s="39"/>
      <c r="AG175" s="39"/>
      <c r="AH175" s="39"/>
    </row>
    <row r="176" spans="1:34" s="84" customFormat="1">
      <c r="A176" s="39" t="s">
        <v>996</v>
      </c>
      <c r="B176" s="46" t="s">
        <v>280</v>
      </c>
      <c r="C176" s="39" t="s">
        <v>930</v>
      </c>
      <c r="D176" s="102">
        <v>311309049</v>
      </c>
      <c r="E176" s="102">
        <v>2527560634</v>
      </c>
      <c r="F176" s="39" t="s">
        <v>256</v>
      </c>
      <c r="G176" s="81">
        <f>35697+(364+182)</f>
        <v>36243</v>
      </c>
      <c r="H176" s="50" t="str">
        <f t="shared" si="6"/>
        <v>Mar</v>
      </c>
      <c r="I176" s="51">
        <f t="shared" ca="1" si="7"/>
        <v>17</v>
      </c>
      <c r="J176" s="52" t="s">
        <v>276</v>
      </c>
      <c r="K176" s="53">
        <v>77680</v>
      </c>
      <c r="L176" s="54">
        <v>3</v>
      </c>
      <c r="M176" s="59">
        <f t="shared" si="8"/>
        <v>77680</v>
      </c>
      <c r="N176" s="100"/>
      <c r="O176" s="45"/>
      <c r="P176" s="39"/>
      <c r="Q176" s="39"/>
      <c r="R176" s="39"/>
      <c r="S176" s="39"/>
      <c r="T176" s="39"/>
      <c r="U176" s="39"/>
      <c r="V176" s="39"/>
      <c r="W176" s="39"/>
      <c r="X176" s="39"/>
      <c r="Y176" s="39"/>
      <c r="Z176" s="39"/>
      <c r="AA176" s="39"/>
      <c r="AB176" s="39"/>
      <c r="AC176" s="39"/>
      <c r="AD176" s="39"/>
      <c r="AE176" s="39"/>
      <c r="AF176" s="39"/>
      <c r="AG176" s="39"/>
      <c r="AH176" s="39"/>
    </row>
    <row r="177" spans="1:34" s="84" customFormat="1">
      <c r="A177" s="39" t="s">
        <v>917</v>
      </c>
      <c r="B177" s="46" t="s">
        <v>285</v>
      </c>
      <c r="C177" s="39" t="s">
        <v>856</v>
      </c>
      <c r="D177" s="102">
        <v>125540405</v>
      </c>
      <c r="E177" s="102">
        <v>2524589262</v>
      </c>
      <c r="F177" s="39" t="s">
        <v>256</v>
      </c>
      <c r="G177" s="81">
        <f>35699+(364+182)</f>
        <v>36245</v>
      </c>
      <c r="H177" s="50" t="str">
        <f t="shared" si="6"/>
        <v>Mar</v>
      </c>
      <c r="I177" s="51">
        <f t="shared" ca="1" si="7"/>
        <v>17</v>
      </c>
      <c r="J177" s="52" t="s">
        <v>257</v>
      </c>
      <c r="K177" s="53">
        <v>58410</v>
      </c>
      <c r="L177" s="54">
        <v>5</v>
      </c>
      <c r="M177" s="59">
        <f t="shared" si="8"/>
        <v>58410</v>
      </c>
      <c r="N177" s="100"/>
      <c r="O177" s="45"/>
      <c r="P177" s="39"/>
      <c r="Q177" s="39"/>
      <c r="R177" s="39"/>
      <c r="S177" s="39"/>
      <c r="T177" s="39"/>
      <c r="U177" s="39"/>
      <c r="V177" s="39"/>
      <c r="W177" s="39"/>
      <c r="X177" s="39"/>
      <c r="Y177" s="39"/>
      <c r="Z177" s="39"/>
      <c r="AA177" s="39"/>
      <c r="AB177" s="39"/>
      <c r="AC177" s="39"/>
      <c r="AD177" s="39"/>
      <c r="AE177" s="39"/>
      <c r="AF177" s="39"/>
      <c r="AG177" s="39"/>
      <c r="AH177" s="39"/>
    </row>
    <row r="178" spans="1:34" s="84" customFormat="1">
      <c r="A178" s="39" t="s">
        <v>382</v>
      </c>
      <c r="B178" s="46" t="s">
        <v>271</v>
      </c>
      <c r="C178" s="39" t="s">
        <v>381</v>
      </c>
      <c r="D178" s="102">
        <v>925049144</v>
      </c>
      <c r="E178" s="102">
        <v>2524752921</v>
      </c>
      <c r="F178" s="39" t="s">
        <v>256</v>
      </c>
      <c r="G178" s="81">
        <f>35703+(364+182)</f>
        <v>36249</v>
      </c>
      <c r="H178" s="50" t="str">
        <f t="shared" si="6"/>
        <v>Mar</v>
      </c>
      <c r="I178" s="51">
        <f t="shared" ca="1" si="7"/>
        <v>17</v>
      </c>
      <c r="J178" s="52" t="s">
        <v>257</v>
      </c>
      <c r="K178" s="53">
        <v>49860</v>
      </c>
      <c r="L178" s="54">
        <v>2</v>
      </c>
      <c r="M178" s="59">
        <f t="shared" si="8"/>
        <v>49860</v>
      </c>
      <c r="N178" s="100"/>
      <c r="O178" s="45"/>
      <c r="P178" s="39"/>
      <c r="Q178" s="39"/>
      <c r="R178" s="39"/>
      <c r="S178" s="39"/>
      <c r="T178" s="39"/>
      <c r="U178" s="39"/>
      <c r="V178" s="39"/>
      <c r="W178" s="39"/>
      <c r="X178" s="39"/>
      <c r="Y178" s="39"/>
      <c r="Z178" s="39"/>
      <c r="AA178" s="39"/>
      <c r="AB178" s="39"/>
      <c r="AC178" s="39"/>
      <c r="AD178" s="39"/>
      <c r="AE178" s="39"/>
      <c r="AF178" s="39"/>
      <c r="AG178" s="39"/>
      <c r="AH178" s="39"/>
    </row>
    <row r="179" spans="1:34" s="84" customFormat="1">
      <c r="A179" s="39" t="s">
        <v>494</v>
      </c>
      <c r="B179" s="46" t="s">
        <v>280</v>
      </c>
      <c r="C179" s="39" t="s">
        <v>465</v>
      </c>
      <c r="D179" s="102">
        <v>396727504</v>
      </c>
      <c r="E179" s="102">
        <v>9193204992</v>
      </c>
      <c r="F179" s="39" t="s">
        <v>247</v>
      </c>
      <c r="G179" s="81">
        <f>36054+(364+182)</f>
        <v>36600</v>
      </c>
      <c r="H179" s="50" t="str">
        <f t="shared" si="6"/>
        <v>Mar</v>
      </c>
      <c r="I179" s="51">
        <f t="shared" ca="1" si="7"/>
        <v>16</v>
      </c>
      <c r="J179" s="52"/>
      <c r="K179" s="53">
        <v>41840</v>
      </c>
      <c r="L179" s="54">
        <v>2</v>
      </c>
      <c r="M179" s="59">
        <f t="shared" si="8"/>
        <v>41840</v>
      </c>
      <c r="N179" s="100"/>
      <c r="O179" s="45"/>
      <c r="P179" s="39"/>
      <c r="Q179" s="39"/>
      <c r="R179" s="39"/>
      <c r="S179" s="39"/>
      <c r="T179" s="39"/>
      <c r="U179" s="39"/>
      <c r="V179" s="39"/>
      <c r="W179" s="39"/>
      <c r="X179" s="39"/>
      <c r="Y179" s="39"/>
      <c r="Z179" s="39"/>
      <c r="AA179" s="39"/>
      <c r="AB179" s="39"/>
      <c r="AC179" s="39"/>
      <c r="AD179" s="39"/>
      <c r="AE179" s="39"/>
      <c r="AF179" s="39"/>
      <c r="AG179" s="39"/>
      <c r="AH179" s="39"/>
    </row>
    <row r="180" spans="1:34" s="84" customFormat="1">
      <c r="A180" s="39" t="s">
        <v>338</v>
      </c>
      <c r="B180" s="46" t="s">
        <v>285</v>
      </c>
      <c r="C180" s="39" t="s">
        <v>312</v>
      </c>
      <c r="D180" s="102">
        <v>856215418</v>
      </c>
      <c r="E180" s="102">
        <v>2526168483</v>
      </c>
      <c r="F180" s="39" t="s">
        <v>252</v>
      </c>
      <c r="G180" s="81">
        <f>36056+(364+182)</f>
        <v>36602</v>
      </c>
      <c r="H180" s="50" t="str">
        <f t="shared" si="6"/>
        <v>Mar</v>
      </c>
      <c r="I180" s="51">
        <f t="shared" ca="1" si="7"/>
        <v>16</v>
      </c>
      <c r="J180" s="52"/>
      <c r="K180" s="53">
        <v>30080</v>
      </c>
      <c r="L180" s="54">
        <v>3</v>
      </c>
      <c r="M180" s="59">
        <f t="shared" si="8"/>
        <v>30080</v>
      </c>
      <c r="N180" s="100"/>
      <c r="O180" s="45"/>
      <c r="P180" s="39"/>
      <c r="Q180" s="39"/>
      <c r="R180" s="39"/>
      <c r="S180" s="39"/>
      <c r="T180" s="39"/>
      <c r="U180" s="39"/>
      <c r="V180" s="39"/>
      <c r="W180" s="39"/>
      <c r="X180" s="39"/>
      <c r="Y180" s="39"/>
      <c r="Z180" s="39"/>
      <c r="AA180" s="39"/>
      <c r="AB180" s="39"/>
      <c r="AC180" s="39"/>
      <c r="AD180" s="39"/>
      <c r="AE180" s="39"/>
      <c r="AF180" s="39"/>
      <c r="AG180" s="39"/>
      <c r="AH180" s="39"/>
    </row>
    <row r="181" spans="1:34" s="84" customFormat="1">
      <c r="A181" s="39" t="s">
        <v>476</v>
      </c>
      <c r="B181" s="46" t="s">
        <v>285</v>
      </c>
      <c r="C181" s="39" t="s">
        <v>465</v>
      </c>
      <c r="D181" s="102">
        <v>356242235</v>
      </c>
      <c r="E181" s="102">
        <v>2521667727</v>
      </c>
      <c r="F181" s="39" t="s">
        <v>261</v>
      </c>
      <c r="G181" s="81">
        <f>36058+(364+182)</f>
        <v>36604</v>
      </c>
      <c r="H181" s="50" t="str">
        <f t="shared" si="6"/>
        <v>Mar</v>
      </c>
      <c r="I181" s="51">
        <f t="shared" ca="1" si="7"/>
        <v>16</v>
      </c>
      <c r="J181" s="52" t="s">
        <v>283</v>
      </c>
      <c r="K181" s="53">
        <v>46710</v>
      </c>
      <c r="L181" s="54">
        <v>3</v>
      </c>
      <c r="M181" s="59">
        <f t="shared" si="8"/>
        <v>46710</v>
      </c>
      <c r="N181" s="100"/>
      <c r="O181" s="45"/>
      <c r="P181" s="39"/>
      <c r="Q181" s="39"/>
      <c r="R181" s="39"/>
      <c r="S181" s="39"/>
      <c r="T181" s="39"/>
      <c r="U181" s="39"/>
      <c r="V181" s="39"/>
      <c r="W181" s="39"/>
      <c r="X181" s="39"/>
      <c r="Y181" s="39"/>
      <c r="Z181" s="39"/>
      <c r="AA181" s="39"/>
      <c r="AB181" s="39"/>
      <c r="AC181" s="39"/>
      <c r="AD181" s="39"/>
      <c r="AE181" s="39"/>
      <c r="AF181" s="39"/>
      <c r="AG181" s="39"/>
      <c r="AH181" s="39"/>
    </row>
    <row r="182" spans="1:34" s="84" customFormat="1">
      <c r="A182" s="39" t="s">
        <v>945</v>
      </c>
      <c r="B182" s="46" t="s">
        <v>285</v>
      </c>
      <c r="C182" s="39" t="s">
        <v>930</v>
      </c>
      <c r="D182" s="102">
        <v>800685434</v>
      </c>
      <c r="E182" s="102">
        <v>2525821616</v>
      </c>
      <c r="F182" s="39" t="s">
        <v>256</v>
      </c>
      <c r="G182" s="81">
        <f>36410+(364+182)</f>
        <v>36956</v>
      </c>
      <c r="H182" s="50" t="str">
        <f t="shared" si="6"/>
        <v>Mar</v>
      </c>
      <c r="I182" s="51">
        <f t="shared" ca="1" si="7"/>
        <v>15</v>
      </c>
      <c r="J182" s="52" t="s">
        <v>276</v>
      </c>
      <c r="K182" s="53">
        <v>49930</v>
      </c>
      <c r="L182" s="54">
        <v>1</v>
      </c>
      <c r="M182" s="59">
        <f t="shared" si="8"/>
        <v>49930</v>
      </c>
      <c r="N182" s="100"/>
      <c r="O182" s="45"/>
      <c r="P182" s="39"/>
      <c r="Q182" s="39"/>
      <c r="R182" s="39"/>
      <c r="S182" s="39"/>
      <c r="T182" s="39"/>
      <c r="U182" s="39"/>
      <c r="V182" s="39"/>
      <c r="W182" s="39"/>
      <c r="X182" s="39"/>
      <c r="Y182" s="39"/>
      <c r="Z182" s="39"/>
      <c r="AA182" s="39"/>
      <c r="AB182" s="39"/>
      <c r="AC182" s="39"/>
      <c r="AD182" s="39"/>
      <c r="AE182" s="39"/>
      <c r="AF182" s="39"/>
      <c r="AG182" s="39"/>
      <c r="AH182" s="39"/>
    </row>
    <row r="183" spans="1:34" s="84" customFormat="1">
      <c r="A183" s="39" t="s">
        <v>958</v>
      </c>
      <c r="B183" s="46" t="s">
        <v>285</v>
      </c>
      <c r="C183" s="39" t="s">
        <v>930</v>
      </c>
      <c r="D183" s="102">
        <v>212558012</v>
      </c>
      <c r="E183" s="102">
        <v>2526860208</v>
      </c>
      <c r="F183" s="39" t="s">
        <v>256</v>
      </c>
      <c r="G183" s="81">
        <f>36421+(364+182)</f>
        <v>36967</v>
      </c>
      <c r="H183" s="50" t="str">
        <f t="shared" si="6"/>
        <v>Mar</v>
      </c>
      <c r="I183" s="51">
        <f t="shared" ca="1" si="7"/>
        <v>15</v>
      </c>
      <c r="J183" s="52" t="s">
        <v>257</v>
      </c>
      <c r="K183" s="53">
        <v>63060</v>
      </c>
      <c r="L183" s="54">
        <v>4</v>
      </c>
      <c r="M183" s="59">
        <f t="shared" si="8"/>
        <v>63060</v>
      </c>
      <c r="N183" s="100"/>
      <c r="O183" s="45"/>
      <c r="P183" s="39"/>
      <c r="Q183" s="39"/>
      <c r="R183" s="39"/>
      <c r="S183" s="39"/>
      <c r="T183" s="39"/>
      <c r="U183" s="39"/>
      <c r="V183" s="39"/>
      <c r="W183" s="39"/>
      <c r="X183" s="39"/>
      <c r="Y183" s="39"/>
      <c r="Z183" s="39"/>
      <c r="AA183" s="39"/>
      <c r="AB183" s="39"/>
      <c r="AC183" s="39"/>
      <c r="AD183" s="39"/>
      <c r="AE183" s="39"/>
      <c r="AF183" s="39"/>
      <c r="AG183" s="39"/>
      <c r="AH183" s="39"/>
    </row>
    <row r="184" spans="1:34" s="84" customFormat="1">
      <c r="A184" s="39" t="s">
        <v>540</v>
      </c>
      <c r="B184" s="46" t="s">
        <v>285</v>
      </c>
      <c r="C184" s="39" t="s">
        <v>465</v>
      </c>
      <c r="D184" s="102">
        <v>635767088</v>
      </c>
      <c r="E184" s="102">
        <v>2522153322</v>
      </c>
      <c r="F184" s="39" t="s">
        <v>247</v>
      </c>
      <c r="G184" s="81">
        <f>36431+(364+182)</f>
        <v>36977</v>
      </c>
      <c r="H184" s="50" t="str">
        <f t="shared" si="6"/>
        <v>Mar</v>
      </c>
      <c r="I184" s="51">
        <f t="shared" ca="1" si="7"/>
        <v>15</v>
      </c>
      <c r="J184" s="52"/>
      <c r="K184" s="53">
        <v>68510</v>
      </c>
      <c r="L184" s="54">
        <v>5</v>
      </c>
      <c r="M184" s="59">
        <f t="shared" si="8"/>
        <v>68510</v>
      </c>
      <c r="N184" s="100"/>
      <c r="O184" s="45"/>
      <c r="P184" s="39"/>
      <c r="Q184" s="39"/>
      <c r="R184" s="39"/>
      <c r="S184" s="39"/>
      <c r="T184" s="39"/>
      <c r="U184" s="39"/>
      <c r="V184" s="39"/>
      <c r="W184" s="39"/>
      <c r="X184" s="39"/>
      <c r="Y184" s="39"/>
      <c r="Z184" s="39"/>
      <c r="AA184" s="39"/>
      <c r="AB184" s="39"/>
      <c r="AC184" s="39"/>
      <c r="AD184" s="39"/>
      <c r="AE184" s="39"/>
      <c r="AF184" s="39"/>
      <c r="AG184" s="39"/>
      <c r="AH184" s="39"/>
    </row>
    <row r="185" spans="1:34" s="84" customFormat="1">
      <c r="A185" s="39" t="s">
        <v>590</v>
      </c>
      <c r="B185" s="46" t="s">
        <v>251</v>
      </c>
      <c r="C185" s="39" t="s">
        <v>465</v>
      </c>
      <c r="D185" s="102">
        <v>311883362</v>
      </c>
      <c r="E185" s="102">
        <v>2526505454</v>
      </c>
      <c r="F185" s="39" t="s">
        <v>247</v>
      </c>
      <c r="G185" s="81">
        <f>36780+(364+182)</f>
        <v>37326</v>
      </c>
      <c r="H185" s="50" t="str">
        <f t="shared" si="6"/>
        <v>Mar</v>
      </c>
      <c r="I185" s="51">
        <f t="shared" ca="1" si="7"/>
        <v>14</v>
      </c>
      <c r="J185" s="52"/>
      <c r="K185" s="53">
        <v>52770</v>
      </c>
      <c r="L185" s="54">
        <v>2</v>
      </c>
      <c r="M185" s="59">
        <f t="shared" si="8"/>
        <v>52770</v>
      </c>
      <c r="N185" s="100"/>
      <c r="O185" s="45"/>
      <c r="P185" s="39"/>
      <c r="Q185" s="39"/>
      <c r="R185" s="39"/>
      <c r="S185" s="39"/>
      <c r="T185" s="39"/>
      <c r="U185" s="39"/>
      <c r="V185" s="39"/>
      <c r="W185" s="39"/>
      <c r="X185" s="39"/>
      <c r="Y185" s="39"/>
      <c r="Z185" s="39"/>
      <c r="AA185" s="39"/>
      <c r="AB185" s="39"/>
      <c r="AC185" s="39"/>
      <c r="AD185" s="39"/>
      <c r="AE185" s="39"/>
      <c r="AF185" s="39"/>
      <c r="AG185" s="39"/>
      <c r="AH185" s="39"/>
    </row>
    <row r="186" spans="1:34" s="84" customFormat="1">
      <c r="A186" s="39" t="s">
        <v>602</v>
      </c>
      <c r="B186" s="46" t="s">
        <v>271</v>
      </c>
      <c r="C186" s="39" t="s">
        <v>465</v>
      </c>
      <c r="D186" s="102">
        <v>213584397</v>
      </c>
      <c r="E186" s="102">
        <v>2524138160</v>
      </c>
      <c r="F186" s="39" t="s">
        <v>256</v>
      </c>
      <c r="G186" s="81">
        <f>36785+(364+182)</f>
        <v>37331</v>
      </c>
      <c r="H186" s="50" t="str">
        <f t="shared" si="6"/>
        <v>Mar</v>
      </c>
      <c r="I186" s="51">
        <f t="shared" ca="1" si="7"/>
        <v>14</v>
      </c>
      <c r="J186" s="52" t="s">
        <v>283</v>
      </c>
      <c r="K186" s="53">
        <v>62750</v>
      </c>
      <c r="L186" s="54">
        <v>3</v>
      </c>
      <c r="M186" s="59">
        <f t="shared" si="8"/>
        <v>62750</v>
      </c>
      <c r="N186" s="100"/>
      <c r="O186" s="45"/>
      <c r="P186" s="39"/>
      <c r="Q186" s="39"/>
      <c r="R186" s="39"/>
      <c r="S186" s="39"/>
      <c r="T186" s="39"/>
      <c r="U186" s="39"/>
      <c r="V186" s="39"/>
      <c r="W186" s="39"/>
      <c r="X186" s="39"/>
      <c r="Y186" s="39"/>
      <c r="Z186" s="39"/>
      <c r="AA186" s="39"/>
      <c r="AB186" s="39"/>
      <c r="AC186" s="39"/>
      <c r="AD186" s="39"/>
      <c r="AE186" s="39"/>
      <c r="AF186" s="39"/>
      <c r="AG186" s="39"/>
      <c r="AH186" s="39"/>
    </row>
    <row r="187" spans="1:34" s="84" customFormat="1">
      <c r="A187" s="39" t="s">
        <v>1024</v>
      </c>
      <c r="B187" s="46" t="s">
        <v>266</v>
      </c>
      <c r="C187" s="39" t="s">
        <v>1025</v>
      </c>
      <c r="D187" s="102">
        <v>443926890</v>
      </c>
      <c r="E187" s="102">
        <v>2524411859</v>
      </c>
      <c r="F187" s="39" t="s">
        <v>256</v>
      </c>
      <c r="G187" s="81">
        <f>37138+(364+182)</f>
        <v>37684</v>
      </c>
      <c r="H187" s="50" t="str">
        <f t="shared" si="6"/>
        <v>Mar</v>
      </c>
      <c r="I187" s="51">
        <f t="shared" ca="1" si="7"/>
        <v>13</v>
      </c>
      <c r="J187" s="52" t="s">
        <v>283</v>
      </c>
      <c r="K187" s="53">
        <v>42800</v>
      </c>
      <c r="L187" s="54">
        <v>5</v>
      </c>
      <c r="M187" s="59">
        <f t="shared" si="8"/>
        <v>42800</v>
      </c>
      <c r="N187" s="100"/>
      <c r="O187" s="45"/>
      <c r="P187" s="39"/>
      <c r="Q187" s="39"/>
      <c r="R187" s="39"/>
      <c r="S187" s="39"/>
      <c r="T187" s="39"/>
      <c r="U187" s="39"/>
      <c r="V187" s="39"/>
      <c r="W187" s="39"/>
      <c r="X187" s="39"/>
      <c r="Y187" s="39"/>
      <c r="Z187" s="39"/>
      <c r="AA187" s="39"/>
      <c r="AB187" s="39"/>
      <c r="AC187" s="39"/>
      <c r="AD187" s="39"/>
      <c r="AE187" s="39"/>
      <c r="AF187" s="39"/>
      <c r="AG187" s="39"/>
      <c r="AH187" s="39"/>
    </row>
    <row r="188" spans="1:34" s="84" customFormat="1">
      <c r="A188" s="39" t="s">
        <v>770</v>
      </c>
      <c r="B188" s="46" t="s">
        <v>285</v>
      </c>
      <c r="C188" s="39" t="s">
        <v>767</v>
      </c>
      <c r="D188" s="102">
        <v>945160038</v>
      </c>
      <c r="E188" s="102">
        <v>2527909707</v>
      </c>
      <c r="F188" s="39" t="s">
        <v>256</v>
      </c>
      <c r="G188" s="81">
        <f>37155+(364+182)</f>
        <v>37701</v>
      </c>
      <c r="H188" s="50" t="str">
        <f t="shared" si="6"/>
        <v>Mar</v>
      </c>
      <c r="I188" s="51">
        <f t="shared" ca="1" si="7"/>
        <v>13</v>
      </c>
      <c r="J188" s="52" t="s">
        <v>262</v>
      </c>
      <c r="K188" s="53">
        <v>23560</v>
      </c>
      <c r="L188" s="54">
        <v>3</v>
      </c>
      <c r="M188" s="59">
        <f t="shared" si="8"/>
        <v>23560</v>
      </c>
      <c r="N188" s="100"/>
      <c r="O188" s="45"/>
      <c r="P188" s="39"/>
      <c r="Q188" s="39"/>
      <c r="R188" s="39"/>
      <c r="S188" s="39"/>
      <c r="T188" s="39"/>
      <c r="U188" s="39"/>
      <c r="V188" s="39"/>
      <c r="W188" s="39"/>
      <c r="X188" s="39"/>
      <c r="Y188" s="39"/>
      <c r="Z188" s="39"/>
      <c r="AA188" s="39"/>
      <c r="AB188" s="39"/>
      <c r="AC188" s="39"/>
      <c r="AD188" s="39"/>
      <c r="AE188" s="39"/>
      <c r="AF188" s="39"/>
      <c r="AG188" s="39"/>
      <c r="AH188" s="39"/>
    </row>
    <row r="189" spans="1:34" s="84" customFormat="1">
      <c r="A189" s="39" t="s">
        <v>708</v>
      </c>
      <c r="B189" s="46" t="s">
        <v>271</v>
      </c>
      <c r="C189" s="39" t="s">
        <v>705</v>
      </c>
      <c r="D189" s="102">
        <v>272714784</v>
      </c>
      <c r="E189" s="102">
        <v>9191162663</v>
      </c>
      <c r="F189" s="39" t="s">
        <v>252</v>
      </c>
      <c r="G189" s="81">
        <f>37165+(364+182)</f>
        <v>37711</v>
      </c>
      <c r="H189" s="50" t="str">
        <f t="shared" si="6"/>
        <v>Mar</v>
      </c>
      <c r="I189" s="51">
        <f t="shared" ca="1" si="7"/>
        <v>13</v>
      </c>
      <c r="J189" s="52"/>
      <c r="K189" s="53">
        <v>21648</v>
      </c>
      <c r="L189" s="54">
        <v>2</v>
      </c>
      <c r="M189" s="59">
        <f t="shared" si="8"/>
        <v>21648</v>
      </c>
      <c r="N189" s="100"/>
      <c r="O189" s="45"/>
      <c r="P189" s="39"/>
      <c r="Q189" s="39"/>
      <c r="R189" s="39"/>
      <c r="S189" s="39"/>
      <c r="T189" s="39"/>
      <c r="U189" s="39"/>
      <c r="V189" s="39"/>
      <c r="W189" s="39"/>
      <c r="X189" s="39"/>
      <c r="Y189" s="39"/>
      <c r="Z189" s="39"/>
      <c r="AA189" s="39"/>
      <c r="AB189" s="39"/>
      <c r="AC189" s="39"/>
      <c r="AD189" s="39"/>
      <c r="AE189" s="39"/>
      <c r="AF189" s="39"/>
      <c r="AG189" s="39"/>
      <c r="AH189" s="39"/>
    </row>
    <row r="190" spans="1:34" s="84" customFormat="1">
      <c r="A190" s="39" t="s">
        <v>302</v>
      </c>
      <c r="B190" s="46" t="s">
        <v>251</v>
      </c>
      <c r="C190" s="39" t="s">
        <v>296</v>
      </c>
      <c r="D190" s="102">
        <v>764375259</v>
      </c>
      <c r="E190" s="102">
        <v>2527515181</v>
      </c>
      <c r="F190" s="39" t="s">
        <v>256</v>
      </c>
      <c r="G190" s="81">
        <f>37505+(364+182)</f>
        <v>38051</v>
      </c>
      <c r="H190" s="50" t="str">
        <f t="shared" si="6"/>
        <v>Mar</v>
      </c>
      <c r="I190" s="51">
        <f t="shared" ca="1" si="7"/>
        <v>12</v>
      </c>
      <c r="J190" s="52" t="s">
        <v>257</v>
      </c>
      <c r="K190" s="53">
        <v>30350</v>
      </c>
      <c r="L190" s="54">
        <v>1</v>
      </c>
      <c r="M190" s="59">
        <f t="shared" si="8"/>
        <v>30350</v>
      </c>
      <c r="N190" s="100"/>
      <c r="O190" s="45"/>
      <c r="P190" s="39"/>
      <c r="Q190" s="39"/>
      <c r="R190" s="39"/>
      <c r="S190" s="39"/>
      <c r="T190" s="39"/>
      <c r="U190" s="39"/>
      <c r="V190" s="39"/>
      <c r="W190" s="39"/>
      <c r="X190" s="39"/>
      <c r="Y190" s="39"/>
      <c r="Z190" s="39"/>
      <c r="AA190" s="39"/>
      <c r="AB190" s="39"/>
      <c r="AC190" s="39"/>
      <c r="AD190" s="39"/>
      <c r="AE190" s="39"/>
      <c r="AF190" s="39"/>
      <c r="AG190" s="39"/>
      <c r="AH190" s="39"/>
    </row>
    <row r="191" spans="1:34" s="84" customFormat="1">
      <c r="A191" s="39" t="s">
        <v>587</v>
      </c>
      <c r="B191" s="46" t="s">
        <v>285</v>
      </c>
      <c r="C191" s="39" t="s">
        <v>465</v>
      </c>
      <c r="D191" s="102">
        <v>378281658</v>
      </c>
      <c r="E191" s="102">
        <v>9196705508</v>
      </c>
      <c r="F191" s="39" t="s">
        <v>247</v>
      </c>
      <c r="G191" s="81">
        <f>37527+(364+182)</f>
        <v>38073</v>
      </c>
      <c r="H191" s="50" t="str">
        <f t="shared" si="6"/>
        <v>Mar</v>
      </c>
      <c r="I191" s="51">
        <f t="shared" ca="1" si="7"/>
        <v>12</v>
      </c>
      <c r="J191" s="52"/>
      <c r="K191" s="53">
        <v>39300</v>
      </c>
      <c r="L191" s="54">
        <v>2</v>
      </c>
      <c r="M191" s="59">
        <f t="shared" si="8"/>
        <v>39300</v>
      </c>
      <c r="N191" s="100"/>
      <c r="O191" s="45"/>
      <c r="P191" s="39"/>
      <c r="Q191" s="39"/>
      <c r="R191" s="39"/>
      <c r="S191" s="39"/>
      <c r="T191" s="39"/>
      <c r="U191" s="39"/>
      <c r="V191" s="39"/>
      <c r="W191" s="39"/>
      <c r="X191" s="39"/>
      <c r="Y191" s="39"/>
      <c r="Z191" s="39"/>
      <c r="AA191" s="39"/>
      <c r="AB191" s="39"/>
      <c r="AC191" s="39"/>
      <c r="AD191" s="39"/>
      <c r="AE191" s="39"/>
      <c r="AF191" s="39"/>
      <c r="AG191" s="39"/>
      <c r="AH191" s="39"/>
    </row>
    <row r="192" spans="1:34" s="84" customFormat="1">
      <c r="A192" s="39" t="s">
        <v>848</v>
      </c>
      <c r="B192" s="46" t="s">
        <v>266</v>
      </c>
      <c r="C192" s="39" t="s">
        <v>767</v>
      </c>
      <c r="D192" s="102">
        <v>546159785</v>
      </c>
      <c r="E192" s="102">
        <v>2522924678</v>
      </c>
      <c r="F192" s="39" t="s">
        <v>256</v>
      </c>
      <c r="G192" s="81">
        <f>37877+(364+182)</f>
        <v>38423</v>
      </c>
      <c r="H192" s="50" t="str">
        <f t="shared" si="6"/>
        <v>Mar</v>
      </c>
      <c r="I192" s="51">
        <f t="shared" ca="1" si="7"/>
        <v>11</v>
      </c>
      <c r="J192" s="52" t="s">
        <v>276</v>
      </c>
      <c r="K192" s="53">
        <v>61330</v>
      </c>
      <c r="L192" s="54">
        <v>2</v>
      </c>
      <c r="M192" s="59">
        <f t="shared" si="8"/>
        <v>61330</v>
      </c>
      <c r="N192" s="100"/>
      <c r="O192" s="45"/>
      <c r="P192" s="39"/>
      <c r="Q192" s="39"/>
      <c r="R192" s="39"/>
      <c r="S192" s="39"/>
      <c r="T192" s="39"/>
      <c r="U192" s="39"/>
      <c r="V192" s="39"/>
      <c r="W192" s="39"/>
      <c r="X192" s="39"/>
      <c r="Y192" s="39"/>
      <c r="Z192" s="39"/>
      <c r="AA192" s="39"/>
      <c r="AB192" s="39"/>
      <c r="AC192" s="39"/>
      <c r="AD192" s="39"/>
      <c r="AE192" s="39"/>
      <c r="AF192" s="39"/>
      <c r="AG192" s="39"/>
      <c r="AH192" s="39"/>
    </row>
    <row r="193" spans="1:34" s="84" customFormat="1">
      <c r="A193" s="39" t="s">
        <v>967</v>
      </c>
      <c r="B193" s="46" t="s">
        <v>280</v>
      </c>
      <c r="C193" s="39" t="s">
        <v>930</v>
      </c>
      <c r="D193" s="102">
        <v>723066626</v>
      </c>
      <c r="E193" s="102">
        <v>2525399385</v>
      </c>
      <c r="F193" s="39" t="s">
        <v>247</v>
      </c>
      <c r="G193" s="81">
        <f>37892+(364+182)</f>
        <v>38438</v>
      </c>
      <c r="H193" s="50" t="str">
        <f t="shared" si="6"/>
        <v>Mar</v>
      </c>
      <c r="I193" s="51">
        <f t="shared" ca="1" si="7"/>
        <v>11</v>
      </c>
      <c r="J193" s="52"/>
      <c r="K193" s="53">
        <v>32880</v>
      </c>
      <c r="L193" s="54">
        <v>3</v>
      </c>
      <c r="M193" s="59">
        <f t="shared" si="8"/>
        <v>32880</v>
      </c>
      <c r="N193" s="100"/>
      <c r="O193" s="45"/>
      <c r="P193" s="39"/>
      <c r="Q193" s="39"/>
      <c r="R193" s="39"/>
      <c r="S193" s="39"/>
      <c r="T193" s="39"/>
      <c r="U193" s="39"/>
      <c r="V193" s="39"/>
      <c r="W193" s="39"/>
      <c r="X193" s="39"/>
      <c r="Y193" s="39"/>
      <c r="Z193" s="39"/>
      <c r="AA193" s="39"/>
      <c r="AB193" s="39"/>
      <c r="AC193" s="39"/>
      <c r="AD193" s="39"/>
      <c r="AE193" s="39"/>
      <c r="AF193" s="39"/>
      <c r="AG193" s="39"/>
      <c r="AH193" s="39"/>
    </row>
    <row r="194" spans="1:34" s="84" customFormat="1">
      <c r="A194" s="39" t="s">
        <v>800</v>
      </c>
      <c r="B194" s="46" t="s">
        <v>266</v>
      </c>
      <c r="C194" s="39" t="s">
        <v>767</v>
      </c>
      <c r="D194" s="102">
        <v>920265140</v>
      </c>
      <c r="E194" s="102">
        <v>2524078104</v>
      </c>
      <c r="F194" s="39" t="s">
        <v>256</v>
      </c>
      <c r="G194" s="81">
        <f>38244+(364+182)</f>
        <v>38790</v>
      </c>
      <c r="H194" s="50" t="str">
        <f t="shared" si="6"/>
        <v>Mar</v>
      </c>
      <c r="I194" s="51">
        <f t="shared" ca="1" si="7"/>
        <v>10</v>
      </c>
      <c r="J194" s="52" t="s">
        <v>262</v>
      </c>
      <c r="K194" s="53">
        <v>62688</v>
      </c>
      <c r="L194" s="54">
        <v>3</v>
      </c>
      <c r="M194" s="59">
        <f t="shared" si="8"/>
        <v>62688</v>
      </c>
      <c r="N194" s="100"/>
      <c r="O194" s="45"/>
      <c r="P194" s="39"/>
      <c r="Q194" s="39"/>
      <c r="R194" s="39"/>
      <c r="S194" s="39"/>
      <c r="T194" s="39"/>
      <c r="U194" s="39"/>
      <c r="V194" s="39"/>
      <c r="W194" s="39"/>
      <c r="X194" s="39"/>
      <c r="Y194" s="39"/>
      <c r="Z194" s="39"/>
      <c r="AA194" s="39"/>
      <c r="AB194" s="39"/>
      <c r="AC194" s="39"/>
      <c r="AD194" s="39"/>
      <c r="AE194" s="39"/>
      <c r="AF194" s="39"/>
      <c r="AG194" s="39"/>
      <c r="AH194" s="39"/>
    </row>
    <row r="195" spans="1:34" s="84" customFormat="1">
      <c r="A195" s="39" t="s">
        <v>870</v>
      </c>
      <c r="B195" s="46" t="s">
        <v>285</v>
      </c>
      <c r="C195" s="39" t="s">
        <v>856</v>
      </c>
      <c r="D195" s="102">
        <v>983047016</v>
      </c>
      <c r="E195" s="102">
        <v>9198451642</v>
      </c>
      <c r="F195" s="39" t="s">
        <v>247</v>
      </c>
      <c r="G195" s="81">
        <f>38247+(364+182)</f>
        <v>38793</v>
      </c>
      <c r="H195" s="50" t="str">
        <f t="shared" ref="H195:H258" si="9">CHOOSE(MONTH(G195),"Jan","Feb","Mar","Apr","May","Jun","Jul","Aug","Sep","Oct","Nov","Dec")</f>
        <v>Mar</v>
      </c>
      <c r="I195" s="51">
        <f t="shared" ref="I195:I258" ca="1" si="10">DATEDIF(G195,TODAY(),"Y")</f>
        <v>10</v>
      </c>
      <c r="J195" s="52"/>
      <c r="K195" s="53">
        <v>85930</v>
      </c>
      <c r="L195" s="54">
        <v>2</v>
      </c>
      <c r="M195" s="59">
        <f t="shared" ref="M195:M258" si="11">ROUND(K195*P193+K195,0)</f>
        <v>85930</v>
      </c>
      <c r="N195" s="100"/>
      <c r="O195" s="45"/>
      <c r="P195" s="39"/>
      <c r="Q195" s="39"/>
      <c r="R195" s="39"/>
      <c r="S195" s="39"/>
      <c r="T195" s="39"/>
      <c r="U195" s="39"/>
      <c r="V195" s="39"/>
      <c r="W195" s="39"/>
      <c r="X195" s="39"/>
      <c r="Y195" s="39"/>
      <c r="Z195" s="39"/>
      <c r="AA195" s="39"/>
      <c r="AB195" s="39"/>
      <c r="AC195" s="39"/>
      <c r="AD195" s="39"/>
      <c r="AE195" s="39"/>
      <c r="AF195" s="39"/>
      <c r="AG195" s="39"/>
      <c r="AH195" s="39"/>
    </row>
    <row r="196" spans="1:34" s="84" customFormat="1">
      <c r="A196" s="39" t="s">
        <v>717</v>
      </c>
      <c r="B196" s="46" t="s">
        <v>285</v>
      </c>
      <c r="C196" s="39" t="s">
        <v>705</v>
      </c>
      <c r="D196" s="102">
        <v>365499498</v>
      </c>
      <c r="E196" s="102">
        <v>2523575849</v>
      </c>
      <c r="F196" s="39" t="s">
        <v>256</v>
      </c>
      <c r="G196" s="81">
        <f>38261+(364+182)</f>
        <v>38807</v>
      </c>
      <c r="H196" s="50" t="str">
        <f t="shared" si="9"/>
        <v>Mar</v>
      </c>
      <c r="I196" s="51">
        <f t="shared" ca="1" si="10"/>
        <v>10</v>
      </c>
      <c r="J196" s="52" t="s">
        <v>257</v>
      </c>
      <c r="K196" s="53">
        <v>47060</v>
      </c>
      <c r="L196" s="54">
        <v>4</v>
      </c>
      <c r="M196" s="59">
        <f t="shared" si="11"/>
        <v>47060</v>
      </c>
      <c r="N196" s="100"/>
      <c r="O196" s="45"/>
      <c r="P196" s="39"/>
      <c r="Q196" s="39"/>
      <c r="R196" s="39"/>
      <c r="S196" s="39"/>
      <c r="T196" s="39"/>
      <c r="U196" s="39"/>
      <c r="V196" s="39"/>
      <c r="W196" s="39"/>
      <c r="X196" s="39"/>
      <c r="Y196" s="39"/>
      <c r="Z196" s="39"/>
      <c r="AA196" s="39"/>
      <c r="AB196" s="39"/>
      <c r="AC196" s="39"/>
      <c r="AD196" s="39"/>
      <c r="AE196" s="39"/>
      <c r="AF196" s="39"/>
      <c r="AG196" s="39"/>
      <c r="AH196" s="39"/>
    </row>
    <row r="197" spans="1:34" s="84" customFormat="1">
      <c r="A197" s="45" t="s">
        <v>244</v>
      </c>
      <c r="B197" s="46" t="s">
        <v>245</v>
      </c>
      <c r="C197" s="45" t="s">
        <v>246</v>
      </c>
      <c r="D197" s="106">
        <v>948195711</v>
      </c>
      <c r="E197" s="106">
        <v>2523539786</v>
      </c>
      <c r="F197" s="45" t="s">
        <v>247</v>
      </c>
      <c r="G197" s="105">
        <f>38601+(364+182)</f>
        <v>39147</v>
      </c>
      <c r="H197" s="50" t="str">
        <f t="shared" si="9"/>
        <v>Mar</v>
      </c>
      <c r="I197" s="51">
        <f t="shared" ca="1" si="10"/>
        <v>9</v>
      </c>
      <c r="J197" s="52"/>
      <c r="K197" s="53">
        <v>42540</v>
      </c>
      <c r="L197" s="54">
        <v>5</v>
      </c>
      <c r="M197" s="59">
        <f t="shared" si="11"/>
        <v>42540</v>
      </c>
      <c r="N197" s="100"/>
      <c r="O197" s="45"/>
      <c r="P197" s="39"/>
      <c r="Q197" s="39"/>
      <c r="R197" s="39"/>
      <c r="S197" s="39"/>
      <c r="T197" s="39"/>
      <c r="U197" s="39"/>
      <c r="V197" s="39"/>
      <c r="W197" s="39"/>
      <c r="X197" s="39"/>
      <c r="Y197" s="39"/>
      <c r="Z197" s="39"/>
      <c r="AA197" s="39"/>
      <c r="AB197" s="39"/>
      <c r="AC197" s="39"/>
      <c r="AD197" s="39"/>
      <c r="AE197" s="39"/>
      <c r="AF197" s="39"/>
      <c r="AG197" s="39"/>
      <c r="AH197" s="39"/>
    </row>
    <row r="198" spans="1:34" s="84" customFormat="1">
      <c r="A198" s="39" t="s">
        <v>387</v>
      </c>
      <c r="B198" s="46" t="s">
        <v>285</v>
      </c>
      <c r="C198" s="39" t="s">
        <v>381</v>
      </c>
      <c r="D198" s="102">
        <v>510190628</v>
      </c>
      <c r="E198" s="102">
        <v>2527405629</v>
      </c>
      <c r="F198" s="39" t="s">
        <v>256</v>
      </c>
      <c r="G198" s="81">
        <f>38601+(364+182)</f>
        <v>39147</v>
      </c>
      <c r="H198" s="50" t="str">
        <f t="shared" si="9"/>
        <v>Mar</v>
      </c>
      <c r="I198" s="51">
        <f t="shared" ca="1" si="10"/>
        <v>9</v>
      </c>
      <c r="J198" s="52" t="s">
        <v>283</v>
      </c>
      <c r="K198" s="53">
        <v>43680</v>
      </c>
      <c r="L198" s="54">
        <v>5</v>
      </c>
      <c r="M198" s="59">
        <f t="shared" si="11"/>
        <v>43680</v>
      </c>
      <c r="N198" s="100"/>
      <c r="O198" s="45"/>
      <c r="P198" s="39"/>
      <c r="Q198" s="39"/>
      <c r="R198" s="39"/>
      <c r="S198" s="39"/>
      <c r="T198" s="39"/>
      <c r="U198" s="39"/>
      <c r="V198" s="39"/>
      <c r="W198" s="39"/>
      <c r="X198" s="39"/>
      <c r="Y198" s="39"/>
      <c r="Z198" s="39"/>
      <c r="AA198" s="39"/>
      <c r="AB198" s="39"/>
      <c r="AC198" s="39"/>
      <c r="AD198" s="39"/>
      <c r="AE198" s="39"/>
      <c r="AF198" s="39"/>
      <c r="AG198" s="39"/>
      <c r="AH198" s="39"/>
    </row>
    <row r="199" spans="1:34" s="84" customFormat="1">
      <c r="A199" s="39" t="s">
        <v>922</v>
      </c>
      <c r="B199" s="46" t="s">
        <v>245</v>
      </c>
      <c r="C199" s="39" t="s">
        <v>856</v>
      </c>
      <c r="D199" s="102">
        <v>765836666</v>
      </c>
      <c r="E199" s="102">
        <v>2525013435</v>
      </c>
      <c r="F199" s="39" t="s">
        <v>256</v>
      </c>
      <c r="G199" s="81">
        <f>38607+(364+182)</f>
        <v>39153</v>
      </c>
      <c r="H199" s="50" t="str">
        <f t="shared" si="9"/>
        <v>Mar</v>
      </c>
      <c r="I199" s="51">
        <f t="shared" ca="1" si="10"/>
        <v>9</v>
      </c>
      <c r="J199" s="52" t="s">
        <v>283</v>
      </c>
      <c r="K199" s="53">
        <v>43600</v>
      </c>
      <c r="L199" s="54">
        <v>5</v>
      </c>
      <c r="M199" s="59">
        <f t="shared" si="11"/>
        <v>43600</v>
      </c>
      <c r="N199" s="100"/>
      <c r="O199" s="45"/>
      <c r="P199" s="39"/>
      <c r="Q199" s="39"/>
      <c r="R199" s="39"/>
      <c r="S199" s="39"/>
      <c r="T199" s="39"/>
      <c r="U199" s="39"/>
      <c r="V199" s="39"/>
      <c r="W199" s="39"/>
      <c r="X199" s="39"/>
      <c r="Y199" s="39"/>
      <c r="Z199" s="39"/>
      <c r="AA199" s="39"/>
      <c r="AB199" s="39"/>
      <c r="AC199" s="39"/>
      <c r="AD199" s="39"/>
      <c r="AE199" s="39"/>
      <c r="AF199" s="39"/>
      <c r="AG199" s="39"/>
      <c r="AH199" s="39"/>
    </row>
    <row r="200" spans="1:34" s="84" customFormat="1">
      <c r="A200" s="39" t="s">
        <v>645</v>
      </c>
      <c r="B200" s="46" t="s">
        <v>245</v>
      </c>
      <c r="C200" s="39" t="s">
        <v>626</v>
      </c>
      <c r="D200" s="102">
        <v>895408697</v>
      </c>
      <c r="E200" s="102">
        <v>2523383207</v>
      </c>
      <c r="F200" s="39" t="s">
        <v>256</v>
      </c>
      <c r="G200" s="81">
        <f>38611+(364+182)</f>
        <v>39157</v>
      </c>
      <c r="H200" s="50" t="str">
        <f t="shared" si="9"/>
        <v>Mar</v>
      </c>
      <c r="I200" s="51">
        <f t="shared" ca="1" si="10"/>
        <v>9</v>
      </c>
      <c r="J200" s="52" t="s">
        <v>283</v>
      </c>
      <c r="K200" s="53">
        <v>47610</v>
      </c>
      <c r="L200" s="54">
        <v>4</v>
      </c>
      <c r="M200" s="59">
        <f t="shared" si="11"/>
        <v>47610</v>
      </c>
      <c r="N200" s="100"/>
      <c r="O200" s="45"/>
      <c r="P200" s="39"/>
      <c r="Q200" s="39"/>
      <c r="R200" s="39"/>
      <c r="S200" s="39"/>
      <c r="T200" s="39"/>
      <c r="U200" s="39"/>
      <c r="V200" s="39"/>
      <c r="W200" s="39"/>
      <c r="X200" s="39"/>
      <c r="Y200" s="39"/>
      <c r="Z200" s="39"/>
      <c r="AA200" s="39"/>
      <c r="AB200" s="39"/>
      <c r="AC200" s="39"/>
      <c r="AD200" s="39"/>
      <c r="AE200" s="39"/>
      <c r="AF200" s="39"/>
      <c r="AG200" s="39"/>
      <c r="AH200" s="39"/>
    </row>
    <row r="201" spans="1:34" s="84" customFormat="1">
      <c r="A201" s="39" t="s">
        <v>993</v>
      </c>
      <c r="B201" s="46" t="s">
        <v>280</v>
      </c>
      <c r="C201" s="39" t="s">
        <v>930</v>
      </c>
      <c r="D201" s="102">
        <v>276873359</v>
      </c>
      <c r="E201" s="102">
        <v>2522304625</v>
      </c>
      <c r="F201" s="39" t="s">
        <v>256</v>
      </c>
      <c r="G201" s="81">
        <f>38625+(364+182)</f>
        <v>39171</v>
      </c>
      <c r="H201" s="50" t="str">
        <f t="shared" si="9"/>
        <v>Mar</v>
      </c>
      <c r="I201" s="51">
        <f t="shared" ca="1" si="10"/>
        <v>9</v>
      </c>
      <c r="J201" s="52" t="s">
        <v>267</v>
      </c>
      <c r="K201" s="53">
        <v>25690</v>
      </c>
      <c r="L201" s="54">
        <v>2</v>
      </c>
      <c r="M201" s="59">
        <f t="shared" si="11"/>
        <v>25690</v>
      </c>
      <c r="N201" s="100"/>
      <c r="O201" s="45"/>
      <c r="P201" s="39"/>
      <c r="Q201" s="39"/>
      <c r="R201" s="39"/>
      <c r="S201" s="39"/>
      <c r="T201" s="39"/>
      <c r="U201" s="39"/>
      <c r="V201" s="39"/>
      <c r="W201" s="39"/>
      <c r="X201" s="39"/>
      <c r="Y201" s="39"/>
      <c r="Z201" s="39"/>
      <c r="AA201" s="39"/>
      <c r="AB201" s="39"/>
      <c r="AC201" s="39"/>
      <c r="AD201" s="39"/>
      <c r="AE201" s="39"/>
      <c r="AF201" s="39"/>
      <c r="AG201" s="39"/>
      <c r="AH201" s="39"/>
    </row>
    <row r="202" spans="1:34" s="84" customFormat="1">
      <c r="A202" s="39" t="s">
        <v>377</v>
      </c>
      <c r="B202" s="46" t="s">
        <v>271</v>
      </c>
      <c r="C202" s="39" t="s">
        <v>372</v>
      </c>
      <c r="D202" s="102">
        <v>106966222</v>
      </c>
      <c r="E202" s="102">
        <v>9198310129</v>
      </c>
      <c r="F202" s="39" t="s">
        <v>247</v>
      </c>
      <c r="G202" s="81">
        <f>38983+(364+182)</f>
        <v>39529</v>
      </c>
      <c r="H202" s="50" t="str">
        <f t="shared" si="9"/>
        <v>Mar</v>
      </c>
      <c r="I202" s="51">
        <f t="shared" ca="1" si="10"/>
        <v>8</v>
      </c>
      <c r="J202" s="52"/>
      <c r="K202" s="53">
        <v>35620</v>
      </c>
      <c r="L202" s="54">
        <v>4</v>
      </c>
      <c r="M202" s="59">
        <f t="shared" si="11"/>
        <v>35620</v>
      </c>
      <c r="N202" s="100"/>
      <c r="O202" s="45"/>
      <c r="P202" s="39"/>
      <c r="Q202" s="39"/>
      <c r="R202" s="39"/>
      <c r="S202" s="39"/>
      <c r="T202" s="39"/>
      <c r="U202" s="39"/>
      <c r="V202" s="39"/>
      <c r="W202" s="39"/>
      <c r="X202" s="39"/>
      <c r="Y202" s="39"/>
      <c r="Z202" s="39"/>
      <c r="AA202" s="39"/>
      <c r="AB202" s="39"/>
      <c r="AC202" s="39"/>
      <c r="AD202" s="39"/>
      <c r="AE202" s="39"/>
      <c r="AF202" s="39"/>
      <c r="AG202" s="39"/>
      <c r="AH202" s="39"/>
    </row>
    <row r="203" spans="1:34" s="84" customFormat="1">
      <c r="A203" s="39" t="s">
        <v>1023</v>
      </c>
      <c r="B203" s="46" t="s">
        <v>280</v>
      </c>
      <c r="C203" s="39" t="s">
        <v>930</v>
      </c>
      <c r="D203" s="102">
        <v>843299208</v>
      </c>
      <c r="E203" s="102">
        <v>9198631557</v>
      </c>
      <c r="F203" s="39" t="s">
        <v>261</v>
      </c>
      <c r="G203" s="81">
        <f>38989+(364+182)</f>
        <v>39535</v>
      </c>
      <c r="H203" s="50" t="str">
        <f t="shared" si="9"/>
        <v>Mar</v>
      </c>
      <c r="I203" s="51">
        <f t="shared" ca="1" si="10"/>
        <v>8</v>
      </c>
      <c r="J203" s="52" t="s">
        <v>276</v>
      </c>
      <c r="K203" s="53">
        <v>49080</v>
      </c>
      <c r="L203" s="54">
        <v>5</v>
      </c>
      <c r="M203" s="59">
        <f t="shared" si="11"/>
        <v>49080</v>
      </c>
      <c r="N203" s="100"/>
      <c r="O203" s="45"/>
      <c r="P203" s="39"/>
      <c r="Q203" s="39"/>
      <c r="R203" s="39"/>
      <c r="S203" s="39"/>
      <c r="T203" s="39"/>
      <c r="U203" s="39"/>
      <c r="V203" s="39"/>
      <c r="W203" s="39"/>
      <c r="X203" s="39"/>
      <c r="Y203" s="39"/>
      <c r="Z203" s="39"/>
      <c r="AA203" s="39"/>
      <c r="AB203" s="39"/>
      <c r="AC203" s="39"/>
      <c r="AD203" s="39"/>
      <c r="AE203" s="39"/>
      <c r="AF203" s="39"/>
      <c r="AG203" s="39"/>
      <c r="AH203" s="39"/>
    </row>
    <row r="204" spans="1:34" s="84" customFormat="1">
      <c r="A204" s="39" t="s">
        <v>475</v>
      </c>
      <c r="B204" s="46" t="s">
        <v>245</v>
      </c>
      <c r="C204" s="39" t="s">
        <v>465</v>
      </c>
      <c r="D204" s="102">
        <v>318068637</v>
      </c>
      <c r="E204" s="102">
        <v>9193709408</v>
      </c>
      <c r="F204" s="39" t="s">
        <v>247</v>
      </c>
      <c r="G204" s="81">
        <f>38992+(364+182)</f>
        <v>39538</v>
      </c>
      <c r="H204" s="50" t="str">
        <f t="shared" si="9"/>
        <v>Mar</v>
      </c>
      <c r="I204" s="51">
        <f t="shared" ca="1" si="10"/>
        <v>8</v>
      </c>
      <c r="J204" s="52"/>
      <c r="K204" s="53">
        <v>62780</v>
      </c>
      <c r="L204" s="54">
        <v>4</v>
      </c>
      <c r="M204" s="59">
        <f t="shared" si="11"/>
        <v>62780</v>
      </c>
      <c r="N204" s="100"/>
      <c r="O204" s="45"/>
      <c r="P204" s="39"/>
      <c r="Q204" s="39"/>
      <c r="R204" s="39"/>
      <c r="S204" s="39"/>
      <c r="T204" s="39"/>
      <c r="U204" s="39"/>
      <c r="V204" s="39"/>
      <c r="W204" s="39"/>
      <c r="X204" s="39"/>
      <c r="Y204" s="39"/>
      <c r="Z204" s="39"/>
      <c r="AA204" s="39"/>
      <c r="AB204" s="39"/>
      <c r="AC204" s="39"/>
      <c r="AD204" s="39"/>
      <c r="AE204" s="39"/>
      <c r="AF204" s="39"/>
      <c r="AG204" s="39"/>
      <c r="AH204" s="39"/>
    </row>
    <row r="205" spans="1:34" s="84" customFormat="1">
      <c r="A205" s="39" t="s">
        <v>429</v>
      </c>
      <c r="B205" s="46" t="s">
        <v>271</v>
      </c>
      <c r="C205" s="39" t="s">
        <v>417</v>
      </c>
      <c r="D205" s="102">
        <v>407299017</v>
      </c>
      <c r="E205" s="102">
        <v>9195968632</v>
      </c>
      <c r="F205" s="39" t="s">
        <v>252</v>
      </c>
      <c r="G205" s="81">
        <f>39347+(364+182)</f>
        <v>39893</v>
      </c>
      <c r="H205" s="50" t="str">
        <f t="shared" si="9"/>
        <v>Mar</v>
      </c>
      <c r="I205" s="51">
        <f t="shared" ca="1" si="10"/>
        <v>7</v>
      </c>
      <c r="J205" s="52"/>
      <c r="K205" s="53">
        <v>15744</v>
      </c>
      <c r="L205" s="54">
        <v>3</v>
      </c>
      <c r="M205" s="59">
        <f t="shared" si="11"/>
        <v>15744</v>
      </c>
      <c r="N205" s="100"/>
      <c r="O205" s="45"/>
      <c r="P205" s="39"/>
      <c r="Q205" s="39"/>
      <c r="R205" s="39"/>
      <c r="S205" s="39"/>
      <c r="T205" s="39"/>
      <c r="U205" s="39"/>
      <c r="V205" s="39"/>
      <c r="W205" s="39"/>
      <c r="X205" s="39"/>
      <c r="Y205" s="39"/>
      <c r="Z205" s="39"/>
      <c r="AA205" s="39"/>
      <c r="AB205" s="39"/>
      <c r="AC205" s="39"/>
      <c r="AD205" s="39"/>
      <c r="AE205" s="39"/>
      <c r="AF205" s="39"/>
      <c r="AG205" s="39"/>
      <c r="AH205" s="39"/>
    </row>
    <row r="206" spans="1:34" s="84" customFormat="1">
      <c r="A206" s="39" t="s">
        <v>785</v>
      </c>
      <c r="B206" s="46" t="s">
        <v>245</v>
      </c>
      <c r="C206" s="39" t="s">
        <v>767</v>
      </c>
      <c r="D206" s="102">
        <v>151277827</v>
      </c>
      <c r="E206" s="102">
        <v>9197179128</v>
      </c>
      <c r="F206" s="39" t="s">
        <v>256</v>
      </c>
      <c r="G206" s="81">
        <f>39353+(364+182)</f>
        <v>39899</v>
      </c>
      <c r="H206" s="50" t="str">
        <f t="shared" si="9"/>
        <v>Mar</v>
      </c>
      <c r="I206" s="51">
        <f t="shared" ca="1" si="10"/>
        <v>7</v>
      </c>
      <c r="J206" s="52" t="s">
        <v>257</v>
      </c>
      <c r="K206" s="53">
        <v>24790</v>
      </c>
      <c r="L206" s="54">
        <v>3</v>
      </c>
      <c r="M206" s="59">
        <f t="shared" si="11"/>
        <v>24790</v>
      </c>
      <c r="N206" s="100"/>
      <c r="O206" s="45"/>
      <c r="P206" s="39"/>
      <c r="Q206" s="39"/>
      <c r="R206" s="39"/>
      <c r="S206" s="39"/>
      <c r="T206" s="39"/>
      <c r="U206" s="39"/>
      <c r="V206" s="39"/>
      <c r="W206" s="39"/>
      <c r="X206" s="39"/>
      <c r="Y206" s="39"/>
      <c r="Z206" s="39"/>
      <c r="AA206" s="39"/>
      <c r="AB206" s="39"/>
      <c r="AC206" s="39"/>
      <c r="AD206" s="39"/>
      <c r="AE206" s="39"/>
      <c r="AF206" s="39"/>
      <c r="AG206" s="39"/>
      <c r="AH206" s="39"/>
    </row>
    <row r="207" spans="1:34" s="84" customFormat="1">
      <c r="A207" s="39" t="s">
        <v>378</v>
      </c>
      <c r="B207" s="46" t="s">
        <v>285</v>
      </c>
      <c r="C207" s="39" t="s">
        <v>372</v>
      </c>
      <c r="D207" s="102">
        <v>495042805</v>
      </c>
      <c r="E207" s="102">
        <v>9197146686</v>
      </c>
      <c r="F207" s="39" t="s">
        <v>247</v>
      </c>
      <c r="G207" s="103">
        <f>39707+(364+182)</f>
        <v>40253</v>
      </c>
      <c r="H207" s="50" t="str">
        <f t="shared" si="9"/>
        <v>Mar</v>
      </c>
      <c r="I207" s="51">
        <f t="shared" ca="1" si="10"/>
        <v>6</v>
      </c>
      <c r="J207" s="52"/>
      <c r="K207" s="53">
        <v>59350</v>
      </c>
      <c r="L207" s="54">
        <v>5</v>
      </c>
      <c r="M207" s="59">
        <f t="shared" si="11"/>
        <v>59350</v>
      </c>
      <c r="N207" s="100"/>
      <c r="O207" s="45"/>
      <c r="P207" s="39"/>
      <c r="Q207" s="39"/>
      <c r="R207" s="39"/>
      <c r="S207" s="39"/>
      <c r="T207" s="39"/>
      <c r="U207" s="39"/>
      <c r="V207" s="39"/>
      <c r="W207" s="39"/>
      <c r="X207" s="39"/>
      <c r="Y207" s="39"/>
      <c r="Z207" s="39"/>
      <c r="AA207" s="39"/>
      <c r="AB207" s="39"/>
      <c r="AC207" s="39"/>
      <c r="AD207" s="39"/>
      <c r="AE207" s="39"/>
      <c r="AF207" s="39"/>
      <c r="AG207" s="39"/>
      <c r="AH207" s="39"/>
    </row>
    <row r="208" spans="1:34" s="84" customFormat="1">
      <c r="A208" s="39" t="s">
        <v>834</v>
      </c>
      <c r="B208" s="46" t="s">
        <v>251</v>
      </c>
      <c r="C208" s="39" t="s">
        <v>767</v>
      </c>
      <c r="D208" s="102">
        <v>618775364</v>
      </c>
      <c r="E208" s="102">
        <v>9193182167</v>
      </c>
      <c r="F208" s="39" t="s">
        <v>261</v>
      </c>
      <c r="G208" s="103">
        <f>39708+(364+182)</f>
        <v>40254</v>
      </c>
      <c r="H208" s="50" t="str">
        <f t="shared" si="9"/>
        <v>Mar</v>
      </c>
      <c r="I208" s="51">
        <f t="shared" ca="1" si="10"/>
        <v>6</v>
      </c>
      <c r="J208" s="52" t="s">
        <v>283</v>
      </c>
      <c r="K208" s="53">
        <v>48700</v>
      </c>
      <c r="L208" s="54">
        <v>3</v>
      </c>
      <c r="M208" s="59">
        <f t="shared" si="11"/>
        <v>48700</v>
      </c>
      <c r="N208" s="100"/>
      <c r="O208" s="45"/>
      <c r="P208" s="39"/>
      <c r="Q208" s="39"/>
      <c r="R208" s="39"/>
      <c r="S208" s="39"/>
      <c r="T208" s="39"/>
      <c r="U208" s="39"/>
      <c r="V208" s="39"/>
      <c r="W208" s="39"/>
      <c r="X208" s="39"/>
      <c r="Y208" s="39"/>
      <c r="Z208" s="39"/>
      <c r="AA208" s="39"/>
      <c r="AB208" s="39"/>
      <c r="AC208" s="39"/>
      <c r="AD208" s="39"/>
      <c r="AE208" s="39"/>
      <c r="AF208" s="39"/>
      <c r="AG208" s="39"/>
      <c r="AH208" s="39"/>
    </row>
    <row r="209" spans="1:34" s="84" customFormat="1">
      <c r="A209" s="39" t="s">
        <v>427</v>
      </c>
      <c r="B209" s="46" t="s">
        <v>266</v>
      </c>
      <c r="C209" s="39" t="s">
        <v>417</v>
      </c>
      <c r="D209" s="102">
        <v>956291859</v>
      </c>
      <c r="E209" s="102">
        <v>2521156902</v>
      </c>
      <c r="F209" s="39" t="s">
        <v>247</v>
      </c>
      <c r="G209" s="81">
        <f>39713+(364+182)</f>
        <v>40259</v>
      </c>
      <c r="H209" s="50" t="str">
        <f t="shared" si="9"/>
        <v>Mar</v>
      </c>
      <c r="I209" s="51">
        <f t="shared" ca="1" si="10"/>
        <v>6</v>
      </c>
      <c r="J209" s="52"/>
      <c r="K209" s="53">
        <v>45710</v>
      </c>
      <c r="L209" s="54">
        <v>3</v>
      </c>
      <c r="M209" s="59">
        <f t="shared" si="11"/>
        <v>45710</v>
      </c>
      <c r="N209" s="100"/>
      <c r="O209" s="45"/>
      <c r="P209" s="39"/>
      <c r="Q209" s="39"/>
      <c r="R209" s="39"/>
      <c r="S209" s="39"/>
      <c r="T209" s="39"/>
      <c r="U209" s="39"/>
      <c r="V209" s="39"/>
      <c r="W209" s="39"/>
      <c r="X209" s="39"/>
      <c r="Y209" s="39"/>
      <c r="Z209" s="39"/>
      <c r="AA209" s="39"/>
      <c r="AB209" s="39"/>
      <c r="AC209" s="39"/>
      <c r="AD209" s="39"/>
      <c r="AE209" s="39"/>
      <c r="AF209" s="39"/>
      <c r="AG209" s="39"/>
      <c r="AH209" s="39"/>
    </row>
    <row r="210" spans="1:34">
      <c r="A210" s="39" t="s">
        <v>455</v>
      </c>
      <c r="B210" s="46" t="s">
        <v>251</v>
      </c>
      <c r="C210" s="39" t="s">
        <v>456</v>
      </c>
      <c r="D210" s="102">
        <v>117896630</v>
      </c>
      <c r="E210" s="102">
        <v>9197173558</v>
      </c>
      <c r="F210" s="39" t="s">
        <v>247</v>
      </c>
      <c r="G210" s="81">
        <f>39717+(364+182)</f>
        <v>40263</v>
      </c>
      <c r="H210" s="50" t="str">
        <f t="shared" si="9"/>
        <v>Mar</v>
      </c>
      <c r="I210" s="51">
        <f t="shared" ca="1" si="10"/>
        <v>6</v>
      </c>
      <c r="J210" s="52" t="s">
        <v>267</v>
      </c>
      <c r="K210" s="53">
        <v>71190</v>
      </c>
      <c r="L210" s="54">
        <v>4</v>
      </c>
      <c r="M210" s="59">
        <f t="shared" si="11"/>
        <v>71190</v>
      </c>
    </row>
    <row r="211" spans="1:34">
      <c r="A211" s="39" t="s">
        <v>520</v>
      </c>
      <c r="B211" s="46" t="s">
        <v>285</v>
      </c>
      <c r="C211" s="39" t="s">
        <v>465</v>
      </c>
      <c r="D211" s="102">
        <v>377194926</v>
      </c>
      <c r="E211" s="102">
        <v>9197362525</v>
      </c>
      <c r="F211" s="39" t="s">
        <v>256</v>
      </c>
      <c r="G211" s="103">
        <f>40057+(364+182)</f>
        <v>40603</v>
      </c>
      <c r="H211" s="50" t="str">
        <f t="shared" si="9"/>
        <v>Mar</v>
      </c>
      <c r="I211" s="51">
        <f t="shared" ca="1" si="10"/>
        <v>5</v>
      </c>
      <c r="J211" s="52" t="s">
        <v>267</v>
      </c>
      <c r="K211" s="53">
        <v>44260</v>
      </c>
      <c r="L211" s="54">
        <v>1</v>
      </c>
      <c r="M211" s="59">
        <f t="shared" si="11"/>
        <v>44260</v>
      </c>
    </row>
    <row r="212" spans="1:34">
      <c r="A212" s="39" t="s">
        <v>719</v>
      </c>
      <c r="B212" s="46" t="s">
        <v>251</v>
      </c>
      <c r="C212" s="39" t="s">
        <v>705</v>
      </c>
      <c r="D212" s="102">
        <v>711445298</v>
      </c>
      <c r="E212" s="102">
        <v>2528359862</v>
      </c>
      <c r="F212" s="39" t="s">
        <v>247</v>
      </c>
      <c r="G212" s="109">
        <f>40074+(364+182)</f>
        <v>40620</v>
      </c>
      <c r="H212" s="50" t="str">
        <f t="shared" si="9"/>
        <v>Mar</v>
      </c>
      <c r="I212" s="51">
        <f t="shared" ca="1" si="10"/>
        <v>5</v>
      </c>
      <c r="J212" s="52"/>
      <c r="K212" s="53">
        <v>84300</v>
      </c>
      <c r="L212" s="54">
        <v>1</v>
      </c>
      <c r="M212" s="59">
        <f t="shared" si="11"/>
        <v>84300</v>
      </c>
    </row>
    <row r="213" spans="1:34">
      <c r="A213" s="39" t="s">
        <v>777</v>
      </c>
      <c r="B213" s="46" t="s">
        <v>271</v>
      </c>
      <c r="C213" s="39" t="s">
        <v>767</v>
      </c>
      <c r="D213" s="102">
        <v>728567428</v>
      </c>
      <c r="E213" s="102">
        <v>2521957923</v>
      </c>
      <c r="F213" s="39" t="s">
        <v>256</v>
      </c>
      <c r="G213" s="81">
        <f>40078+(364+182)</f>
        <v>40624</v>
      </c>
      <c r="H213" s="50" t="str">
        <f t="shared" si="9"/>
        <v>Mar</v>
      </c>
      <c r="I213" s="51">
        <f t="shared" ca="1" si="10"/>
        <v>5</v>
      </c>
      <c r="J213" s="52" t="s">
        <v>276</v>
      </c>
      <c r="K213" s="53">
        <v>86500</v>
      </c>
      <c r="L213" s="54">
        <v>1</v>
      </c>
      <c r="M213" s="59">
        <f t="shared" si="11"/>
        <v>86500</v>
      </c>
    </row>
    <row r="214" spans="1:34">
      <c r="A214" s="39" t="s">
        <v>347</v>
      </c>
      <c r="B214" s="46" t="s">
        <v>245</v>
      </c>
      <c r="C214" s="39" t="s">
        <v>312</v>
      </c>
      <c r="D214" s="102">
        <v>787156286</v>
      </c>
      <c r="E214" s="102">
        <v>2524588703</v>
      </c>
      <c r="F214" s="39" t="s">
        <v>256</v>
      </c>
      <c r="G214" s="81">
        <f>32802+(364+182)</f>
        <v>33348</v>
      </c>
      <c r="H214" s="50" t="str">
        <f t="shared" si="9"/>
        <v>Apr</v>
      </c>
      <c r="I214" s="51">
        <f t="shared" ca="1" si="10"/>
        <v>25</v>
      </c>
      <c r="J214" s="52" t="s">
        <v>276</v>
      </c>
      <c r="K214" s="53">
        <v>49810</v>
      </c>
      <c r="L214" s="54">
        <v>2</v>
      </c>
      <c r="M214" s="59">
        <f t="shared" si="11"/>
        <v>49810</v>
      </c>
    </row>
    <row r="215" spans="1:34">
      <c r="A215" s="39" t="s">
        <v>761</v>
      </c>
      <c r="B215" s="46" t="s">
        <v>285</v>
      </c>
      <c r="C215" s="39" t="s">
        <v>750</v>
      </c>
      <c r="D215" s="102">
        <v>219740602</v>
      </c>
      <c r="E215" s="102">
        <v>9197429525</v>
      </c>
      <c r="F215" s="39" t="s">
        <v>261</v>
      </c>
      <c r="G215" s="81">
        <f>32803+(364+182)</f>
        <v>33349</v>
      </c>
      <c r="H215" s="50" t="str">
        <f t="shared" si="9"/>
        <v>Apr</v>
      </c>
      <c r="I215" s="51">
        <f t="shared" ca="1" si="10"/>
        <v>25</v>
      </c>
      <c r="J215" s="52" t="s">
        <v>276</v>
      </c>
      <c r="K215" s="53">
        <v>16015</v>
      </c>
      <c r="L215" s="54">
        <v>3</v>
      </c>
      <c r="M215" s="59">
        <f t="shared" si="11"/>
        <v>16015</v>
      </c>
    </row>
    <row r="216" spans="1:34">
      <c r="A216" s="39" t="s">
        <v>642</v>
      </c>
      <c r="B216" s="46" t="s">
        <v>285</v>
      </c>
      <c r="C216" s="39" t="s">
        <v>626</v>
      </c>
      <c r="D216" s="102">
        <v>275102740</v>
      </c>
      <c r="E216" s="102">
        <v>2521620909</v>
      </c>
      <c r="F216" s="39" t="s">
        <v>256</v>
      </c>
      <c r="G216" s="81">
        <f>33149+(364+182)</f>
        <v>33695</v>
      </c>
      <c r="H216" s="50" t="str">
        <f t="shared" si="9"/>
        <v>Apr</v>
      </c>
      <c r="I216" s="51">
        <f t="shared" ca="1" si="10"/>
        <v>24</v>
      </c>
      <c r="J216" s="52" t="s">
        <v>262</v>
      </c>
      <c r="K216" s="53">
        <v>60560</v>
      </c>
      <c r="L216" s="54">
        <v>4</v>
      </c>
      <c r="M216" s="59">
        <f t="shared" si="11"/>
        <v>60560</v>
      </c>
    </row>
    <row r="217" spans="1:34">
      <c r="A217" s="39" t="s">
        <v>661</v>
      </c>
      <c r="B217" s="46" t="s">
        <v>245</v>
      </c>
      <c r="C217" s="39" t="s">
        <v>626</v>
      </c>
      <c r="D217" s="102">
        <v>948189231</v>
      </c>
      <c r="E217" s="102">
        <v>2527687161</v>
      </c>
      <c r="F217" s="39" t="s">
        <v>256</v>
      </c>
      <c r="G217" s="81">
        <f>33156+(364+182)</f>
        <v>33702</v>
      </c>
      <c r="H217" s="50" t="str">
        <f t="shared" si="9"/>
        <v>Apr</v>
      </c>
      <c r="I217" s="51">
        <f t="shared" ca="1" si="10"/>
        <v>24</v>
      </c>
      <c r="J217" s="52" t="s">
        <v>257</v>
      </c>
      <c r="K217" s="53">
        <v>37020</v>
      </c>
      <c r="L217" s="54">
        <v>2</v>
      </c>
      <c r="M217" s="59">
        <f t="shared" si="11"/>
        <v>37020</v>
      </c>
    </row>
    <row r="218" spans="1:34">
      <c r="A218" s="39" t="s">
        <v>432</v>
      </c>
      <c r="B218" s="46" t="s">
        <v>245</v>
      </c>
      <c r="C218" s="39" t="s">
        <v>417</v>
      </c>
      <c r="D218" s="102">
        <v>304068732</v>
      </c>
      <c r="E218" s="102">
        <v>2523919445</v>
      </c>
      <c r="F218" s="39" t="s">
        <v>261</v>
      </c>
      <c r="G218" s="81">
        <f>33163+(364+182)</f>
        <v>33709</v>
      </c>
      <c r="H218" s="50" t="str">
        <f t="shared" si="9"/>
        <v>Apr</v>
      </c>
      <c r="I218" s="51">
        <f t="shared" ca="1" si="10"/>
        <v>24</v>
      </c>
      <c r="J218" s="52" t="s">
        <v>257</v>
      </c>
      <c r="K218" s="53">
        <v>34110</v>
      </c>
      <c r="L218" s="54">
        <v>4</v>
      </c>
      <c r="M218" s="59">
        <f t="shared" si="11"/>
        <v>34110</v>
      </c>
      <c r="N218" s="107"/>
    </row>
    <row r="219" spans="1:34">
      <c r="A219" s="39" t="s">
        <v>909</v>
      </c>
      <c r="B219" s="46" t="s">
        <v>285</v>
      </c>
      <c r="C219" s="39" t="s">
        <v>856</v>
      </c>
      <c r="D219" s="102">
        <v>693965055</v>
      </c>
      <c r="E219" s="102">
        <v>2527853314</v>
      </c>
      <c r="F219" s="39" t="s">
        <v>256</v>
      </c>
      <c r="G219" s="81">
        <f>33165+(364+182)</f>
        <v>33711</v>
      </c>
      <c r="H219" s="50" t="str">
        <f t="shared" si="9"/>
        <v>Apr</v>
      </c>
      <c r="I219" s="51">
        <f t="shared" ca="1" si="10"/>
        <v>24</v>
      </c>
      <c r="J219" s="52" t="s">
        <v>257</v>
      </c>
      <c r="K219" s="53">
        <v>68470</v>
      </c>
      <c r="L219" s="54">
        <v>4</v>
      </c>
      <c r="M219" s="59">
        <f t="shared" si="11"/>
        <v>68470</v>
      </c>
    </row>
    <row r="220" spans="1:34">
      <c r="A220" s="39" t="s">
        <v>306</v>
      </c>
      <c r="B220" s="46" t="s">
        <v>285</v>
      </c>
      <c r="C220" s="39" t="s">
        <v>307</v>
      </c>
      <c r="D220" s="102">
        <v>682791418</v>
      </c>
      <c r="E220" s="102">
        <v>9194603155</v>
      </c>
      <c r="F220" s="39" t="s">
        <v>256</v>
      </c>
      <c r="G220" s="81">
        <f>33167+(364+182)</f>
        <v>33713</v>
      </c>
      <c r="H220" s="50" t="str">
        <f t="shared" si="9"/>
        <v>Apr</v>
      </c>
      <c r="I220" s="51">
        <f t="shared" ca="1" si="10"/>
        <v>24</v>
      </c>
      <c r="J220" s="52" t="s">
        <v>257</v>
      </c>
      <c r="K220" s="53">
        <v>46220</v>
      </c>
      <c r="L220" s="54">
        <v>3</v>
      </c>
      <c r="M220" s="59">
        <f t="shared" si="11"/>
        <v>46220</v>
      </c>
      <c r="N220" s="107"/>
      <c r="O220" s="101"/>
    </row>
    <row r="221" spans="1:34">
      <c r="A221" s="39" t="s">
        <v>523</v>
      </c>
      <c r="B221" s="46" t="s">
        <v>245</v>
      </c>
      <c r="C221" s="39" t="s">
        <v>465</v>
      </c>
      <c r="D221" s="102">
        <v>467030396</v>
      </c>
      <c r="E221" s="102">
        <v>2526213620</v>
      </c>
      <c r="F221" s="39" t="s">
        <v>256</v>
      </c>
      <c r="G221" s="81">
        <f>33174+(364+182)</f>
        <v>33720</v>
      </c>
      <c r="H221" s="50" t="str">
        <f t="shared" si="9"/>
        <v>Apr</v>
      </c>
      <c r="I221" s="51">
        <f t="shared" ca="1" si="10"/>
        <v>24</v>
      </c>
      <c r="J221" s="52" t="s">
        <v>283</v>
      </c>
      <c r="K221" s="53">
        <v>58910</v>
      </c>
      <c r="L221" s="54">
        <v>1</v>
      </c>
      <c r="M221" s="59">
        <f t="shared" si="11"/>
        <v>58910</v>
      </c>
    </row>
    <row r="222" spans="1:34">
      <c r="A222" s="39" t="s">
        <v>519</v>
      </c>
      <c r="B222" s="46" t="s">
        <v>271</v>
      </c>
      <c r="C222" s="39" t="s">
        <v>465</v>
      </c>
      <c r="D222" s="102">
        <v>854806695</v>
      </c>
      <c r="E222" s="102">
        <v>9192672603</v>
      </c>
      <c r="F222" s="39" t="s">
        <v>256</v>
      </c>
      <c r="G222" s="81">
        <f>33175+(364+182)</f>
        <v>33721</v>
      </c>
      <c r="H222" s="50" t="str">
        <f t="shared" si="9"/>
        <v>Apr</v>
      </c>
      <c r="I222" s="51">
        <f t="shared" ca="1" si="10"/>
        <v>24</v>
      </c>
      <c r="J222" s="52" t="s">
        <v>283</v>
      </c>
      <c r="K222" s="53">
        <v>26190</v>
      </c>
      <c r="L222" s="54">
        <v>5</v>
      </c>
      <c r="M222" s="59">
        <f t="shared" si="11"/>
        <v>26190</v>
      </c>
    </row>
    <row r="223" spans="1:34">
      <c r="A223" s="39" t="s">
        <v>772</v>
      </c>
      <c r="B223" s="46" t="s">
        <v>271</v>
      </c>
      <c r="C223" s="39" t="s">
        <v>767</v>
      </c>
      <c r="D223" s="102">
        <v>558903229</v>
      </c>
      <c r="E223" s="102">
        <v>9195699651</v>
      </c>
      <c r="F223" s="39" t="s">
        <v>256</v>
      </c>
      <c r="G223" s="81">
        <f>33515+(364+182)</f>
        <v>34061</v>
      </c>
      <c r="H223" s="50" t="str">
        <f t="shared" si="9"/>
        <v>Apr</v>
      </c>
      <c r="I223" s="51">
        <f t="shared" ca="1" si="10"/>
        <v>23</v>
      </c>
      <c r="J223" s="52" t="s">
        <v>257</v>
      </c>
      <c r="K223" s="53">
        <v>23320</v>
      </c>
      <c r="L223" s="54">
        <v>4</v>
      </c>
      <c r="M223" s="59">
        <f t="shared" si="11"/>
        <v>23320</v>
      </c>
    </row>
    <row r="224" spans="1:34">
      <c r="A224" s="39" t="s">
        <v>662</v>
      </c>
      <c r="B224" s="46" t="s">
        <v>285</v>
      </c>
      <c r="C224" s="39" t="s">
        <v>626</v>
      </c>
      <c r="D224" s="102">
        <v>443476169</v>
      </c>
      <c r="E224" s="102">
        <v>9195085809</v>
      </c>
      <c r="F224" s="39" t="s">
        <v>256</v>
      </c>
      <c r="G224" s="81">
        <f>33521+(364+182)</f>
        <v>34067</v>
      </c>
      <c r="H224" s="50" t="str">
        <f t="shared" si="9"/>
        <v>Apr</v>
      </c>
      <c r="I224" s="51">
        <f t="shared" ca="1" si="10"/>
        <v>23</v>
      </c>
      <c r="J224" s="52" t="s">
        <v>267</v>
      </c>
      <c r="K224" s="53">
        <v>86540</v>
      </c>
      <c r="L224" s="54">
        <v>4</v>
      </c>
      <c r="M224" s="59">
        <f t="shared" si="11"/>
        <v>86540</v>
      </c>
    </row>
    <row r="225" spans="1:15">
      <c r="A225" s="39" t="s">
        <v>487</v>
      </c>
      <c r="B225" s="46" t="s">
        <v>280</v>
      </c>
      <c r="C225" s="39" t="s">
        <v>465</v>
      </c>
      <c r="D225" s="102">
        <v>487810878</v>
      </c>
      <c r="E225" s="102">
        <v>9194555389</v>
      </c>
      <c r="F225" s="39" t="s">
        <v>256</v>
      </c>
      <c r="G225" s="81">
        <f>33522+(364+182)</f>
        <v>34068</v>
      </c>
      <c r="H225" s="50" t="str">
        <f t="shared" si="9"/>
        <v>Apr</v>
      </c>
      <c r="I225" s="51">
        <f t="shared" ca="1" si="10"/>
        <v>23</v>
      </c>
      <c r="J225" s="52" t="s">
        <v>283</v>
      </c>
      <c r="K225" s="53">
        <v>23330</v>
      </c>
      <c r="L225" s="54">
        <v>4</v>
      </c>
      <c r="M225" s="59">
        <f t="shared" si="11"/>
        <v>23330</v>
      </c>
    </row>
    <row r="226" spans="1:15">
      <c r="A226" s="39" t="s">
        <v>287</v>
      </c>
      <c r="B226" s="46" t="s">
        <v>271</v>
      </c>
      <c r="C226" s="39" t="s">
        <v>272</v>
      </c>
      <c r="D226" s="102">
        <v>202815919</v>
      </c>
      <c r="E226" s="102">
        <v>2528467597</v>
      </c>
      <c r="F226" s="39" t="s">
        <v>247</v>
      </c>
      <c r="G226" s="81">
        <f>33530+(364+182)</f>
        <v>34076</v>
      </c>
      <c r="H226" s="50" t="str">
        <f t="shared" si="9"/>
        <v>Apr</v>
      </c>
      <c r="I226" s="51">
        <f t="shared" ca="1" si="10"/>
        <v>23</v>
      </c>
      <c r="J226" s="52"/>
      <c r="K226" s="53">
        <v>66580</v>
      </c>
      <c r="L226" s="54">
        <v>5</v>
      </c>
      <c r="M226" s="59">
        <f t="shared" si="11"/>
        <v>66580</v>
      </c>
      <c r="N226" s="107"/>
      <c r="O226" s="104"/>
    </row>
    <row r="227" spans="1:15">
      <c r="A227" s="39" t="s">
        <v>450</v>
      </c>
      <c r="B227" s="46" t="s">
        <v>285</v>
      </c>
      <c r="C227" s="39" t="s">
        <v>417</v>
      </c>
      <c r="D227" s="102">
        <v>302598687</v>
      </c>
      <c r="E227" s="102">
        <v>9195394899</v>
      </c>
      <c r="F227" s="39" t="s">
        <v>256</v>
      </c>
      <c r="G227" s="81">
        <f>33540+(364+182)</f>
        <v>34086</v>
      </c>
      <c r="H227" s="50" t="str">
        <f t="shared" si="9"/>
        <v>Apr</v>
      </c>
      <c r="I227" s="51">
        <f t="shared" ca="1" si="10"/>
        <v>23</v>
      </c>
      <c r="J227" s="52" t="s">
        <v>257</v>
      </c>
      <c r="K227" s="53">
        <v>31840</v>
      </c>
      <c r="L227" s="54">
        <v>1</v>
      </c>
      <c r="M227" s="59">
        <f t="shared" si="11"/>
        <v>31840</v>
      </c>
    </row>
    <row r="228" spans="1:15">
      <c r="A228" s="39" t="s">
        <v>548</v>
      </c>
      <c r="B228" s="46" t="s">
        <v>271</v>
      </c>
      <c r="C228" s="39" t="s">
        <v>465</v>
      </c>
      <c r="D228" s="102">
        <v>219245495</v>
      </c>
      <c r="E228" s="102">
        <v>9198256039</v>
      </c>
      <c r="F228" s="39" t="s">
        <v>247</v>
      </c>
      <c r="G228" s="81">
        <f>33879+(364+182)</f>
        <v>34425</v>
      </c>
      <c r="H228" s="50" t="str">
        <f t="shared" si="9"/>
        <v>Apr</v>
      </c>
      <c r="I228" s="51">
        <f t="shared" ca="1" si="10"/>
        <v>22</v>
      </c>
      <c r="J228" s="52"/>
      <c r="K228" s="53">
        <v>63310</v>
      </c>
      <c r="L228" s="54">
        <v>3</v>
      </c>
      <c r="M228" s="59">
        <f t="shared" si="11"/>
        <v>63310</v>
      </c>
    </row>
    <row r="229" spans="1:15">
      <c r="A229" s="39" t="s">
        <v>1004</v>
      </c>
      <c r="B229" s="46" t="s">
        <v>271</v>
      </c>
      <c r="C229" s="39" t="s">
        <v>930</v>
      </c>
      <c r="D229" s="102">
        <v>318723704</v>
      </c>
      <c r="E229" s="102">
        <v>9196526117</v>
      </c>
      <c r="F229" s="39" t="s">
        <v>256</v>
      </c>
      <c r="G229" s="81">
        <f>33879+(364+182)</f>
        <v>34425</v>
      </c>
      <c r="H229" s="50" t="str">
        <f t="shared" si="9"/>
        <v>Apr</v>
      </c>
      <c r="I229" s="51">
        <f t="shared" ca="1" si="10"/>
        <v>22</v>
      </c>
      <c r="J229" s="52" t="s">
        <v>283</v>
      </c>
      <c r="K229" s="53">
        <v>73850</v>
      </c>
      <c r="L229" s="54">
        <v>2</v>
      </c>
      <c r="M229" s="59">
        <f t="shared" si="11"/>
        <v>73850</v>
      </c>
    </row>
    <row r="230" spans="1:15">
      <c r="A230" s="39" t="s">
        <v>831</v>
      </c>
      <c r="B230" s="46" t="s">
        <v>245</v>
      </c>
      <c r="C230" s="39" t="s">
        <v>767</v>
      </c>
      <c r="D230" s="102">
        <v>160184934</v>
      </c>
      <c r="E230" s="102">
        <v>9191191599</v>
      </c>
      <c r="F230" s="39" t="s">
        <v>261</v>
      </c>
      <c r="G230" s="81">
        <f>34247+(364+182)</f>
        <v>34793</v>
      </c>
      <c r="H230" s="50" t="str">
        <f t="shared" si="9"/>
        <v>Apr</v>
      </c>
      <c r="I230" s="51">
        <f t="shared" ca="1" si="10"/>
        <v>21</v>
      </c>
      <c r="J230" s="52" t="s">
        <v>283</v>
      </c>
      <c r="K230" s="53">
        <v>10700</v>
      </c>
      <c r="L230" s="54">
        <v>4</v>
      </c>
      <c r="M230" s="59">
        <f t="shared" si="11"/>
        <v>10700</v>
      </c>
    </row>
    <row r="231" spans="1:15">
      <c r="A231" s="39" t="s">
        <v>916</v>
      </c>
      <c r="B231" s="46" t="s">
        <v>285</v>
      </c>
      <c r="C231" s="39" t="s">
        <v>856</v>
      </c>
      <c r="D231" s="102">
        <v>744830329</v>
      </c>
      <c r="E231" s="102">
        <v>9196098293</v>
      </c>
      <c r="F231" s="39" t="s">
        <v>256</v>
      </c>
      <c r="G231" s="81">
        <f>34254+(364+182)</f>
        <v>34800</v>
      </c>
      <c r="H231" s="50" t="str">
        <f t="shared" si="9"/>
        <v>Apr</v>
      </c>
      <c r="I231" s="51">
        <f t="shared" ca="1" si="10"/>
        <v>21</v>
      </c>
      <c r="J231" s="52" t="s">
        <v>262</v>
      </c>
      <c r="K231" s="53">
        <v>82700</v>
      </c>
      <c r="L231" s="54">
        <v>3</v>
      </c>
      <c r="M231" s="59">
        <f t="shared" si="11"/>
        <v>82700</v>
      </c>
    </row>
    <row r="232" spans="1:15">
      <c r="A232" s="39" t="s">
        <v>701</v>
      </c>
      <c r="B232" s="46" t="s">
        <v>285</v>
      </c>
      <c r="C232" s="39" t="s">
        <v>700</v>
      </c>
      <c r="D232" s="102">
        <v>974912089</v>
      </c>
      <c r="E232" s="102">
        <v>9192601200</v>
      </c>
      <c r="F232" s="39" t="s">
        <v>256</v>
      </c>
      <c r="G232" s="81">
        <f>34268+(364+182)</f>
        <v>34814</v>
      </c>
      <c r="H232" s="50" t="str">
        <f t="shared" si="9"/>
        <v>Apr</v>
      </c>
      <c r="I232" s="51">
        <f t="shared" ca="1" si="10"/>
        <v>21</v>
      </c>
      <c r="J232" s="52" t="s">
        <v>257</v>
      </c>
      <c r="K232" s="53">
        <v>63190</v>
      </c>
      <c r="L232" s="54">
        <v>1</v>
      </c>
      <c r="M232" s="59">
        <f t="shared" si="11"/>
        <v>63190</v>
      </c>
    </row>
    <row r="233" spans="1:15">
      <c r="A233" s="39" t="s">
        <v>599</v>
      </c>
      <c r="B233" s="46" t="s">
        <v>271</v>
      </c>
      <c r="C233" s="39" t="s">
        <v>465</v>
      </c>
      <c r="D233" s="102">
        <v>962553692</v>
      </c>
      <c r="E233" s="102">
        <v>9196689962</v>
      </c>
      <c r="F233" s="39" t="s">
        <v>256</v>
      </c>
      <c r="G233" s="81">
        <f>34610+(364+182)</f>
        <v>35156</v>
      </c>
      <c r="H233" s="50" t="str">
        <f t="shared" si="9"/>
        <v>Apr</v>
      </c>
      <c r="I233" s="51">
        <f t="shared" ca="1" si="10"/>
        <v>20</v>
      </c>
      <c r="J233" s="52" t="s">
        <v>283</v>
      </c>
      <c r="K233" s="53">
        <v>86260</v>
      </c>
      <c r="L233" s="54">
        <v>3</v>
      </c>
      <c r="M233" s="59">
        <f t="shared" si="11"/>
        <v>86260</v>
      </c>
    </row>
    <row r="234" spans="1:15">
      <c r="A234" s="39" t="s">
        <v>366</v>
      </c>
      <c r="B234" s="46" t="s">
        <v>245</v>
      </c>
      <c r="C234" s="39" t="s">
        <v>312</v>
      </c>
      <c r="D234" s="102">
        <v>841913875</v>
      </c>
      <c r="E234" s="102">
        <v>2522511732</v>
      </c>
      <c r="F234" s="39" t="s">
        <v>247</v>
      </c>
      <c r="G234" s="81">
        <f>34614+(364+182)</f>
        <v>35160</v>
      </c>
      <c r="H234" s="50" t="str">
        <f t="shared" si="9"/>
        <v>Apr</v>
      </c>
      <c r="I234" s="51">
        <f t="shared" ca="1" si="10"/>
        <v>20</v>
      </c>
      <c r="J234" s="52"/>
      <c r="K234" s="53">
        <v>50550</v>
      </c>
      <c r="L234" s="54">
        <v>2</v>
      </c>
      <c r="M234" s="59">
        <f t="shared" si="11"/>
        <v>50550</v>
      </c>
    </row>
    <row r="235" spans="1:15">
      <c r="A235" s="39" t="s">
        <v>827</v>
      </c>
      <c r="B235" s="46" t="s">
        <v>285</v>
      </c>
      <c r="C235" s="39" t="s">
        <v>767</v>
      </c>
      <c r="D235" s="102">
        <v>468234190</v>
      </c>
      <c r="E235" s="102">
        <v>2521569304</v>
      </c>
      <c r="F235" s="39" t="s">
        <v>256</v>
      </c>
      <c r="G235" s="81">
        <f>34623+(364+182)</f>
        <v>35169</v>
      </c>
      <c r="H235" s="50" t="str">
        <f t="shared" si="9"/>
        <v>Apr</v>
      </c>
      <c r="I235" s="51">
        <f t="shared" ca="1" si="10"/>
        <v>20</v>
      </c>
      <c r="J235" s="52" t="s">
        <v>276</v>
      </c>
      <c r="K235" s="53">
        <v>72640</v>
      </c>
      <c r="L235" s="54">
        <v>3</v>
      </c>
      <c r="M235" s="59">
        <f t="shared" si="11"/>
        <v>72640</v>
      </c>
    </row>
    <row r="236" spans="1:15">
      <c r="A236" s="39" t="s">
        <v>530</v>
      </c>
      <c r="B236" s="46" t="s">
        <v>285</v>
      </c>
      <c r="C236" s="39" t="s">
        <v>465</v>
      </c>
      <c r="D236" s="102">
        <v>920477476</v>
      </c>
      <c r="E236" s="102">
        <v>2523162442</v>
      </c>
      <c r="F236" s="39" t="s">
        <v>247</v>
      </c>
      <c r="G236" s="81">
        <f>34639+(364+182)</f>
        <v>35185</v>
      </c>
      <c r="H236" s="50" t="str">
        <f t="shared" si="9"/>
        <v>Apr</v>
      </c>
      <c r="I236" s="51">
        <f t="shared" ca="1" si="10"/>
        <v>20</v>
      </c>
      <c r="J236" s="52"/>
      <c r="K236" s="53">
        <v>24410</v>
      </c>
      <c r="L236" s="54">
        <v>3</v>
      </c>
      <c r="M236" s="59">
        <f t="shared" si="11"/>
        <v>24410</v>
      </c>
    </row>
    <row r="237" spans="1:15">
      <c r="A237" s="39" t="s">
        <v>513</v>
      </c>
      <c r="B237" s="46" t="s">
        <v>285</v>
      </c>
      <c r="C237" s="39" t="s">
        <v>465</v>
      </c>
      <c r="D237" s="102">
        <v>482927373</v>
      </c>
      <c r="E237" s="102">
        <v>9198413271</v>
      </c>
      <c r="F237" s="39" t="s">
        <v>256</v>
      </c>
      <c r="G237" s="81">
        <f>34980+(364+182)</f>
        <v>35526</v>
      </c>
      <c r="H237" s="50" t="str">
        <f t="shared" si="9"/>
        <v>Apr</v>
      </c>
      <c r="I237" s="51">
        <f t="shared" ca="1" si="10"/>
        <v>19</v>
      </c>
      <c r="J237" s="52" t="s">
        <v>283</v>
      </c>
      <c r="K237" s="53">
        <v>32390</v>
      </c>
      <c r="L237" s="54">
        <v>2</v>
      </c>
      <c r="M237" s="59">
        <f t="shared" si="11"/>
        <v>32390</v>
      </c>
    </row>
    <row r="238" spans="1:15">
      <c r="A238" s="39" t="s">
        <v>797</v>
      </c>
      <c r="B238" s="46" t="s">
        <v>285</v>
      </c>
      <c r="C238" s="39" t="s">
        <v>767</v>
      </c>
      <c r="D238" s="102">
        <v>302170290</v>
      </c>
      <c r="E238" s="102">
        <v>9191971988</v>
      </c>
      <c r="F238" s="39" t="s">
        <v>256</v>
      </c>
      <c r="G238" s="81">
        <f>34982+(364+182)</f>
        <v>35528</v>
      </c>
      <c r="H238" s="50" t="str">
        <f t="shared" si="9"/>
        <v>Apr</v>
      </c>
      <c r="I238" s="51">
        <f t="shared" ca="1" si="10"/>
        <v>19</v>
      </c>
      <c r="J238" s="52" t="s">
        <v>257</v>
      </c>
      <c r="K238" s="53">
        <v>63270</v>
      </c>
      <c r="L238" s="54">
        <v>1</v>
      </c>
      <c r="M238" s="59">
        <f t="shared" si="11"/>
        <v>63270</v>
      </c>
    </row>
    <row r="239" spans="1:15">
      <c r="A239" s="39" t="s">
        <v>533</v>
      </c>
      <c r="B239" s="46" t="s">
        <v>280</v>
      </c>
      <c r="C239" s="39" t="s">
        <v>465</v>
      </c>
      <c r="D239" s="102">
        <v>350104448</v>
      </c>
      <c r="E239" s="102">
        <v>9193883356</v>
      </c>
      <c r="F239" s="39" t="s">
        <v>256</v>
      </c>
      <c r="G239" s="81">
        <f>34983+(364+182)</f>
        <v>35529</v>
      </c>
      <c r="H239" s="50" t="str">
        <f t="shared" si="9"/>
        <v>Apr</v>
      </c>
      <c r="I239" s="51">
        <f t="shared" ca="1" si="10"/>
        <v>19</v>
      </c>
      <c r="J239" s="52" t="s">
        <v>267</v>
      </c>
      <c r="K239" s="53">
        <v>44920</v>
      </c>
      <c r="L239" s="54">
        <v>1</v>
      </c>
      <c r="M239" s="59">
        <f t="shared" si="11"/>
        <v>44920</v>
      </c>
    </row>
    <row r="240" spans="1:15">
      <c r="A240" s="39" t="s">
        <v>798</v>
      </c>
      <c r="B240" s="46" t="s">
        <v>245</v>
      </c>
      <c r="C240" s="39" t="s">
        <v>767</v>
      </c>
      <c r="D240" s="102">
        <v>643979374</v>
      </c>
      <c r="E240" s="102">
        <v>2521230519</v>
      </c>
      <c r="F240" s="39" t="s">
        <v>247</v>
      </c>
      <c r="G240" s="81">
        <f>34995+(364+182)</f>
        <v>35541</v>
      </c>
      <c r="H240" s="50" t="str">
        <f t="shared" si="9"/>
        <v>Apr</v>
      </c>
      <c r="I240" s="51">
        <f t="shared" ca="1" si="10"/>
        <v>19</v>
      </c>
      <c r="J240" s="52"/>
      <c r="K240" s="53">
        <v>49530</v>
      </c>
      <c r="L240" s="54">
        <v>4</v>
      </c>
      <c r="M240" s="59">
        <f t="shared" si="11"/>
        <v>49530</v>
      </c>
    </row>
    <row r="241" spans="1:34">
      <c r="A241" s="39" t="s">
        <v>663</v>
      </c>
      <c r="B241" s="46" t="s">
        <v>285</v>
      </c>
      <c r="C241" s="39" t="s">
        <v>626</v>
      </c>
      <c r="D241" s="102">
        <v>983891302</v>
      </c>
      <c r="E241" s="102">
        <v>9191462245</v>
      </c>
      <c r="F241" s="39" t="s">
        <v>256</v>
      </c>
      <c r="G241" s="81">
        <f>35001+(364+182)</f>
        <v>35547</v>
      </c>
      <c r="H241" s="50" t="str">
        <f t="shared" si="9"/>
        <v>Apr</v>
      </c>
      <c r="I241" s="51">
        <f t="shared" ca="1" si="10"/>
        <v>19</v>
      </c>
      <c r="J241" s="52" t="s">
        <v>257</v>
      </c>
      <c r="K241" s="53">
        <v>81640</v>
      </c>
      <c r="L241" s="54">
        <v>4</v>
      </c>
      <c r="M241" s="59">
        <f t="shared" si="11"/>
        <v>81640</v>
      </c>
    </row>
    <row r="242" spans="1:34" s="84" customFormat="1">
      <c r="A242" s="39" t="s">
        <v>886</v>
      </c>
      <c r="B242" s="46" t="s">
        <v>285</v>
      </c>
      <c r="C242" s="39" t="s">
        <v>856</v>
      </c>
      <c r="D242" s="102">
        <v>331251341</v>
      </c>
      <c r="E242" s="102">
        <v>2528678875</v>
      </c>
      <c r="F242" s="39" t="s">
        <v>256</v>
      </c>
      <c r="G242" s="81">
        <f>35350+(364+182)</f>
        <v>35896</v>
      </c>
      <c r="H242" s="50" t="str">
        <f t="shared" si="9"/>
        <v>Apr</v>
      </c>
      <c r="I242" s="51">
        <f t="shared" ca="1" si="10"/>
        <v>18</v>
      </c>
      <c r="J242" s="52" t="s">
        <v>283</v>
      </c>
      <c r="K242" s="53">
        <v>70280</v>
      </c>
      <c r="L242" s="54">
        <v>3</v>
      </c>
      <c r="M242" s="59">
        <f t="shared" si="11"/>
        <v>70280</v>
      </c>
      <c r="N242" s="100"/>
      <c r="O242" s="45"/>
      <c r="P242" s="39"/>
      <c r="Q242" s="39"/>
      <c r="R242" s="39"/>
      <c r="S242" s="39"/>
      <c r="T242" s="39"/>
      <c r="U242" s="39"/>
      <c r="V242" s="39"/>
      <c r="W242" s="39"/>
      <c r="X242" s="39"/>
      <c r="Y242" s="39"/>
      <c r="Z242" s="39"/>
      <c r="AA242" s="39"/>
      <c r="AB242" s="39"/>
      <c r="AC242" s="39"/>
      <c r="AD242" s="39"/>
      <c r="AE242" s="39"/>
      <c r="AF242" s="39"/>
      <c r="AG242" s="39"/>
      <c r="AH242" s="39"/>
    </row>
    <row r="243" spans="1:34" s="84" customFormat="1">
      <c r="A243" s="39" t="s">
        <v>336</v>
      </c>
      <c r="B243" s="46" t="s">
        <v>271</v>
      </c>
      <c r="C243" s="39" t="s">
        <v>312</v>
      </c>
      <c r="D243" s="102">
        <v>504735443</v>
      </c>
      <c r="E243" s="102">
        <v>9191629556</v>
      </c>
      <c r="F243" s="39" t="s">
        <v>247</v>
      </c>
      <c r="G243" s="81">
        <f>35356+(364+182)</f>
        <v>35902</v>
      </c>
      <c r="H243" s="50" t="str">
        <f t="shared" si="9"/>
        <v>Apr</v>
      </c>
      <c r="I243" s="51">
        <f t="shared" ca="1" si="10"/>
        <v>18</v>
      </c>
      <c r="J243" s="52"/>
      <c r="K243" s="53">
        <v>63340</v>
      </c>
      <c r="L243" s="54">
        <v>3</v>
      </c>
      <c r="M243" s="59">
        <f t="shared" si="11"/>
        <v>63340</v>
      </c>
      <c r="N243" s="100"/>
      <c r="O243" s="45"/>
      <c r="P243" s="39"/>
      <c r="Q243" s="39"/>
      <c r="R243" s="39"/>
      <c r="S243" s="39"/>
      <c r="T243" s="39"/>
      <c r="U243" s="39"/>
      <c r="V243" s="39"/>
      <c r="W243" s="39"/>
      <c r="X243" s="39"/>
      <c r="Y243" s="39"/>
      <c r="Z243" s="39"/>
      <c r="AA243" s="39"/>
      <c r="AB243" s="39"/>
      <c r="AC243" s="39"/>
      <c r="AD243" s="39"/>
      <c r="AE243" s="39"/>
      <c r="AF243" s="39"/>
      <c r="AG243" s="39"/>
      <c r="AH243" s="39"/>
    </row>
    <row r="244" spans="1:34" s="84" customFormat="1">
      <c r="A244" s="39" t="s">
        <v>718</v>
      </c>
      <c r="B244" s="46" t="s">
        <v>285</v>
      </c>
      <c r="C244" s="39" t="s">
        <v>705</v>
      </c>
      <c r="D244" s="102">
        <v>248820119</v>
      </c>
      <c r="E244" s="102">
        <v>2521711684</v>
      </c>
      <c r="F244" s="39" t="s">
        <v>256</v>
      </c>
      <c r="G244" s="81">
        <f>35357+(364+182)</f>
        <v>35903</v>
      </c>
      <c r="H244" s="50" t="str">
        <f t="shared" si="9"/>
        <v>Apr</v>
      </c>
      <c r="I244" s="51">
        <f t="shared" ca="1" si="10"/>
        <v>18</v>
      </c>
      <c r="J244" s="52" t="s">
        <v>257</v>
      </c>
      <c r="K244" s="53">
        <v>68520</v>
      </c>
      <c r="L244" s="54">
        <v>5</v>
      </c>
      <c r="M244" s="59">
        <f t="shared" si="11"/>
        <v>68520</v>
      </c>
      <c r="N244" s="100"/>
      <c r="O244" s="45"/>
      <c r="P244" s="39"/>
      <c r="Q244" s="39"/>
      <c r="R244" s="39"/>
      <c r="S244" s="39"/>
      <c r="T244" s="39"/>
      <c r="U244" s="39"/>
      <c r="V244" s="39"/>
      <c r="W244" s="39"/>
      <c r="X244" s="39"/>
      <c r="Y244" s="39"/>
      <c r="Z244" s="39"/>
      <c r="AA244" s="39"/>
      <c r="AB244" s="39"/>
      <c r="AC244" s="39"/>
      <c r="AD244" s="39"/>
      <c r="AE244" s="39"/>
      <c r="AF244" s="39"/>
      <c r="AG244" s="39"/>
      <c r="AH244" s="39"/>
    </row>
    <row r="245" spans="1:34" s="84" customFormat="1">
      <c r="A245" s="39" t="s">
        <v>292</v>
      </c>
      <c r="B245" s="46" t="s">
        <v>285</v>
      </c>
      <c r="C245" s="39" t="s">
        <v>272</v>
      </c>
      <c r="D245" s="102">
        <v>542051793</v>
      </c>
      <c r="E245" s="102">
        <v>2527317354</v>
      </c>
      <c r="F245" s="39" t="s">
        <v>256</v>
      </c>
      <c r="G245" s="81">
        <f>35714+(364+182)</f>
        <v>36260</v>
      </c>
      <c r="H245" s="50" t="str">
        <f t="shared" si="9"/>
        <v>Apr</v>
      </c>
      <c r="I245" s="51">
        <f t="shared" ca="1" si="10"/>
        <v>17</v>
      </c>
      <c r="J245" s="52" t="s">
        <v>257</v>
      </c>
      <c r="K245" s="53">
        <v>75150</v>
      </c>
      <c r="L245" s="54">
        <v>1</v>
      </c>
      <c r="M245" s="59">
        <f t="shared" si="11"/>
        <v>75150</v>
      </c>
      <c r="N245" s="100"/>
      <c r="O245" s="45"/>
      <c r="P245" s="39"/>
      <c r="Q245" s="39"/>
      <c r="R245" s="39"/>
      <c r="S245" s="39"/>
      <c r="T245" s="39"/>
      <c r="U245" s="39"/>
      <c r="V245" s="39"/>
      <c r="W245" s="39"/>
      <c r="X245" s="39"/>
      <c r="Y245" s="39"/>
      <c r="Z245" s="39"/>
      <c r="AA245" s="39"/>
      <c r="AB245" s="39"/>
      <c r="AC245" s="39"/>
      <c r="AD245" s="39"/>
      <c r="AE245" s="39"/>
      <c r="AF245" s="39"/>
      <c r="AG245" s="39"/>
      <c r="AH245" s="39"/>
    </row>
    <row r="246" spans="1:34" s="84" customFormat="1">
      <c r="A246" s="39" t="s">
        <v>436</v>
      </c>
      <c r="B246" s="46" t="s">
        <v>280</v>
      </c>
      <c r="C246" s="39" t="s">
        <v>417</v>
      </c>
      <c r="D246" s="102">
        <v>279591317</v>
      </c>
      <c r="E246" s="102">
        <v>2522381391</v>
      </c>
      <c r="F246" s="39" t="s">
        <v>252</v>
      </c>
      <c r="G246" s="81">
        <f>35717+(364+182)</f>
        <v>36263</v>
      </c>
      <c r="H246" s="50" t="str">
        <f t="shared" si="9"/>
        <v>Apr</v>
      </c>
      <c r="I246" s="51">
        <f t="shared" ca="1" si="10"/>
        <v>17</v>
      </c>
      <c r="J246" s="52"/>
      <c r="K246" s="53">
        <v>38768</v>
      </c>
      <c r="L246" s="54">
        <v>4</v>
      </c>
      <c r="M246" s="59">
        <f t="shared" si="11"/>
        <v>38768</v>
      </c>
      <c r="N246" s="100"/>
      <c r="O246" s="45"/>
      <c r="P246" s="39"/>
      <c r="Q246" s="39"/>
      <c r="R246" s="39"/>
      <c r="S246" s="39"/>
      <c r="T246" s="39"/>
      <c r="U246" s="39"/>
      <c r="V246" s="39"/>
      <c r="W246" s="39"/>
      <c r="X246" s="39"/>
      <c r="Y246" s="39"/>
      <c r="Z246" s="39"/>
      <c r="AA246" s="39"/>
      <c r="AB246" s="39"/>
      <c r="AC246" s="39"/>
      <c r="AD246" s="39"/>
      <c r="AE246" s="39"/>
      <c r="AF246" s="39"/>
      <c r="AG246" s="39"/>
      <c r="AH246" s="39"/>
    </row>
    <row r="247" spans="1:34" s="84" customFormat="1">
      <c r="A247" s="39" t="s">
        <v>409</v>
      </c>
      <c r="B247" s="46" t="s">
        <v>285</v>
      </c>
      <c r="C247" s="39" t="s">
        <v>391</v>
      </c>
      <c r="D247" s="102">
        <v>694800128</v>
      </c>
      <c r="E247" s="102">
        <v>9197111802</v>
      </c>
      <c r="F247" s="39" t="s">
        <v>256</v>
      </c>
      <c r="G247" s="81">
        <f>35723+(364+182)</f>
        <v>36269</v>
      </c>
      <c r="H247" s="50" t="str">
        <f t="shared" si="9"/>
        <v>Apr</v>
      </c>
      <c r="I247" s="51">
        <f t="shared" ca="1" si="10"/>
        <v>17</v>
      </c>
      <c r="J247" s="52" t="s">
        <v>283</v>
      </c>
      <c r="K247" s="53">
        <v>61330</v>
      </c>
      <c r="L247" s="54">
        <v>1</v>
      </c>
      <c r="M247" s="59">
        <f t="shared" si="11"/>
        <v>61330</v>
      </c>
      <c r="N247" s="100"/>
      <c r="O247" s="45"/>
      <c r="P247" s="39"/>
      <c r="Q247" s="39"/>
      <c r="R247" s="39"/>
      <c r="S247" s="39"/>
      <c r="T247" s="39"/>
      <c r="U247" s="39"/>
      <c r="V247" s="39"/>
      <c r="W247" s="39"/>
      <c r="X247" s="39"/>
      <c r="Y247" s="39"/>
      <c r="Z247" s="39"/>
      <c r="AA247" s="39"/>
      <c r="AB247" s="39"/>
      <c r="AC247" s="39"/>
      <c r="AD247" s="39"/>
      <c r="AE247" s="39"/>
      <c r="AF247" s="39"/>
      <c r="AG247" s="39"/>
      <c r="AH247" s="39"/>
    </row>
    <row r="248" spans="1:34" s="84" customFormat="1">
      <c r="A248" s="39" t="s">
        <v>517</v>
      </c>
      <c r="B248" s="46" t="s">
        <v>271</v>
      </c>
      <c r="C248" s="39" t="s">
        <v>465</v>
      </c>
      <c r="D248" s="102">
        <v>984570981</v>
      </c>
      <c r="E248" s="102">
        <v>2528155179</v>
      </c>
      <c r="F248" s="39" t="s">
        <v>261</v>
      </c>
      <c r="G248" s="81">
        <f>35723+(364+182)</f>
        <v>36269</v>
      </c>
      <c r="H248" s="50" t="str">
        <f t="shared" si="9"/>
        <v>Apr</v>
      </c>
      <c r="I248" s="51">
        <f t="shared" ca="1" si="10"/>
        <v>17</v>
      </c>
      <c r="J248" s="52" t="s">
        <v>283</v>
      </c>
      <c r="K248" s="53">
        <v>48190</v>
      </c>
      <c r="L248" s="54">
        <v>1</v>
      </c>
      <c r="M248" s="59">
        <f t="shared" si="11"/>
        <v>48190</v>
      </c>
      <c r="N248" s="100"/>
      <c r="O248" s="45"/>
      <c r="P248" s="39"/>
      <c r="Q248" s="39"/>
      <c r="R248" s="39"/>
      <c r="S248" s="39"/>
      <c r="T248" s="39"/>
      <c r="U248" s="39"/>
      <c r="V248" s="39"/>
      <c r="W248" s="39"/>
      <c r="X248" s="39"/>
      <c r="Y248" s="39"/>
      <c r="Z248" s="39"/>
      <c r="AA248" s="39"/>
      <c r="AB248" s="39"/>
      <c r="AC248" s="39"/>
      <c r="AD248" s="39"/>
      <c r="AE248" s="39"/>
      <c r="AF248" s="39"/>
      <c r="AG248" s="39"/>
      <c r="AH248" s="39"/>
    </row>
    <row r="249" spans="1:34" s="84" customFormat="1">
      <c r="A249" s="39" t="s">
        <v>616</v>
      </c>
      <c r="B249" s="46" t="s">
        <v>271</v>
      </c>
      <c r="C249" s="39" t="s">
        <v>465</v>
      </c>
      <c r="D249" s="102">
        <v>931105030</v>
      </c>
      <c r="E249" s="102">
        <v>9191397811</v>
      </c>
      <c r="F249" s="39" t="s">
        <v>256</v>
      </c>
      <c r="G249" s="81">
        <f>35727+(364+182)</f>
        <v>36273</v>
      </c>
      <c r="H249" s="50" t="str">
        <f t="shared" si="9"/>
        <v>Apr</v>
      </c>
      <c r="I249" s="51">
        <f t="shared" ca="1" si="10"/>
        <v>17</v>
      </c>
      <c r="J249" s="52" t="s">
        <v>283</v>
      </c>
      <c r="K249" s="53">
        <v>61330</v>
      </c>
      <c r="L249" s="54">
        <v>4</v>
      </c>
      <c r="M249" s="59">
        <f t="shared" si="11"/>
        <v>61330</v>
      </c>
      <c r="N249" s="100"/>
      <c r="O249" s="45"/>
      <c r="P249" s="39"/>
      <c r="Q249" s="39"/>
      <c r="R249" s="39"/>
      <c r="S249" s="39"/>
      <c r="T249" s="39"/>
      <c r="U249" s="39"/>
      <c r="V249" s="39"/>
      <c r="W249" s="39"/>
      <c r="X249" s="39"/>
      <c r="Y249" s="39"/>
      <c r="Z249" s="39"/>
      <c r="AA249" s="39"/>
      <c r="AB249" s="39"/>
      <c r="AC249" s="39"/>
      <c r="AD249" s="39"/>
      <c r="AE249" s="39"/>
      <c r="AF249" s="39"/>
      <c r="AG249" s="39"/>
      <c r="AH249" s="39"/>
    </row>
    <row r="250" spans="1:34" s="84" customFormat="1">
      <c r="A250" s="39" t="s">
        <v>297</v>
      </c>
      <c r="B250" s="46" t="s">
        <v>245</v>
      </c>
      <c r="C250" s="39" t="s">
        <v>296</v>
      </c>
      <c r="D250" s="102">
        <v>515543972</v>
      </c>
      <c r="E250" s="102">
        <v>9193539483</v>
      </c>
      <c r="F250" s="39" t="s">
        <v>256</v>
      </c>
      <c r="G250" s="81">
        <f>36073+(364+182)</f>
        <v>36619</v>
      </c>
      <c r="H250" s="50" t="str">
        <f t="shared" si="9"/>
        <v>Apr</v>
      </c>
      <c r="I250" s="51">
        <f t="shared" ca="1" si="10"/>
        <v>16</v>
      </c>
      <c r="J250" s="52" t="s">
        <v>267</v>
      </c>
      <c r="K250" s="53">
        <v>56440</v>
      </c>
      <c r="L250" s="54">
        <v>1</v>
      </c>
      <c r="M250" s="59">
        <f t="shared" si="11"/>
        <v>56440</v>
      </c>
      <c r="N250" s="100"/>
      <c r="O250" s="45"/>
      <c r="P250" s="39"/>
      <c r="Q250" s="39"/>
      <c r="R250" s="39"/>
      <c r="S250" s="39"/>
      <c r="T250" s="39"/>
      <c r="U250" s="39"/>
      <c r="V250" s="39"/>
      <c r="W250" s="39"/>
      <c r="X250" s="39"/>
      <c r="Y250" s="39"/>
      <c r="Z250" s="39"/>
      <c r="AA250" s="39"/>
      <c r="AB250" s="39"/>
      <c r="AC250" s="39"/>
      <c r="AD250" s="39"/>
      <c r="AE250" s="39"/>
      <c r="AF250" s="39"/>
      <c r="AG250" s="39"/>
      <c r="AH250" s="39"/>
    </row>
    <row r="251" spans="1:34" s="84" customFormat="1">
      <c r="A251" s="39" t="s">
        <v>1020</v>
      </c>
      <c r="B251" s="46" t="s">
        <v>285</v>
      </c>
      <c r="C251" s="39" t="s">
        <v>930</v>
      </c>
      <c r="D251" s="102">
        <v>186346711</v>
      </c>
      <c r="E251" s="102">
        <v>9194900514</v>
      </c>
      <c r="F251" s="39" t="s">
        <v>256</v>
      </c>
      <c r="G251" s="81">
        <f>36073+(364+182)</f>
        <v>36619</v>
      </c>
      <c r="H251" s="50" t="str">
        <f t="shared" si="9"/>
        <v>Apr</v>
      </c>
      <c r="I251" s="51">
        <f t="shared" ca="1" si="10"/>
        <v>16</v>
      </c>
      <c r="J251" s="52" t="s">
        <v>262</v>
      </c>
      <c r="K251" s="53">
        <v>71970</v>
      </c>
      <c r="L251" s="54">
        <v>4</v>
      </c>
      <c r="M251" s="59">
        <f t="shared" si="11"/>
        <v>71970</v>
      </c>
      <c r="N251" s="100"/>
      <c r="O251" s="45"/>
      <c r="P251" s="39"/>
      <c r="Q251" s="39"/>
      <c r="R251" s="39"/>
      <c r="S251" s="39"/>
      <c r="T251" s="39"/>
      <c r="U251" s="39"/>
      <c r="V251" s="39"/>
      <c r="W251" s="39"/>
      <c r="X251" s="39"/>
      <c r="Y251" s="39"/>
      <c r="Z251" s="39"/>
      <c r="AA251" s="39"/>
      <c r="AB251" s="39"/>
      <c r="AC251" s="39"/>
      <c r="AD251" s="39"/>
      <c r="AE251" s="39"/>
      <c r="AF251" s="39"/>
      <c r="AG251" s="39"/>
      <c r="AH251" s="39"/>
    </row>
    <row r="252" spans="1:34" s="84" customFormat="1">
      <c r="A252" s="39" t="s">
        <v>735</v>
      </c>
      <c r="B252" s="46" t="s">
        <v>271</v>
      </c>
      <c r="C252" s="39" t="s">
        <v>705</v>
      </c>
      <c r="D252" s="102">
        <v>960967007</v>
      </c>
      <c r="E252" s="102">
        <v>9194694995</v>
      </c>
      <c r="F252" s="39" t="s">
        <v>247</v>
      </c>
      <c r="G252" s="81">
        <f>36077+(364+182)</f>
        <v>36623</v>
      </c>
      <c r="H252" s="50" t="str">
        <f t="shared" si="9"/>
        <v>Apr</v>
      </c>
      <c r="I252" s="51">
        <f t="shared" ca="1" si="10"/>
        <v>16</v>
      </c>
      <c r="J252" s="52"/>
      <c r="K252" s="53">
        <v>30300</v>
      </c>
      <c r="L252" s="54">
        <v>1</v>
      </c>
      <c r="M252" s="59">
        <f t="shared" si="11"/>
        <v>30300</v>
      </c>
      <c r="N252" s="100"/>
      <c r="O252" s="45"/>
      <c r="P252" s="39"/>
      <c r="Q252" s="39"/>
      <c r="R252" s="39"/>
      <c r="S252" s="39"/>
      <c r="T252" s="39"/>
      <c r="U252" s="39"/>
      <c r="V252" s="39"/>
      <c r="W252" s="39"/>
      <c r="X252" s="39"/>
      <c r="Y252" s="39"/>
      <c r="Z252" s="39"/>
      <c r="AA252" s="39"/>
      <c r="AB252" s="39"/>
      <c r="AC252" s="39"/>
      <c r="AD252" s="39"/>
      <c r="AE252" s="39"/>
      <c r="AF252" s="39"/>
      <c r="AG252" s="39"/>
      <c r="AH252" s="39"/>
    </row>
    <row r="253" spans="1:34" s="84" customFormat="1">
      <c r="A253" s="39" t="s">
        <v>594</v>
      </c>
      <c r="B253" s="46" t="s">
        <v>271</v>
      </c>
      <c r="C253" s="39" t="s">
        <v>465</v>
      </c>
      <c r="D253" s="102">
        <v>257249459</v>
      </c>
      <c r="E253" s="102">
        <v>9197775023</v>
      </c>
      <c r="F253" s="39" t="s">
        <v>247</v>
      </c>
      <c r="G253" s="81">
        <f>36091+(364+182)</f>
        <v>36637</v>
      </c>
      <c r="H253" s="50" t="str">
        <f t="shared" si="9"/>
        <v>Apr</v>
      </c>
      <c r="I253" s="51">
        <f t="shared" ca="1" si="10"/>
        <v>16</v>
      </c>
      <c r="J253" s="52"/>
      <c r="K253" s="53">
        <v>57600</v>
      </c>
      <c r="L253" s="54">
        <v>3</v>
      </c>
      <c r="M253" s="59">
        <f t="shared" si="11"/>
        <v>57600</v>
      </c>
      <c r="N253" s="100"/>
      <c r="O253" s="45"/>
      <c r="P253" s="39"/>
      <c r="Q253" s="39"/>
      <c r="R253" s="39"/>
      <c r="S253" s="39"/>
      <c r="T253" s="39"/>
      <c r="U253" s="39"/>
      <c r="V253" s="39"/>
      <c r="W253" s="39"/>
      <c r="X253" s="39"/>
      <c r="Y253" s="39"/>
      <c r="Z253" s="39"/>
      <c r="AA253" s="39"/>
      <c r="AB253" s="39"/>
      <c r="AC253" s="39"/>
      <c r="AD253" s="39"/>
      <c r="AE253" s="39"/>
      <c r="AF253" s="39"/>
      <c r="AG253" s="39"/>
      <c r="AH253" s="39"/>
    </row>
    <row r="254" spans="1:34" s="84" customFormat="1">
      <c r="A254" s="39" t="s">
        <v>882</v>
      </c>
      <c r="B254" s="46" t="s">
        <v>271</v>
      </c>
      <c r="C254" s="39" t="s">
        <v>856</v>
      </c>
      <c r="D254" s="102">
        <v>975857784</v>
      </c>
      <c r="E254" s="102">
        <v>9192390604</v>
      </c>
      <c r="F254" s="39" t="s">
        <v>247</v>
      </c>
      <c r="G254" s="81">
        <f>36096+(364+182)</f>
        <v>36642</v>
      </c>
      <c r="H254" s="50" t="str">
        <f t="shared" si="9"/>
        <v>Apr</v>
      </c>
      <c r="I254" s="51">
        <f t="shared" ca="1" si="10"/>
        <v>16</v>
      </c>
      <c r="J254" s="52"/>
      <c r="K254" s="53">
        <v>77760</v>
      </c>
      <c r="L254" s="54">
        <v>3</v>
      </c>
      <c r="M254" s="59">
        <f t="shared" si="11"/>
        <v>77760</v>
      </c>
      <c r="N254" s="100"/>
      <c r="O254" s="45"/>
      <c r="P254" s="39"/>
      <c r="Q254" s="39"/>
      <c r="R254" s="39"/>
      <c r="S254" s="39"/>
      <c r="T254" s="39"/>
      <c r="U254" s="39"/>
      <c r="V254" s="39"/>
      <c r="W254" s="39"/>
      <c r="X254" s="39"/>
      <c r="Y254" s="39"/>
      <c r="Z254" s="39"/>
      <c r="AA254" s="39"/>
      <c r="AB254" s="39"/>
      <c r="AC254" s="39"/>
      <c r="AD254" s="39"/>
      <c r="AE254" s="39"/>
      <c r="AF254" s="39"/>
      <c r="AG254" s="39"/>
      <c r="AH254" s="39"/>
    </row>
    <row r="255" spans="1:34" s="84" customFormat="1">
      <c r="A255" s="39" t="s">
        <v>433</v>
      </c>
      <c r="B255" s="46" t="s">
        <v>245</v>
      </c>
      <c r="C255" s="39" t="s">
        <v>417</v>
      </c>
      <c r="D255" s="102">
        <v>429283827</v>
      </c>
      <c r="E255" s="102">
        <v>9195508095</v>
      </c>
      <c r="F255" s="39" t="s">
        <v>256</v>
      </c>
      <c r="G255" s="81">
        <f>36097+(364+182)</f>
        <v>36643</v>
      </c>
      <c r="H255" s="50" t="str">
        <f t="shared" si="9"/>
        <v>Apr</v>
      </c>
      <c r="I255" s="51">
        <f t="shared" ca="1" si="10"/>
        <v>16</v>
      </c>
      <c r="J255" s="52" t="s">
        <v>283</v>
      </c>
      <c r="K255" s="53">
        <v>71380</v>
      </c>
      <c r="L255" s="54">
        <v>2</v>
      </c>
      <c r="M255" s="59">
        <f t="shared" si="11"/>
        <v>71380</v>
      </c>
      <c r="N255" s="100"/>
      <c r="O255" s="45"/>
      <c r="P255" s="39"/>
      <c r="Q255" s="39"/>
      <c r="R255" s="39"/>
      <c r="S255" s="39"/>
      <c r="T255" s="39"/>
      <c r="U255" s="39"/>
      <c r="V255" s="39"/>
      <c r="W255" s="39"/>
      <c r="X255" s="39"/>
      <c r="Y255" s="39"/>
      <c r="Z255" s="39"/>
      <c r="AA255" s="39"/>
      <c r="AB255" s="39"/>
      <c r="AC255" s="39"/>
      <c r="AD255" s="39"/>
      <c r="AE255" s="39"/>
      <c r="AF255" s="39"/>
      <c r="AG255" s="39"/>
      <c r="AH255" s="39"/>
    </row>
    <row r="256" spans="1:34" s="84" customFormat="1">
      <c r="A256" s="39" t="s">
        <v>1028</v>
      </c>
      <c r="B256" s="46" t="s">
        <v>271</v>
      </c>
      <c r="C256" s="39" t="s">
        <v>1025</v>
      </c>
      <c r="D256" s="102">
        <v>510700395</v>
      </c>
      <c r="E256" s="102">
        <v>9196690862</v>
      </c>
      <c r="F256" s="39" t="s">
        <v>256</v>
      </c>
      <c r="G256" s="81">
        <f>36445+(364+182)</f>
        <v>36991</v>
      </c>
      <c r="H256" s="50" t="str">
        <f t="shared" si="9"/>
        <v>Apr</v>
      </c>
      <c r="I256" s="51">
        <f t="shared" ca="1" si="10"/>
        <v>15</v>
      </c>
      <c r="J256" s="52" t="s">
        <v>257</v>
      </c>
      <c r="K256" s="53">
        <v>63670</v>
      </c>
      <c r="L256" s="54">
        <v>5</v>
      </c>
      <c r="M256" s="59">
        <f t="shared" si="11"/>
        <v>63670</v>
      </c>
      <c r="N256" s="100"/>
      <c r="O256" s="45"/>
      <c r="P256" s="39"/>
      <c r="Q256" s="39"/>
      <c r="R256" s="39"/>
      <c r="S256" s="39"/>
      <c r="T256" s="39"/>
      <c r="U256" s="39"/>
      <c r="V256" s="39"/>
      <c r="W256" s="39"/>
      <c r="X256" s="39"/>
      <c r="Y256" s="39"/>
      <c r="Z256" s="39"/>
      <c r="AA256" s="39"/>
      <c r="AB256" s="39"/>
      <c r="AC256" s="39"/>
      <c r="AD256" s="39"/>
      <c r="AE256" s="39"/>
      <c r="AF256" s="39"/>
      <c r="AG256" s="39"/>
      <c r="AH256" s="39"/>
    </row>
    <row r="257" spans="1:34" s="84" customFormat="1">
      <c r="A257" s="39" t="s">
        <v>356</v>
      </c>
      <c r="B257" s="46" t="s">
        <v>285</v>
      </c>
      <c r="C257" s="39" t="s">
        <v>312</v>
      </c>
      <c r="D257" s="102">
        <v>411058865</v>
      </c>
      <c r="E257" s="102">
        <v>2523883919</v>
      </c>
      <c r="F257" s="39" t="s">
        <v>256</v>
      </c>
      <c r="G257" s="81">
        <f>36462+(364+182)</f>
        <v>37008</v>
      </c>
      <c r="H257" s="50" t="str">
        <f t="shared" si="9"/>
        <v>Apr</v>
      </c>
      <c r="I257" s="51">
        <f t="shared" ca="1" si="10"/>
        <v>15</v>
      </c>
      <c r="J257" s="52" t="s">
        <v>257</v>
      </c>
      <c r="K257" s="53">
        <v>27180</v>
      </c>
      <c r="L257" s="54">
        <v>4</v>
      </c>
      <c r="M257" s="59">
        <f t="shared" si="11"/>
        <v>27180</v>
      </c>
      <c r="N257" s="100"/>
      <c r="O257" s="45"/>
      <c r="P257" s="39"/>
      <c r="Q257" s="39"/>
      <c r="R257" s="39"/>
      <c r="S257" s="39"/>
      <c r="T257" s="39"/>
      <c r="U257" s="39"/>
      <c r="V257" s="39"/>
      <c r="W257" s="39"/>
      <c r="X257" s="39"/>
      <c r="Y257" s="39"/>
      <c r="Z257" s="39"/>
      <c r="AA257" s="39"/>
      <c r="AB257" s="39"/>
      <c r="AC257" s="39"/>
      <c r="AD257" s="39"/>
      <c r="AE257" s="39"/>
      <c r="AF257" s="39"/>
      <c r="AG257" s="39"/>
      <c r="AH257" s="39"/>
    </row>
    <row r="258" spans="1:34" s="84" customFormat="1">
      <c r="A258" s="39" t="s">
        <v>998</v>
      </c>
      <c r="B258" s="46" t="s">
        <v>251</v>
      </c>
      <c r="C258" s="39" t="s">
        <v>930</v>
      </c>
      <c r="D258" s="102">
        <v>759471070</v>
      </c>
      <c r="E258" s="102">
        <v>2525402828</v>
      </c>
      <c r="F258" s="39" t="s">
        <v>256</v>
      </c>
      <c r="G258" s="81">
        <f>36463+(364+182)</f>
        <v>37009</v>
      </c>
      <c r="H258" s="50" t="str">
        <f t="shared" si="9"/>
        <v>Apr</v>
      </c>
      <c r="I258" s="51">
        <f t="shared" ca="1" si="10"/>
        <v>15</v>
      </c>
      <c r="J258" s="52" t="s">
        <v>283</v>
      </c>
      <c r="K258" s="53">
        <v>78710</v>
      </c>
      <c r="L258" s="54">
        <v>2</v>
      </c>
      <c r="M258" s="59">
        <f t="shared" si="11"/>
        <v>78710</v>
      </c>
      <c r="N258" s="100"/>
      <c r="O258" s="45"/>
      <c r="P258" s="39"/>
      <c r="Q258" s="39"/>
      <c r="R258" s="39"/>
      <c r="S258" s="39"/>
      <c r="T258" s="39"/>
      <c r="U258" s="39"/>
      <c r="V258" s="39"/>
      <c r="W258" s="39"/>
      <c r="X258" s="39"/>
      <c r="Y258" s="39"/>
      <c r="Z258" s="39"/>
      <c r="AA258" s="39"/>
      <c r="AB258" s="39"/>
      <c r="AC258" s="39"/>
      <c r="AD258" s="39"/>
      <c r="AE258" s="39"/>
      <c r="AF258" s="39"/>
      <c r="AG258" s="39"/>
      <c r="AH258" s="39"/>
    </row>
    <row r="259" spans="1:34" s="84" customFormat="1">
      <c r="A259" s="39" t="s">
        <v>329</v>
      </c>
      <c r="B259" s="46" t="s">
        <v>285</v>
      </c>
      <c r="C259" s="39" t="s">
        <v>312</v>
      </c>
      <c r="D259" s="102">
        <v>333947685</v>
      </c>
      <c r="E259" s="102">
        <v>9198314799</v>
      </c>
      <c r="F259" s="39" t="s">
        <v>256</v>
      </c>
      <c r="G259" s="81">
        <f>36802+(364+182)</f>
        <v>37348</v>
      </c>
      <c r="H259" s="50" t="str">
        <f t="shared" ref="H259:H322" si="12">CHOOSE(MONTH(G259),"Jan","Feb","Mar","Apr","May","Jun","Jul","Aug","Sep","Oct","Nov","Dec")</f>
        <v>Apr</v>
      </c>
      <c r="I259" s="51">
        <f t="shared" ref="I259:I322" ca="1" si="13">DATEDIF(G259,TODAY(),"Y")</f>
        <v>14</v>
      </c>
      <c r="J259" s="52" t="s">
        <v>262</v>
      </c>
      <c r="K259" s="53">
        <v>85880</v>
      </c>
      <c r="L259" s="54">
        <v>3</v>
      </c>
      <c r="M259" s="59">
        <f t="shared" ref="M259:M322" si="14">ROUND(K259*P257+K259,0)</f>
        <v>85880</v>
      </c>
      <c r="N259" s="100"/>
      <c r="O259" s="45"/>
      <c r="P259" s="39"/>
      <c r="Q259" s="39"/>
      <c r="R259" s="39"/>
      <c r="S259" s="39"/>
      <c r="T259" s="39"/>
      <c r="U259" s="39"/>
      <c r="V259" s="39"/>
      <c r="W259" s="39"/>
      <c r="X259" s="39"/>
      <c r="Y259" s="39"/>
      <c r="Z259" s="39"/>
      <c r="AA259" s="39"/>
      <c r="AB259" s="39"/>
      <c r="AC259" s="39"/>
      <c r="AD259" s="39"/>
      <c r="AE259" s="39"/>
      <c r="AF259" s="39"/>
      <c r="AG259" s="39"/>
      <c r="AH259" s="39"/>
    </row>
    <row r="260" spans="1:34" s="84" customFormat="1">
      <c r="A260" s="39" t="s">
        <v>506</v>
      </c>
      <c r="B260" s="46" t="s">
        <v>285</v>
      </c>
      <c r="C260" s="39" t="s">
        <v>465</v>
      </c>
      <c r="D260" s="102">
        <v>167058119</v>
      </c>
      <c r="E260" s="102">
        <v>2527237007</v>
      </c>
      <c r="F260" s="39" t="s">
        <v>252</v>
      </c>
      <c r="G260" s="81">
        <f>37184+(364+182)</f>
        <v>37730</v>
      </c>
      <c r="H260" s="50" t="str">
        <f t="shared" si="12"/>
        <v>Apr</v>
      </c>
      <c r="I260" s="51">
        <f t="shared" ca="1" si="13"/>
        <v>13</v>
      </c>
      <c r="J260" s="52"/>
      <c r="K260" s="53">
        <v>8892</v>
      </c>
      <c r="L260" s="54">
        <v>1</v>
      </c>
      <c r="M260" s="59">
        <f t="shared" si="14"/>
        <v>8892</v>
      </c>
      <c r="N260" s="100"/>
      <c r="O260" s="45"/>
      <c r="P260" s="39"/>
      <c r="Q260" s="39"/>
      <c r="R260" s="39"/>
      <c r="S260" s="39"/>
      <c r="T260" s="39"/>
      <c r="U260" s="39"/>
      <c r="V260" s="39"/>
      <c r="W260" s="39"/>
      <c r="X260" s="39"/>
      <c r="Y260" s="39"/>
      <c r="Z260" s="39"/>
      <c r="AA260" s="39"/>
      <c r="AB260" s="39"/>
      <c r="AC260" s="39"/>
      <c r="AD260" s="39"/>
      <c r="AE260" s="39"/>
      <c r="AF260" s="39"/>
      <c r="AG260" s="39"/>
      <c r="AH260" s="39"/>
    </row>
    <row r="261" spans="1:34" s="84" customFormat="1">
      <c r="A261" s="39" t="s">
        <v>525</v>
      </c>
      <c r="B261" s="46" t="s">
        <v>245</v>
      </c>
      <c r="C261" s="39" t="s">
        <v>465</v>
      </c>
      <c r="D261" s="102">
        <v>561968668</v>
      </c>
      <c r="E261" s="102">
        <v>2522433774</v>
      </c>
      <c r="F261" s="39" t="s">
        <v>256</v>
      </c>
      <c r="G261" s="81">
        <f>38263+(364+182)</f>
        <v>38809</v>
      </c>
      <c r="H261" s="50" t="str">
        <f t="shared" si="12"/>
        <v>Apr</v>
      </c>
      <c r="I261" s="51">
        <f t="shared" ca="1" si="13"/>
        <v>10</v>
      </c>
      <c r="J261" s="52" t="s">
        <v>262</v>
      </c>
      <c r="K261" s="53">
        <v>76584</v>
      </c>
      <c r="L261" s="54">
        <v>1</v>
      </c>
      <c r="M261" s="59">
        <f t="shared" si="14"/>
        <v>76584</v>
      </c>
      <c r="N261" s="100"/>
      <c r="O261" s="45"/>
      <c r="P261" s="39"/>
      <c r="Q261" s="39"/>
      <c r="R261" s="39"/>
      <c r="S261" s="39"/>
      <c r="T261" s="39"/>
      <c r="U261" s="39"/>
      <c r="V261" s="39"/>
      <c r="W261" s="39"/>
      <c r="X261" s="39"/>
      <c r="Y261" s="39"/>
      <c r="Z261" s="39"/>
      <c r="AA261" s="39"/>
      <c r="AB261" s="39"/>
      <c r="AC261" s="39"/>
      <c r="AD261" s="39"/>
      <c r="AE261" s="39"/>
      <c r="AF261" s="39"/>
      <c r="AG261" s="39"/>
      <c r="AH261" s="39"/>
    </row>
    <row r="262" spans="1:34" s="84" customFormat="1">
      <c r="A262" s="39" t="s">
        <v>549</v>
      </c>
      <c r="B262" s="46" t="s">
        <v>285</v>
      </c>
      <c r="C262" s="39" t="s">
        <v>465</v>
      </c>
      <c r="D262" s="102">
        <v>914330398</v>
      </c>
      <c r="E262" s="102">
        <v>9193498222</v>
      </c>
      <c r="F262" s="39" t="s">
        <v>256</v>
      </c>
      <c r="G262" s="81">
        <f>38275+(364+182)</f>
        <v>38821</v>
      </c>
      <c r="H262" s="50" t="str">
        <f t="shared" si="12"/>
        <v>Apr</v>
      </c>
      <c r="I262" s="51">
        <f t="shared" ca="1" si="13"/>
        <v>10</v>
      </c>
      <c r="J262" s="52" t="s">
        <v>283</v>
      </c>
      <c r="K262" s="53">
        <v>65720</v>
      </c>
      <c r="L262" s="54">
        <v>1</v>
      </c>
      <c r="M262" s="59">
        <f t="shared" si="14"/>
        <v>65720</v>
      </c>
      <c r="N262" s="100"/>
      <c r="O262" s="45"/>
      <c r="P262" s="39"/>
      <c r="Q262" s="39"/>
      <c r="R262" s="39"/>
      <c r="S262" s="39"/>
      <c r="T262" s="39"/>
      <c r="U262" s="39"/>
      <c r="V262" s="39"/>
      <c r="W262" s="39"/>
      <c r="X262" s="39"/>
      <c r="Y262" s="39"/>
      <c r="Z262" s="39"/>
      <c r="AA262" s="39"/>
      <c r="AB262" s="39"/>
      <c r="AC262" s="39"/>
      <c r="AD262" s="39"/>
      <c r="AE262" s="39"/>
      <c r="AF262" s="39"/>
      <c r="AG262" s="39"/>
      <c r="AH262" s="39"/>
    </row>
    <row r="263" spans="1:34" s="84" customFormat="1">
      <c r="A263" s="39" t="s">
        <v>531</v>
      </c>
      <c r="B263" s="46" t="s">
        <v>285</v>
      </c>
      <c r="C263" s="39" t="s">
        <v>465</v>
      </c>
      <c r="D263" s="102">
        <v>276980518</v>
      </c>
      <c r="E263" s="102">
        <v>9195267252</v>
      </c>
      <c r="F263" s="39" t="s">
        <v>256</v>
      </c>
      <c r="G263" s="81">
        <f>38286+(364+182)</f>
        <v>38832</v>
      </c>
      <c r="H263" s="50" t="str">
        <f t="shared" si="12"/>
        <v>Apr</v>
      </c>
      <c r="I263" s="51">
        <f t="shared" ca="1" si="13"/>
        <v>10</v>
      </c>
      <c r="J263" s="52" t="s">
        <v>276</v>
      </c>
      <c r="K263" s="53">
        <v>29420</v>
      </c>
      <c r="L263" s="54">
        <v>5</v>
      </c>
      <c r="M263" s="59">
        <f t="shared" si="14"/>
        <v>29420</v>
      </c>
      <c r="N263" s="100"/>
      <c r="O263" s="45"/>
      <c r="P263" s="39"/>
      <c r="Q263" s="39"/>
      <c r="R263" s="39"/>
      <c r="S263" s="39"/>
      <c r="T263" s="39"/>
      <c r="U263" s="39"/>
      <c r="V263" s="39"/>
      <c r="W263" s="39"/>
      <c r="X263" s="39"/>
      <c r="Y263" s="39"/>
      <c r="Z263" s="39"/>
      <c r="AA263" s="39"/>
      <c r="AB263" s="39"/>
      <c r="AC263" s="39"/>
      <c r="AD263" s="39"/>
      <c r="AE263" s="39"/>
      <c r="AF263" s="39"/>
      <c r="AG263" s="39"/>
      <c r="AH263" s="39"/>
    </row>
    <row r="264" spans="1:34" s="84" customFormat="1">
      <c r="A264" s="39" t="s">
        <v>557</v>
      </c>
      <c r="B264" s="46" t="s">
        <v>285</v>
      </c>
      <c r="C264" s="39" t="s">
        <v>465</v>
      </c>
      <c r="D264" s="102">
        <v>114005397</v>
      </c>
      <c r="E264" s="102">
        <v>2524694617</v>
      </c>
      <c r="F264" s="39" t="s">
        <v>247</v>
      </c>
      <c r="G264" s="81">
        <f>38643+(364+182)</f>
        <v>39189</v>
      </c>
      <c r="H264" s="50" t="str">
        <f t="shared" si="12"/>
        <v>Apr</v>
      </c>
      <c r="I264" s="51">
        <f t="shared" ca="1" si="13"/>
        <v>9</v>
      </c>
      <c r="J264" s="52"/>
      <c r="K264" s="53">
        <v>63850</v>
      </c>
      <c r="L264" s="54">
        <v>2</v>
      </c>
      <c r="M264" s="59">
        <f t="shared" si="14"/>
        <v>63850</v>
      </c>
      <c r="N264" s="100"/>
      <c r="O264" s="45"/>
      <c r="P264" s="39"/>
      <c r="Q264" s="39"/>
      <c r="R264" s="39"/>
      <c r="S264" s="39"/>
      <c r="T264" s="39"/>
      <c r="U264" s="39"/>
      <c r="V264" s="39"/>
      <c r="W264" s="39"/>
      <c r="X264" s="39"/>
      <c r="Y264" s="39"/>
      <c r="Z264" s="39"/>
      <c r="AA264" s="39"/>
      <c r="AB264" s="39"/>
      <c r="AC264" s="39"/>
      <c r="AD264" s="39"/>
      <c r="AE264" s="39"/>
      <c r="AF264" s="39"/>
      <c r="AG264" s="39"/>
      <c r="AH264" s="39"/>
    </row>
    <row r="265" spans="1:34" s="84" customFormat="1">
      <c r="A265" s="39" t="s">
        <v>574</v>
      </c>
      <c r="B265" s="46" t="s">
        <v>271</v>
      </c>
      <c r="C265" s="39" t="s">
        <v>465</v>
      </c>
      <c r="D265" s="102">
        <v>829216164</v>
      </c>
      <c r="E265" s="102">
        <v>2524982487</v>
      </c>
      <c r="F265" s="39" t="s">
        <v>247</v>
      </c>
      <c r="G265" s="81">
        <f>38999+(364+182)</f>
        <v>39545</v>
      </c>
      <c r="H265" s="50" t="str">
        <f t="shared" si="12"/>
        <v>Apr</v>
      </c>
      <c r="I265" s="51">
        <f t="shared" ca="1" si="13"/>
        <v>8</v>
      </c>
      <c r="J265" s="52"/>
      <c r="K265" s="53">
        <v>84170</v>
      </c>
      <c r="L265" s="54">
        <v>2</v>
      </c>
      <c r="M265" s="59">
        <f t="shared" si="14"/>
        <v>84170</v>
      </c>
      <c r="N265" s="100"/>
      <c r="O265" s="45"/>
      <c r="P265" s="39"/>
      <c r="Q265" s="39"/>
      <c r="R265" s="39"/>
      <c r="S265" s="39"/>
      <c r="T265" s="39"/>
      <c r="U265" s="39"/>
      <c r="V265" s="39"/>
      <c r="W265" s="39"/>
      <c r="X265" s="39"/>
      <c r="Y265" s="39"/>
      <c r="Z265" s="39"/>
      <c r="AA265" s="39"/>
      <c r="AB265" s="39"/>
      <c r="AC265" s="39"/>
      <c r="AD265" s="39"/>
      <c r="AE265" s="39"/>
      <c r="AF265" s="39"/>
      <c r="AG265" s="39"/>
      <c r="AH265" s="39"/>
    </row>
    <row r="266" spans="1:34" s="84" customFormat="1">
      <c r="A266" s="39" t="s">
        <v>363</v>
      </c>
      <c r="B266" s="46" t="s">
        <v>280</v>
      </c>
      <c r="C266" s="39" t="s">
        <v>312</v>
      </c>
      <c r="D266" s="102">
        <v>683222853</v>
      </c>
      <c r="E266" s="102">
        <v>9196224056</v>
      </c>
      <c r="F266" s="39" t="s">
        <v>247</v>
      </c>
      <c r="G266" s="81">
        <f>39376+(364+182)</f>
        <v>39922</v>
      </c>
      <c r="H266" s="50" t="str">
        <f t="shared" si="12"/>
        <v>Apr</v>
      </c>
      <c r="I266" s="51">
        <f t="shared" ca="1" si="13"/>
        <v>7</v>
      </c>
      <c r="J266" s="52"/>
      <c r="K266" s="53">
        <v>25790</v>
      </c>
      <c r="L266" s="54">
        <v>3</v>
      </c>
      <c r="M266" s="59">
        <f t="shared" si="14"/>
        <v>25790</v>
      </c>
      <c r="N266" s="100"/>
      <c r="O266" s="45"/>
      <c r="P266" s="39"/>
      <c r="Q266" s="39"/>
      <c r="R266" s="39"/>
      <c r="S266" s="39"/>
      <c r="T266" s="39"/>
      <c r="U266" s="39"/>
      <c r="V266" s="39"/>
      <c r="W266" s="39"/>
      <c r="X266" s="39"/>
      <c r="Y266" s="39"/>
      <c r="Z266" s="39"/>
      <c r="AA266" s="39"/>
      <c r="AB266" s="39"/>
      <c r="AC266" s="39"/>
      <c r="AD266" s="39"/>
      <c r="AE266" s="39"/>
      <c r="AF266" s="39"/>
      <c r="AG266" s="39"/>
      <c r="AH266" s="39"/>
    </row>
    <row r="267" spans="1:34" s="84" customFormat="1">
      <c r="A267" s="39" t="s">
        <v>376</v>
      </c>
      <c r="B267" s="46" t="s">
        <v>285</v>
      </c>
      <c r="C267" s="39" t="s">
        <v>372</v>
      </c>
      <c r="D267" s="102">
        <v>207506781</v>
      </c>
      <c r="E267" s="102">
        <v>9194125294</v>
      </c>
      <c r="F267" s="39" t="s">
        <v>256</v>
      </c>
      <c r="G267" s="81">
        <f>39377+(364+182)</f>
        <v>39923</v>
      </c>
      <c r="H267" s="50" t="str">
        <f t="shared" si="12"/>
        <v>Apr</v>
      </c>
      <c r="I267" s="51">
        <f t="shared" ca="1" si="13"/>
        <v>7</v>
      </c>
      <c r="J267" s="52" t="s">
        <v>257</v>
      </c>
      <c r="K267" s="53">
        <v>76440</v>
      </c>
      <c r="L267" s="54">
        <v>3</v>
      </c>
      <c r="M267" s="59">
        <f t="shared" si="14"/>
        <v>76440</v>
      </c>
      <c r="N267" s="100"/>
      <c r="O267" s="45"/>
      <c r="P267" s="39"/>
      <c r="Q267" s="39"/>
      <c r="R267" s="39"/>
      <c r="S267" s="39"/>
      <c r="T267" s="39"/>
      <c r="U267" s="39"/>
      <c r="V267" s="39"/>
      <c r="W267" s="39"/>
      <c r="X267" s="39"/>
      <c r="Y267" s="39"/>
      <c r="Z267" s="39"/>
      <c r="AA267" s="39"/>
      <c r="AB267" s="39"/>
      <c r="AC267" s="39"/>
      <c r="AD267" s="39"/>
      <c r="AE267" s="39"/>
      <c r="AF267" s="39"/>
      <c r="AG267" s="39"/>
      <c r="AH267" s="39"/>
    </row>
    <row r="268" spans="1:34" s="84" customFormat="1">
      <c r="A268" s="39" t="s">
        <v>510</v>
      </c>
      <c r="B268" s="46" t="s">
        <v>271</v>
      </c>
      <c r="C268" s="39" t="s">
        <v>465</v>
      </c>
      <c r="D268" s="102">
        <v>527185620</v>
      </c>
      <c r="E268" s="102">
        <v>2524627771</v>
      </c>
      <c r="F268" s="39" t="s">
        <v>256</v>
      </c>
      <c r="G268" s="81">
        <f>39724+(364+182)</f>
        <v>40270</v>
      </c>
      <c r="H268" s="50" t="str">
        <f t="shared" si="12"/>
        <v>Apr</v>
      </c>
      <c r="I268" s="51">
        <f t="shared" ca="1" si="13"/>
        <v>6</v>
      </c>
      <c r="J268" s="52" t="s">
        <v>283</v>
      </c>
      <c r="K268" s="53">
        <v>35300</v>
      </c>
      <c r="L268" s="54">
        <v>5</v>
      </c>
      <c r="M268" s="59">
        <f t="shared" si="14"/>
        <v>35300</v>
      </c>
      <c r="N268" s="100"/>
      <c r="O268" s="45"/>
      <c r="P268" s="39"/>
      <c r="Q268" s="39"/>
      <c r="R268" s="39"/>
      <c r="S268" s="39"/>
      <c r="T268" s="39"/>
      <c r="U268" s="39"/>
      <c r="V268" s="39"/>
      <c r="W268" s="39"/>
      <c r="X268" s="39"/>
      <c r="Y268" s="39"/>
      <c r="Z268" s="39"/>
      <c r="AA268" s="39"/>
      <c r="AB268" s="39"/>
      <c r="AC268" s="39"/>
      <c r="AD268" s="39"/>
      <c r="AE268" s="39"/>
      <c r="AF268" s="39"/>
      <c r="AG268" s="39"/>
      <c r="AH268" s="39"/>
    </row>
    <row r="269" spans="1:34" s="84" customFormat="1">
      <c r="A269" s="39" t="s">
        <v>361</v>
      </c>
      <c r="B269" s="46" t="s">
        <v>271</v>
      </c>
      <c r="C269" s="39" t="s">
        <v>312</v>
      </c>
      <c r="D269" s="102">
        <v>721169660</v>
      </c>
      <c r="E269" s="102">
        <v>2526711140</v>
      </c>
      <c r="F269" s="39" t="s">
        <v>256</v>
      </c>
      <c r="G269" s="81">
        <f>39728+(364+182)</f>
        <v>40274</v>
      </c>
      <c r="H269" s="50" t="str">
        <f t="shared" si="12"/>
        <v>Apr</v>
      </c>
      <c r="I269" s="51">
        <f t="shared" ca="1" si="13"/>
        <v>6</v>
      </c>
      <c r="J269" s="52" t="s">
        <v>262</v>
      </c>
      <c r="K269" s="53">
        <v>38730</v>
      </c>
      <c r="L269" s="54">
        <v>1</v>
      </c>
      <c r="M269" s="59">
        <f t="shared" si="14"/>
        <v>38730</v>
      </c>
      <c r="N269" s="100"/>
      <c r="O269" s="45"/>
      <c r="P269" s="39"/>
      <c r="Q269" s="39"/>
      <c r="R269" s="39"/>
      <c r="S269" s="39"/>
      <c r="T269" s="39"/>
      <c r="U269" s="39"/>
      <c r="V269" s="39"/>
      <c r="W269" s="39"/>
      <c r="X269" s="39"/>
      <c r="Y269" s="39"/>
      <c r="Z269" s="39"/>
      <c r="AA269" s="39"/>
      <c r="AB269" s="39"/>
      <c r="AC269" s="39"/>
      <c r="AD269" s="39"/>
      <c r="AE269" s="39"/>
      <c r="AF269" s="39"/>
      <c r="AG269" s="39"/>
      <c r="AH269" s="39"/>
    </row>
    <row r="270" spans="1:34" s="84" customFormat="1">
      <c r="A270" s="39" t="s">
        <v>359</v>
      </c>
      <c r="B270" s="46" t="s">
        <v>245</v>
      </c>
      <c r="C270" s="39" t="s">
        <v>312</v>
      </c>
      <c r="D270" s="102">
        <v>676534152</v>
      </c>
      <c r="E270" s="102">
        <v>9194416232</v>
      </c>
      <c r="F270" s="39" t="s">
        <v>256</v>
      </c>
      <c r="G270" s="103">
        <f>39746+(364+182)</f>
        <v>40292</v>
      </c>
      <c r="H270" s="50" t="str">
        <f t="shared" si="12"/>
        <v>Apr</v>
      </c>
      <c r="I270" s="51">
        <f t="shared" ca="1" si="13"/>
        <v>6</v>
      </c>
      <c r="J270" s="52" t="s">
        <v>257</v>
      </c>
      <c r="K270" s="53">
        <v>23280</v>
      </c>
      <c r="L270" s="54">
        <v>1</v>
      </c>
      <c r="M270" s="59">
        <f t="shared" si="14"/>
        <v>23280</v>
      </c>
      <c r="N270" s="100"/>
      <c r="O270" s="45"/>
      <c r="P270" s="39"/>
      <c r="Q270" s="39"/>
      <c r="R270" s="39"/>
      <c r="S270" s="39"/>
      <c r="T270" s="39"/>
      <c r="U270" s="39"/>
      <c r="V270" s="39"/>
      <c r="W270" s="39"/>
      <c r="X270" s="39"/>
      <c r="Y270" s="39"/>
      <c r="Z270" s="39"/>
      <c r="AA270" s="39"/>
      <c r="AB270" s="39"/>
      <c r="AC270" s="39"/>
      <c r="AD270" s="39"/>
      <c r="AE270" s="39"/>
      <c r="AF270" s="39"/>
      <c r="AG270" s="39"/>
      <c r="AH270" s="39"/>
    </row>
    <row r="271" spans="1:34" s="84" customFormat="1">
      <c r="A271" s="39" t="s">
        <v>620</v>
      </c>
      <c r="B271" s="46" t="s">
        <v>266</v>
      </c>
      <c r="C271" s="39" t="s">
        <v>618</v>
      </c>
      <c r="D271" s="102">
        <v>380343690</v>
      </c>
      <c r="E271" s="102">
        <v>2523906310</v>
      </c>
      <c r="F271" s="39" t="s">
        <v>247</v>
      </c>
      <c r="G271" s="103">
        <f>39746+(364+182)</f>
        <v>40292</v>
      </c>
      <c r="H271" s="50" t="str">
        <f t="shared" si="12"/>
        <v>Apr</v>
      </c>
      <c r="I271" s="51">
        <f t="shared" ca="1" si="13"/>
        <v>6</v>
      </c>
      <c r="J271" s="52"/>
      <c r="K271" s="53">
        <v>61890</v>
      </c>
      <c r="L271" s="54">
        <v>2</v>
      </c>
      <c r="M271" s="59">
        <f t="shared" si="14"/>
        <v>61890</v>
      </c>
      <c r="N271" s="100"/>
      <c r="O271" s="45"/>
      <c r="P271" s="39"/>
      <c r="Q271" s="39"/>
      <c r="R271" s="39"/>
      <c r="S271" s="39"/>
      <c r="T271" s="39"/>
      <c r="U271" s="39"/>
      <c r="V271" s="39"/>
      <c r="W271" s="39"/>
      <c r="X271" s="39"/>
      <c r="Y271" s="39"/>
      <c r="Z271" s="39"/>
      <c r="AA271" s="39"/>
      <c r="AB271" s="39"/>
      <c r="AC271" s="39"/>
      <c r="AD271" s="39"/>
      <c r="AE271" s="39"/>
      <c r="AF271" s="39"/>
      <c r="AG271" s="39"/>
      <c r="AH271" s="39"/>
    </row>
    <row r="272" spans="1:34" s="84" customFormat="1">
      <c r="A272" s="39" t="s">
        <v>790</v>
      </c>
      <c r="B272" s="46" t="s">
        <v>266</v>
      </c>
      <c r="C272" s="39" t="s">
        <v>767</v>
      </c>
      <c r="D272" s="102">
        <v>868364739</v>
      </c>
      <c r="E272" s="102">
        <v>9195255121</v>
      </c>
      <c r="F272" s="39" t="s">
        <v>261</v>
      </c>
      <c r="G272" s="81">
        <f>39747+(364+182)</f>
        <v>40293</v>
      </c>
      <c r="H272" s="50" t="str">
        <f t="shared" si="12"/>
        <v>Apr</v>
      </c>
      <c r="I272" s="51">
        <f t="shared" ca="1" si="13"/>
        <v>6</v>
      </c>
      <c r="J272" s="52" t="s">
        <v>257</v>
      </c>
      <c r="K272" s="53">
        <v>11810</v>
      </c>
      <c r="L272" s="54">
        <v>1</v>
      </c>
      <c r="M272" s="59">
        <f t="shared" si="14"/>
        <v>11810</v>
      </c>
      <c r="N272" s="100"/>
      <c r="O272" s="45"/>
      <c r="P272" s="39"/>
      <c r="Q272" s="39"/>
      <c r="R272" s="39"/>
      <c r="S272" s="39"/>
      <c r="T272" s="39"/>
      <c r="U272" s="39"/>
      <c r="V272" s="39"/>
      <c r="W272" s="39"/>
      <c r="X272" s="39"/>
      <c r="Y272" s="39"/>
      <c r="Z272" s="39"/>
      <c r="AA272" s="39"/>
      <c r="AB272" s="39"/>
      <c r="AC272" s="39"/>
      <c r="AD272" s="39"/>
      <c r="AE272" s="39"/>
      <c r="AF272" s="39"/>
      <c r="AG272" s="39"/>
      <c r="AH272" s="39"/>
    </row>
    <row r="273" spans="1:34" s="84" customFormat="1">
      <c r="A273" s="39" t="s">
        <v>480</v>
      </c>
      <c r="B273" s="46" t="s">
        <v>271</v>
      </c>
      <c r="C273" s="39" t="s">
        <v>465</v>
      </c>
      <c r="D273" s="102">
        <v>387517948</v>
      </c>
      <c r="E273" s="102">
        <v>9198213594</v>
      </c>
      <c r="F273" s="39" t="s">
        <v>256</v>
      </c>
      <c r="G273" s="81">
        <f>40088+(364+182)</f>
        <v>40634</v>
      </c>
      <c r="H273" s="50" t="str">
        <f t="shared" si="12"/>
        <v>Apr</v>
      </c>
      <c r="I273" s="51">
        <f t="shared" ca="1" si="13"/>
        <v>5</v>
      </c>
      <c r="J273" s="52" t="s">
        <v>257</v>
      </c>
      <c r="K273" s="53">
        <v>47440</v>
      </c>
      <c r="L273" s="54">
        <v>3</v>
      </c>
      <c r="M273" s="59">
        <f t="shared" si="14"/>
        <v>47440</v>
      </c>
      <c r="N273" s="100"/>
      <c r="O273" s="45"/>
      <c r="P273" s="39"/>
      <c r="Q273" s="39"/>
      <c r="R273" s="39"/>
      <c r="S273" s="39"/>
      <c r="T273" s="39"/>
      <c r="U273" s="39"/>
      <c r="V273" s="39"/>
      <c r="W273" s="39"/>
      <c r="X273" s="39"/>
      <c r="Y273" s="39"/>
      <c r="Z273" s="39"/>
      <c r="AA273" s="39"/>
      <c r="AB273" s="39"/>
      <c r="AC273" s="39"/>
      <c r="AD273" s="39"/>
      <c r="AE273" s="39"/>
      <c r="AF273" s="39"/>
      <c r="AG273" s="39"/>
      <c r="AH273" s="39"/>
    </row>
    <row r="274" spans="1:34" s="84" customFormat="1">
      <c r="A274" s="39" t="s">
        <v>970</v>
      </c>
      <c r="B274" s="46" t="s">
        <v>271</v>
      </c>
      <c r="C274" s="39" t="s">
        <v>930</v>
      </c>
      <c r="D274" s="102">
        <v>671823263</v>
      </c>
      <c r="E274" s="102">
        <v>2526718651</v>
      </c>
      <c r="F274" s="39" t="s">
        <v>256</v>
      </c>
      <c r="G274" s="81">
        <f>40091+(364+182)</f>
        <v>40637</v>
      </c>
      <c r="H274" s="50" t="str">
        <f t="shared" si="12"/>
        <v>Apr</v>
      </c>
      <c r="I274" s="51">
        <f t="shared" ca="1" si="13"/>
        <v>5</v>
      </c>
      <c r="J274" s="52" t="s">
        <v>257</v>
      </c>
      <c r="K274" s="53">
        <v>86640</v>
      </c>
      <c r="L274" s="54">
        <v>3</v>
      </c>
      <c r="M274" s="59">
        <f t="shared" si="14"/>
        <v>86640</v>
      </c>
      <c r="N274" s="100"/>
      <c r="O274" s="45"/>
      <c r="P274" s="39"/>
      <c r="Q274" s="39"/>
      <c r="R274" s="39"/>
      <c r="S274" s="39"/>
      <c r="T274" s="39"/>
      <c r="U274" s="39"/>
      <c r="V274" s="39"/>
      <c r="W274" s="39"/>
      <c r="X274" s="39"/>
      <c r="Y274" s="39"/>
      <c r="Z274" s="39"/>
      <c r="AA274" s="39"/>
      <c r="AB274" s="39"/>
      <c r="AC274" s="39"/>
      <c r="AD274" s="39"/>
      <c r="AE274" s="39"/>
      <c r="AF274" s="39"/>
      <c r="AG274" s="39"/>
      <c r="AH274" s="39"/>
    </row>
    <row r="275" spans="1:34" s="84" customFormat="1">
      <c r="A275" s="39" t="s">
        <v>939</v>
      </c>
      <c r="B275" s="46" t="s">
        <v>251</v>
      </c>
      <c r="C275" s="39" t="s">
        <v>930</v>
      </c>
      <c r="D275" s="102">
        <v>995590510</v>
      </c>
      <c r="E275" s="102">
        <v>9191838930</v>
      </c>
      <c r="F275" s="39" t="s">
        <v>247</v>
      </c>
      <c r="G275" s="103">
        <f>40092+(364+182)</f>
        <v>40638</v>
      </c>
      <c r="H275" s="50" t="str">
        <f t="shared" si="12"/>
        <v>Apr</v>
      </c>
      <c r="I275" s="51">
        <f t="shared" ca="1" si="13"/>
        <v>5</v>
      </c>
      <c r="J275" s="52"/>
      <c r="K275" s="53">
        <v>42990</v>
      </c>
      <c r="L275" s="54">
        <v>4</v>
      </c>
      <c r="M275" s="59">
        <f t="shared" si="14"/>
        <v>42990</v>
      </c>
      <c r="N275" s="100"/>
      <c r="O275" s="45"/>
      <c r="P275" s="39"/>
      <c r="Q275" s="39"/>
      <c r="R275" s="39"/>
      <c r="S275" s="39"/>
      <c r="T275" s="39"/>
      <c r="U275" s="39"/>
      <c r="V275" s="39"/>
      <c r="W275" s="39"/>
      <c r="X275" s="39"/>
      <c r="Y275" s="39"/>
      <c r="Z275" s="39"/>
      <c r="AA275" s="39"/>
      <c r="AB275" s="39"/>
      <c r="AC275" s="39"/>
      <c r="AD275" s="39"/>
      <c r="AE275" s="39"/>
      <c r="AF275" s="39"/>
      <c r="AG275" s="39"/>
      <c r="AH275" s="39"/>
    </row>
    <row r="276" spans="1:34" s="84" customFormat="1">
      <c r="A276" s="39" t="s">
        <v>822</v>
      </c>
      <c r="B276" s="46" t="s">
        <v>271</v>
      </c>
      <c r="C276" s="39" t="s">
        <v>767</v>
      </c>
      <c r="D276" s="102">
        <v>191359642</v>
      </c>
      <c r="E276" s="102">
        <v>2528687353</v>
      </c>
      <c r="F276" s="39" t="s">
        <v>256</v>
      </c>
      <c r="G276" s="81">
        <f>32815+(364+182)</f>
        <v>33361</v>
      </c>
      <c r="H276" s="50" t="str">
        <f t="shared" si="12"/>
        <v>May</v>
      </c>
      <c r="I276" s="51">
        <f t="shared" ca="1" si="13"/>
        <v>25</v>
      </c>
      <c r="J276" s="52" t="s">
        <v>257</v>
      </c>
      <c r="K276" s="53">
        <v>24090</v>
      </c>
      <c r="L276" s="54">
        <v>4</v>
      </c>
      <c r="M276" s="59">
        <f t="shared" si="14"/>
        <v>24090</v>
      </c>
      <c r="N276" s="100"/>
      <c r="O276" s="45"/>
      <c r="P276" s="39"/>
      <c r="Q276" s="39"/>
      <c r="R276" s="39"/>
      <c r="S276" s="39"/>
      <c r="T276" s="39"/>
      <c r="U276" s="39"/>
      <c r="V276" s="39"/>
      <c r="W276" s="39"/>
      <c r="X276" s="39"/>
      <c r="Y276" s="39"/>
      <c r="Z276" s="39"/>
      <c r="AA276" s="39"/>
      <c r="AB276" s="39"/>
      <c r="AC276" s="39"/>
      <c r="AD276" s="39"/>
      <c r="AE276" s="39"/>
      <c r="AF276" s="39"/>
      <c r="AG276" s="39"/>
      <c r="AH276" s="39"/>
    </row>
    <row r="277" spans="1:34" s="84" customFormat="1">
      <c r="A277" s="39" t="s">
        <v>462</v>
      </c>
      <c r="B277" s="46" t="s">
        <v>271</v>
      </c>
      <c r="C277" s="39" t="s">
        <v>456</v>
      </c>
      <c r="D277" s="102">
        <v>861884260</v>
      </c>
      <c r="E277" s="102">
        <v>9196632360</v>
      </c>
      <c r="F277" s="39" t="s">
        <v>256</v>
      </c>
      <c r="G277" s="81">
        <f>32839+(364+182)</f>
        <v>33385</v>
      </c>
      <c r="H277" s="50" t="str">
        <f t="shared" si="12"/>
        <v>May</v>
      </c>
      <c r="I277" s="51">
        <f t="shared" ca="1" si="13"/>
        <v>25</v>
      </c>
      <c r="J277" s="52" t="s">
        <v>257</v>
      </c>
      <c r="K277" s="53">
        <v>89140</v>
      </c>
      <c r="L277" s="54">
        <v>1</v>
      </c>
      <c r="M277" s="59">
        <f t="shared" si="14"/>
        <v>89140</v>
      </c>
      <c r="N277" s="100"/>
      <c r="O277" s="45"/>
      <c r="P277" s="39"/>
      <c r="Q277" s="39"/>
      <c r="R277" s="39"/>
      <c r="S277" s="39"/>
      <c r="T277" s="39"/>
      <c r="U277" s="39"/>
      <c r="V277" s="39"/>
      <c r="W277" s="39"/>
      <c r="X277" s="39"/>
      <c r="Y277" s="39"/>
      <c r="Z277" s="39"/>
      <c r="AA277" s="39"/>
      <c r="AB277" s="39"/>
      <c r="AC277" s="39"/>
      <c r="AD277" s="39"/>
      <c r="AE277" s="39"/>
      <c r="AF277" s="39"/>
      <c r="AG277" s="39"/>
      <c r="AH277" s="39"/>
    </row>
    <row r="278" spans="1:34" s="84" customFormat="1">
      <c r="A278" s="39" t="s">
        <v>1026</v>
      </c>
      <c r="B278" s="46" t="s">
        <v>245</v>
      </c>
      <c r="C278" s="39" t="s">
        <v>1025</v>
      </c>
      <c r="D278" s="102">
        <v>776823797</v>
      </c>
      <c r="E278" s="102">
        <v>9193482736</v>
      </c>
      <c r="F278" s="39" t="s">
        <v>247</v>
      </c>
      <c r="G278" s="81">
        <f>32841+(364+182)</f>
        <v>33387</v>
      </c>
      <c r="H278" s="50" t="str">
        <f t="shared" si="12"/>
        <v>May</v>
      </c>
      <c r="I278" s="51">
        <f t="shared" ca="1" si="13"/>
        <v>25</v>
      </c>
      <c r="J278" s="52"/>
      <c r="K278" s="53">
        <v>85510</v>
      </c>
      <c r="L278" s="54">
        <v>4</v>
      </c>
      <c r="M278" s="59">
        <f t="shared" si="14"/>
        <v>85510</v>
      </c>
      <c r="N278" s="100"/>
      <c r="O278" s="45"/>
      <c r="P278" s="39"/>
      <c r="Q278" s="39"/>
      <c r="R278" s="39"/>
      <c r="S278" s="39"/>
      <c r="T278" s="39"/>
      <c r="U278" s="39"/>
      <c r="V278" s="39"/>
      <c r="W278" s="39"/>
      <c r="X278" s="39"/>
      <c r="Y278" s="39"/>
      <c r="Z278" s="39"/>
      <c r="AA278" s="39"/>
      <c r="AB278" s="39"/>
      <c r="AC278" s="39"/>
      <c r="AD278" s="39"/>
      <c r="AE278" s="39"/>
      <c r="AF278" s="39"/>
      <c r="AG278" s="39"/>
      <c r="AH278" s="39"/>
    </row>
    <row r="279" spans="1:34" s="84" customFormat="1">
      <c r="A279" s="39" t="s">
        <v>692</v>
      </c>
      <c r="B279" s="46" t="s">
        <v>285</v>
      </c>
      <c r="C279" s="39" t="s">
        <v>678</v>
      </c>
      <c r="D279" s="102">
        <v>468953266</v>
      </c>
      <c r="E279" s="102">
        <v>9192126707</v>
      </c>
      <c r="F279" s="39" t="s">
        <v>256</v>
      </c>
      <c r="G279" s="81">
        <f>33195+(364+182)</f>
        <v>33741</v>
      </c>
      <c r="H279" s="50" t="str">
        <f t="shared" si="12"/>
        <v>May</v>
      </c>
      <c r="I279" s="51">
        <f t="shared" ca="1" si="13"/>
        <v>24</v>
      </c>
      <c r="J279" s="52" t="s">
        <v>257</v>
      </c>
      <c r="K279" s="53">
        <v>48550</v>
      </c>
      <c r="L279" s="54">
        <v>5</v>
      </c>
      <c r="M279" s="59">
        <f t="shared" si="14"/>
        <v>48550</v>
      </c>
      <c r="N279" s="100"/>
      <c r="O279" s="45"/>
      <c r="P279" s="39"/>
      <c r="Q279" s="39"/>
      <c r="R279" s="39"/>
      <c r="S279" s="39"/>
      <c r="T279" s="39"/>
      <c r="U279" s="39"/>
      <c r="V279" s="39"/>
      <c r="W279" s="39"/>
      <c r="X279" s="39"/>
      <c r="Y279" s="39"/>
      <c r="Z279" s="39"/>
      <c r="AA279" s="39"/>
      <c r="AB279" s="39"/>
      <c r="AC279" s="39"/>
      <c r="AD279" s="39"/>
      <c r="AE279" s="39"/>
      <c r="AF279" s="39"/>
      <c r="AG279" s="39"/>
      <c r="AH279" s="39"/>
    </row>
    <row r="280" spans="1:34" s="84" customFormat="1">
      <c r="A280" s="39" t="s">
        <v>354</v>
      </c>
      <c r="B280" s="46" t="s">
        <v>285</v>
      </c>
      <c r="C280" s="39" t="s">
        <v>312</v>
      </c>
      <c r="D280" s="102">
        <v>667812117</v>
      </c>
      <c r="E280" s="102">
        <v>2526396432</v>
      </c>
      <c r="F280" s="39" t="s">
        <v>256</v>
      </c>
      <c r="G280" s="81">
        <f>33200+(364+182)</f>
        <v>33746</v>
      </c>
      <c r="H280" s="50" t="str">
        <f t="shared" si="12"/>
        <v>May</v>
      </c>
      <c r="I280" s="51">
        <f t="shared" ca="1" si="13"/>
        <v>24</v>
      </c>
      <c r="J280" s="52" t="s">
        <v>262</v>
      </c>
      <c r="K280" s="53">
        <v>31830</v>
      </c>
      <c r="L280" s="54">
        <v>3</v>
      </c>
      <c r="M280" s="59">
        <f t="shared" si="14"/>
        <v>31830</v>
      </c>
      <c r="N280" s="100"/>
      <c r="O280" s="45"/>
      <c r="P280" s="39"/>
      <c r="Q280" s="39"/>
      <c r="R280" s="39"/>
      <c r="S280" s="39"/>
      <c r="T280" s="39"/>
      <c r="U280" s="39"/>
      <c r="V280" s="39"/>
      <c r="W280" s="39"/>
      <c r="X280" s="39"/>
      <c r="Y280" s="39"/>
      <c r="Z280" s="39"/>
      <c r="AA280" s="39"/>
      <c r="AB280" s="39"/>
      <c r="AC280" s="39"/>
      <c r="AD280" s="39"/>
      <c r="AE280" s="39"/>
      <c r="AF280" s="39"/>
      <c r="AG280" s="39"/>
      <c r="AH280" s="39"/>
    </row>
    <row r="281" spans="1:34" s="84" customFormat="1">
      <c r="A281" s="39" t="s">
        <v>538</v>
      </c>
      <c r="B281" s="46" t="s">
        <v>280</v>
      </c>
      <c r="C281" s="39" t="s">
        <v>465</v>
      </c>
      <c r="D281" s="102">
        <v>466293520</v>
      </c>
      <c r="E281" s="102">
        <v>2524442142</v>
      </c>
      <c r="F281" s="39" t="s">
        <v>252</v>
      </c>
      <c r="G281" s="81">
        <f>33205+(364+182)</f>
        <v>33751</v>
      </c>
      <c r="H281" s="50" t="str">
        <f t="shared" si="12"/>
        <v>May</v>
      </c>
      <c r="I281" s="51">
        <f t="shared" ca="1" si="13"/>
        <v>24</v>
      </c>
      <c r="J281" s="52"/>
      <c r="K281" s="53">
        <v>22344</v>
      </c>
      <c r="L281" s="54">
        <v>4</v>
      </c>
      <c r="M281" s="59">
        <f t="shared" si="14"/>
        <v>22344</v>
      </c>
      <c r="N281" s="100"/>
      <c r="O281" s="45"/>
      <c r="P281" s="39"/>
      <c r="Q281" s="39"/>
      <c r="R281" s="39"/>
      <c r="S281" s="39"/>
      <c r="T281" s="39"/>
      <c r="U281" s="39"/>
      <c r="V281" s="39"/>
      <c r="W281" s="39"/>
      <c r="X281" s="39"/>
      <c r="Y281" s="39"/>
      <c r="Z281" s="39"/>
      <c r="AA281" s="39"/>
      <c r="AB281" s="39"/>
      <c r="AC281" s="39"/>
      <c r="AD281" s="39"/>
      <c r="AE281" s="39"/>
      <c r="AF281" s="39"/>
      <c r="AG281" s="39"/>
      <c r="AH281" s="39"/>
    </row>
    <row r="282" spans="1:34" s="84" customFormat="1">
      <c r="A282" s="39" t="s">
        <v>742</v>
      </c>
      <c r="B282" s="46" t="s">
        <v>271</v>
      </c>
      <c r="C282" s="39" t="s">
        <v>705</v>
      </c>
      <c r="D282" s="102">
        <v>934447306</v>
      </c>
      <c r="E282" s="102">
        <v>2525981242</v>
      </c>
      <c r="F282" s="39" t="s">
        <v>256</v>
      </c>
      <c r="G282" s="81">
        <f>33565+(364+182)</f>
        <v>34111</v>
      </c>
      <c r="H282" s="50" t="str">
        <f t="shared" si="12"/>
        <v>May</v>
      </c>
      <c r="I282" s="51">
        <f t="shared" ca="1" si="13"/>
        <v>23</v>
      </c>
      <c r="J282" s="52" t="s">
        <v>283</v>
      </c>
      <c r="K282" s="53">
        <v>73030</v>
      </c>
      <c r="L282" s="54">
        <v>5</v>
      </c>
      <c r="M282" s="59">
        <f t="shared" si="14"/>
        <v>73030</v>
      </c>
      <c r="N282" s="100"/>
      <c r="O282" s="45"/>
      <c r="P282" s="39"/>
      <c r="Q282" s="39"/>
      <c r="R282" s="39"/>
      <c r="S282" s="39"/>
      <c r="T282" s="39"/>
      <c r="U282" s="39"/>
      <c r="V282" s="39"/>
      <c r="W282" s="39"/>
      <c r="X282" s="39"/>
      <c r="Y282" s="39"/>
      <c r="Z282" s="39"/>
      <c r="AA282" s="39"/>
      <c r="AB282" s="39"/>
      <c r="AC282" s="39"/>
      <c r="AD282" s="39"/>
      <c r="AE282" s="39"/>
      <c r="AF282" s="39"/>
      <c r="AG282" s="39"/>
      <c r="AH282" s="39"/>
    </row>
    <row r="283" spans="1:34" s="84" customFormat="1">
      <c r="A283" s="39" t="s">
        <v>368</v>
      </c>
      <c r="B283" s="46" t="s">
        <v>285</v>
      </c>
      <c r="C283" s="39" t="s">
        <v>312</v>
      </c>
      <c r="D283" s="102">
        <v>496260023</v>
      </c>
      <c r="E283" s="102">
        <v>2523962015</v>
      </c>
      <c r="F283" s="39" t="s">
        <v>256</v>
      </c>
      <c r="G283" s="81">
        <f>33928+(364+182)</f>
        <v>34474</v>
      </c>
      <c r="H283" s="50" t="str">
        <f t="shared" si="12"/>
        <v>May</v>
      </c>
      <c r="I283" s="51">
        <f t="shared" ca="1" si="13"/>
        <v>22</v>
      </c>
      <c r="J283" s="52" t="s">
        <v>262</v>
      </c>
      <c r="K283" s="53">
        <v>74670</v>
      </c>
      <c r="L283" s="54">
        <v>5</v>
      </c>
      <c r="M283" s="59">
        <f t="shared" si="14"/>
        <v>74670</v>
      </c>
      <c r="N283" s="100"/>
      <c r="O283" s="45"/>
      <c r="P283" s="39"/>
      <c r="Q283" s="39"/>
      <c r="R283" s="39"/>
      <c r="S283" s="39"/>
      <c r="T283" s="39"/>
      <c r="U283" s="39"/>
      <c r="V283" s="39"/>
      <c r="W283" s="39"/>
      <c r="X283" s="39"/>
      <c r="Y283" s="39"/>
      <c r="Z283" s="39"/>
      <c r="AA283" s="39"/>
      <c r="AB283" s="39"/>
      <c r="AC283" s="39"/>
      <c r="AD283" s="39"/>
      <c r="AE283" s="39"/>
      <c r="AF283" s="39"/>
      <c r="AG283" s="39"/>
      <c r="AH283" s="39"/>
    </row>
    <row r="284" spans="1:34" s="84" customFormat="1">
      <c r="A284" s="39" t="s">
        <v>837</v>
      </c>
      <c r="B284" s="46" t="s">
        <v>271</v>
      </c>
      <c r="C284" s="39" t="s">
        <v>767</v>
      </c>
      <c r="D284" s="102">
        <v>336025451</v>
      </c>
      <c r="E284" s="102">
        <v>2522344526</v>
      </c>
      <c r="F284" s="39" t="s">
        <v>247</v>
      </c>
      <c r="G284" s="81">
        <f>33932+(364+182)</f>
        <v>34478</v>
      </c>
      <c r="H284" s="50" t="str">
        <f t="shared" si="12"/>
        <v>May</v>
      </c>
      <c r="I284" s="51">
        <f t="shared" ca="1" si="13"/>
        <v>22</v>
      </c>
      <c r="J284" s="52"/>
      <c r="K284" s="53">
        <v>56650</v>
      </c>
      <c r="L284" s="54">
        <v>1</v>
      </c>
      <c r="M284" s="59">
        <f t="shared" si="14"/>
        <v>56650</v>
      </c>
      <c r="N284" s="100"/>
      <c r="O284" s="45"/>
      <c r="P284" s="39"/>
      <c r="Q284" s="39"/>
      <c r="R284" s="39"/>
      <c r="S284" s="39"/>
      <c r="T284" s="39"/>
      <c r="U284" s="39"/>
      <c r="V284" s="39"/>
      <c r="W284" s="39"/>
      <c r="X284" s="39"/>
      <c r="Y284" s="39"/>
      <c r="Z284" s="39"/>
      <c r="AA284" s="39"/>
      <c r="AB284" s="39"/>
      <c r="AC284" s="39"/>
      <c r="AD284" s="39"/>
      <c r="AE284" s="39"/>
      <c r="AF284" s="39"/>
      <c r="AG284" s="39"/>
      <c r="AH284" s="39"/>
    </row>
    <row r="285" spans="1:34" s="84" customFormat="1">
      <c r="A285" s="39" t="s">
        <v>522</v>
      </c>
      <c r="B285" s="46" t="s">
        <v>251</v>
      </c>
      <c r="C285" s="39" t="s">
        <v>465</v>
      </c>
      <c r="D285" s="102">
        <v>720538680</v>
      </c>
      <c r="E285" s="102">
        <v>2522126686</v>
      </c>
      <c r="F285" s="39" t="s">
        <v>256</v>
      </c>
      <c r="G285" s="81">
        <f>33937+(364+182)</f>
        <v>34483</v>
      </c>
      <c r="H285" s="50" t="str">
        <f t="shared" si="12"/>
        <v>May</v>
      </c>
      <c r="I285" s="51">
        <f t="shared" ca="1" si="13"/>
        <v>22</v>
      </c>
      <c r="J285" s="52" t="s">
        <v>257</v>
      </c>
      <c r="K285" s="53">
        <v>81010</v>
      </c>
      <c r="L285" s="54">
        <v>4</v>
      </c>
      <c r="M285" s="59">
        <f t="shared" si="14"/>
        <v>81010</v>
      </c>
      <c r="N285" s="100"/>
      <c r="O285" s="45"/>
      <c r="P285" s="39"/>
      <c r="Q285" s="39"/>
      <c r="R285" s="39"/>
      <c r="S285" s="39"/>
      <c r="T285" s="39"/>
      <c r="U285" s="39"/>
      <c r="V285" s="39"/>
      <c r="W285" s="39"/>
      <c r="X285" s="39"/>
      <c r="Y285" s="39"/>
      <c r="Z285" s="39"/>
      <c r="AA285" s="39"/>
      <c r="AB285" s="39"/>
      <c r="AC285" s="39"/>
      <c r="AD285" s="39"/>
      <c r="AE285" s="39"/>
      <c r="AF285" s="39"/>
      <c r="AG285" s="39"/>
      <c r="AH285" s="39"/>
    </row>
    <row r="286" spans="1:34" s="84" customFormat="1">
      <c r="A286" s="39" t="s">
        <v>960</v>
      </c>
      <c r="B286" s="46" t="s">
        <v>285</v>
      </c>
      <c r="C286" s="39" t="s">
        <v>930</v>
      </c>
      <c r="D286" s="102">
        <v>471064761</v>
      </c>
      <c r="E286" s="102">
        <v>9191800673</v>
      </c>
      <c r="F286" s="39" t="s">
        <v>252</v>
      </c>
      <c r="G286" s="81">
        <f>34279+(364+182)</f>
        <v>34825</v>
      </c>
      <c r="H286" s="50" t="str">
        <f t="shared" si="12"/>
        <v>May</v>
      </c>
      <c r="I286" s="51">
        <f t="shared" ca="1" si="13"/>
        <v>21</v>
      </c>
      <c r="J286" s="52"/>
      <c r="K286" s="53">
        <v>26944</v>
      </c>
      <c r="L286" s="54">
        <v>4</v>
      </c>
      <c r="M286" s="59">
        <f t="shared" si="14"/>
        <v>26944</v>
      </c>
      <c r="N286" s="100"/>
      <c r="O286" s="45"/>
      <c r="P286" s="39"/>
      <c r="Q286" s="39"/>
      <c r="R286" s="39"/>
      <c r="S286" s="39"/>
      <c r="T286" s="39"/>
      <c r="U286" s="39"/>
      <c r="V286" s="39"/>
      <c r="W286" s="39"/>
      <c r="X286" s="39"/>
      <c r="Y286" s="39"/>
      <c r="Z286" s="39"/>
      <c r="AA286" s="39"/>
      <c r="AB286" s="39"/>
      <c r="AC286" s="39"/>
      <c r="AD286" s="39"/>
      <c r="AE286" s="39"/>
      <c r="AF286" s="39"/>
      <c r="AG286" s="39"/>
      <c r="AH286" s="39"/>
    </row>
    <row r="287" spans="1:34" s="84" customFormat="1">
      <c r="A287" s="39" t="s">
        <v>323</v>
      </c>
      <c r="B287" s="46" t="s">
        <v>271</v>
      </c>
      <c r="C287" s="39" t="s">
        <v>312</v>
      </c>
      <c r="D287" s="102">
        <v>147261161</v>
      </c>
      <c r="E287" s="102">
        <v>9197692593</v>
      </c>
      <c r="F287" s="39" t="s">
        <v>256</v>
      </c>
      <c r="G287" s="81">
        <f>34286+(364+182)</f>
        <v>34832</v>
      </c>
      <c r="H287" s="50" t="str">
        <f t="shared" si="12"/>
        <v>May</v>
      </c>
      <c r="I287" s="51">
        <f t="shared" ca="1" si="13"/>
        <v>21</v>
      </c>
      <c r="J287" s="52" t="s">
        <v>257</v>
      </c>
      <c r="K287" s="53">
        <v>31910</v>
      </c>
      <c r="L287" s="54">
        <v>5</v>
      </c>
      <c r="M287" s="59">
        <f t="shared" si="14"/>
        <v>31910</v>
      </c>
      <c r="N287" s="100"/>
      <c r="O287" s="45"/>
      <c r="P287" s="39"/>
      <c r="Q287" s="39"/>
      <c r="R287" s="39"/>
      <c r="S287" s="39"/>
      <c r="T287" s="39"/>
      <c r="U287" s="39"/>
      <c r="V287" s="39"/>
      <c r="W287" s="39"/>
      <c r="X287" s="39"/>
      <c r="Y287" s="39"/>
      <c r="Z287" s="39"/>
      <c r="AA287" s="39"/>
      <c r="AB287" s="39"/>
      <c r="AC287" s="39"/>
      <c r="AD287" s="39"/>
      <c r="AE287" s="39"/>
      <c r="AF287" s="39"/>
      <c r="AG287" s="39"/>
      <c r="AH287" s="39"/>
    </row>
    <row r="288" spans="1:34" s="84" customFormat="1">
      <c r="A288" s="39" t="s">
        <v>423</v>
      </c>
      <c r="B288" s="46" t="s">
        <v>285</v>
      </c>
      <c r="C288" s="39" t="s">
        <v>417</v>
      </c>
      <c r="D288" s="102">
        <v>393051351</v>
      </c>
      <c r="E288" s="102">
        <v>9197508998</v>
      </c>
      <c r="F288" s="39" t="s">
        <v>261</v>
      </c>
      <c r="G288" s="81">
        <f>34640+(364+182)</f>
        <v>35186</v>
      </c>
      <c r="H288" s="50" t="str">
        <f t="shared" si="12"/>
        <v>May</v>
      </c>
      <c r="I288" s="51">
        <f t="shared" ca="1" si="13"/>
        <v>20</v>
      </c>
      <c r="J288" s="52" t="s">
        <v>276</v>
      </c>
      <c r="K288" s="53">
        <v>32835</v>
      </c>
      <c r="L288" s="54">
        <v>2</v>
      </c>
      <c r="M288" s="59">
        <f t="shared" si="14"/>
        <v>32835</v>
      </c>
      <c r="N288" s="100"/>
      <c r="O288" s="45"/>
      <c r="P288" s="39"/>
      <c r="Q288" s="39"/>
      <c r="R288" s="39"/>
      <c r="S288" s="39"/>
      <c r="T288" s="39"/>
      <c r="U288" s="39"/>
      <c r="V288" s="39"/>
      <c r="W288" s="39"/>
      <c r="X288" s="39"/>
      <c r="Y288" s="39"/>
      <c r="Z288" s="39"/>
      <c r="AA288" s="39"/>
      <c r="AB288" s="39"/>
      <c r="AC288" s="39"/>
      <c r="AD288" s="39"/>
      <c r="AE288" s="39"/>
      <c r="AF288" s="39"/>
      <c r="AG288" s="39"/>
      <c r="AH288" s="39"/>
    </row>
    <row r="289" spans="1:34" s="84" customFormat="1">
      <c r="A289" s="39" t="s">
        <v>596</v>
      </c>
      <c r="B289" s="46" t="s">
        <v>271</v>
      </c>
      <c r="C289" s="39" t="s">
        <v>465</v>
      </c>
      <c r="D289" s="102">
        <v>147724014</v>
      </c>
      <c r="E289" s="102">
        <v>9192212512</v>
      </c>
      <c r="F289" s="39" t="s">
        <v>256</v>
      </c>
      <c r="G289" s="81">
        <f>34642+(364+182)</f>
        <v>35188</v>
      </c>
      <c r="H289" s="50" t="str">
        <f t="shared" si="12"/>
        <v>May</v>
      </c>
      <c r="I289" s="51">
        <f t="shared" ca="1" si="13"/>
        <v>20</v>
      </c>
      <c r="J289" s="52" t="s">
        <v>283</v>
      </c>
      <c r="K289" s="53">
        <v>44270</v>
      </c>
      <c r="L289" s="54">
        <v>2</v>
      </c>
      <c r="M289" s="59">
        <f t="shared" si="14"/>
        <v>44270</v>
      </c>
      <c r="N289" s="100"/>
      <c r="O289" s="45"/>
      <c r="P289" s="39"/>
      <c r="Q289" s="39"/>
      <c r="R289" s="39"/>
      <c r="S289" s="39"/>
      <c r="T289" s="39"/>
      <c r="U289" s="39"/>
      <c r="V289" s="39"/>
      <c r="W289" s="39"/>
      <c r="X289" s="39"/>
      <c r="Y289" s="39"/>
      <c r="Z289" s="39"/>
      <c r="AA289" s="39"/>
      <c r="AB289" s="39"/>
      <c r="AC289" s="39"/>
      <c r="AD289" s="39"/>
      <c r="AE289" s="39"/>
      <c r="AF289" s="39"/>
      <c r="AG289" s="39"/>
      <c r="AH289" s="39"/>
    </row>
    <row r="290" spans="1:34">
      <c r="A290" s="39" t="s">
        <v>579</v>
      </c>
      <c r="B290" s="46" t="s">
        <v>285</v>
      </c>
      <c r="C290" s="39" t="s">
        <v>465</v>
      </c>
      <c r="D290" s="102">
        <v>930282755</v>
      </c>
      <c r="E290" s="102">
        <v>9192380636</v>
      </c>
      <c r="F290" s="39" t="s">
        <v>261</v>
      </c>
      <c r="G290" s="81">
        <f>34643+(364+182)</f>
        <v>35189</v>
      </c>
      <c r="H290" s="50" t="str">
        <f t="shared" si="12"/>
        <v>May</v>
      </c>
      <c r="I290" s="51">
        <f t="shared" ca="1" si="13"/>
        <v>20</v>
      </c>
      <c r="J290" s="52" t="s">
        <v>257</v>
      </c>
      <c r="K290" s="53">
        <v>46285</v>
      </c>
      <c r="L290" s="54">
        <v>5</v>
      </c>
      <c r="M290" s="59">
        <f t="shared" si="14"/>
        <v>46285</v>
      </c>
    </row>
    <row r="291" spans="1:34">
      <c r="A291" s="39" t="s">
        <v>333</v>
      </c>
      <c r="B291" s="46" t="s">
        <v>251</v>
      </c>
      <c r="C291" s="39" t="s">
        <v>312</v>
      </c>
      <c r="D291" s="102">
        <v>344090854</v>
      </c>
      <c r="E291" s="102">
        <v>2523542524</v>
      </c>
      <c r="F291" s="39" t="s">
        <v>256</v>
      </c>
      <c r="G291" s="81">
        <f>34651+(364+182)</f>
        <v>35197</v>
      </c>
      <c r="H291" s="50" t="str">
        <f t="shared" si="12"/>
        <v>May</v>
      </c>
      <c r="I291" s="51">
        <f t="shared" ca="1" si="13"/>
        <v>20</v>
      </c>
      <c r="J291" s="52" t="s">
        <v>276</v>
      </c>
      <c r="K291" s="53">
        <v>82120</v>
      </c>
      <c r="L291" s="54">
        <v>5</v>
      </c>
      <c r="M291" s="59">
        <f t="shared" si="14"/>
        <v>82120</v>
      </c>
    </row>
    <row r="292" spans="1:34">
      <c r="A292" s="39" t="s">
        <v>546</v>
      </c>
      <c r="B292" s="46" t="s">
        <v>285</v>
      </c>
      <c r="C292" s="39" t="s">
        <v>465</v>
      </c>
      <c r="D292" s="102">
        <v>243062914</v>
      </c>
      <c r="E292" s="102">
        <v>9194018412</v>
      </c>
      <c r="F292" s="39" t="s">
        <v>256</v>
      </c>
      <c r="G292" s="81">
        <f>34653+(364+182)</f>
        <v>35199</v>
      </c>
      <c r="H292" s="50" t="str">
        <f t="shared" si="12"/>
        <v>May</v>
      </c>
      <c r="I292" s="51">
        <f t="shared" ca="1" si="13"/>
        <v>20</v>
      </c>
      <c r="J292" s="52" t="s">
        <v>257</v>
      </c>
      <c r="K292" s="53">
        <v>73450</v>
      </c>
      <c r="L292" s="54">
        <v>3</v>
      </c>
      <c r="M292" s="59">
        <f t="shared" si="14"/>
        <v>73450</v>
      </c>
    </row>
    <row r="293" spans="1:34">
      <c r="A293" s="39" t="s">
        <v>319</v>
      </c>
      <c r="B293" s="46" t="s">
        <v>285</v>
      </c>
      <c r="C293" s="39" t="s">
        <v>312</v>
      </c>
      <c r="D293" s="102">
        <v>905675120</v>
      </c>
      <c r="E293" s="102">
        <v>9192526124</v>
      </c>
      <c r="F293" s="39" t="s">
        <v>256</v>
      </c>
      <c r="G293" s="81">
        <f>34661+(364+182)</f>
        <v>35207</v>
      </c>
      <c r="H293" s="50" t="str">
        <f t="shared" si="12"/>
        <v>May</v>
      </c>
      <c r="I293" s="51">
        <f t="shared" ca="1" si="13"/>
        <v>20</v>
      </c>
      <c r="J293" s="52" t="s">
        <v>267</v>
      </c>
      <c r="K293" s="53">
        <v>77580</v>
      </c>
      <c r="L293" s="54">
        <v>3</v>
      </c>
      <c r="M293" s="59">
        <f t="shared" si="14"/>
        <v>77580</v>
      </c>
    </row>
    <row r="294" spans="1:34">
      <c r="A294" s="39" t="s">
        <v>299</v>
      </c>
      <c r="B294" s="46" t="s">
        <v>245</v>
      </c>
      <c r="C294" s="39" t="s">
        <v>296</v>
      </c>
      <c r="D294" s="102">
        <v>796079833</v>
      </c>
      <c r="E294" s="102">
        <v>2525327906</v>
      </c>
      <c r="F294" s="39" t="s">
        <v>261</v>
      </c>
      <c r="G294" s="81">
        <f>35018+(364+182)</f>
        <v>35564</v>
      </c>
      <c r="H294" s="50" t="str">
        <f t="shared" si="12"/>
        <v>May</v>
      </c>
      <c r="I294" s="51">
        <f t="shared" ca="1" si="13"/>
        <v>19</v>
      </c>
      <c r="J294" s="52" t="s">
        <v>257</v>
      </c>
      <c r="K294" s="53">
        <v>11025</v>
      </c>
      <c r="L294" s="54">
        <v>1</v>
      </c>
      <c r="M294" s="59">
        <f t="shared" si="14"/>
        <v>11025</v>
      </c>
    </row>
    <row r="295" spans="1:34">
      <c r="A295" s="39" t="s">
        <v>703</v>
      </c>
      <c r="B295" s="46" t="s">
        <v>271</v>
      </c>
      <c r="C295" s="39" t="s">
        <v>700</v>
      </c>
      <c r="D295" s="102">
        <v>121688720</v>
      </c>
      <c r="E295" s="102">
        <v>9194794769</v>
      </c>
      <c r="F295" s="39" t="s">
        <v>247</v>
      </c>
      <c r="G295" s="81">
        <f>35021+(364+182)</f>
        <v>35567</v>
      </c>
      <c r="H295" s="50" t="str">
        <f t="shared" si="12"/>
        <v>May</v>
      </c>
      <c r="I295" s="51">
        <f t="shared" ca="1" si="13"/>
        <v>19</v>
      </c>
      <c r="J295" s="52"/>
      <c r="K295" s="53">
        <v>44820</v>
      </c>
      <c r="L295" s="54">
        <v>4</v>
      </c>
      <c r="M295" s="59">
        <f t="shared" si="14"/>
        <v>44820</v>
      </c>
    </row>
    <row r="296" spans="1:34">
      <c r="A296" s="39" t="s">
        <v>335</v>
      </c>
      <c r="B296" s="46" t="s">
        <v>285</v>
      </c>
      <c r="C296" s="39" t="s">
        <v>312</v>
      </c>
      <c r="D296" s="102">
        <v>164904130</v>
      </c>
      <c r="E296" s="102">
        <v>2528046670</v>
      </c>
      <c r="F296" s="39" t="s">
        <v>247</v>
      </c>
      <c r="G296" s="81">
        <f>35023+(364+182)</f>
        <v>35569</v>
      </c>
      <c r="H296" s="50" t="str">
        <f t="shared" si="12"/>
        <v>May</v>
      </c>
      <c r="I296" s="51">
        <f t="shared" ca="1" si="13"/>
        <v>19</v>
      </c>
      <c r="J296" s="52"/>
      <c r="K296" s="53">
        <v>84200</v>
      </c>
      <c r="L296" s="54">
        <v>2</v>
      </c>
      <c r="M296" s="59">
        <f t="shared" si="14"/>
        <v>84200</v>
      </c>
      <c r="N296" s="107"/>
      <c r="O296" s="101"/>
    </row>
    <row r="297" spans="1:34">
      <c r="A297" s="39" t="s">
        <v>897</v>
      </c>
      <c r="B297" s="46" t="s">
        <v>285</v>
      </c>
      <c r="C297" s="39" t="s">
        <v>856</v>
      </c>
      <c r="D297" s="102">
        <v>750722934</v>
      </c>
      <c r="E297" s="102">
        <v>2523631883</v>
      </c>
      <c r="F297" s="39" t="s">
        <v>256</v>
      </c>
      <c r="G297" s="81">
        <f>35023+(364+182)</f>
        <v>35569</v>
      </c>
      <c r="H297" s="50" t="str">
        <f t="shared" si="12"/>
        <v>May</v>
      </c>
      <c r="I297" s="51">
        <f t="shared" ca="1" si="13"/>
        <v>19</v>
      </c>
      <c r="J297" s="52" t="s">
        <v>283</v>
      </c>
      <c r="K297" s="53">
        <v>37770</v>
      </c>
      <c r="L297" s="54">
        <v>5</v>
      </c>
      <c r="M297" s="59">
        <f t="shared" si="14"/>
        <v>37770</v>
      </c>
    </row>
    <row r="298" spans="1:34">
      <c r="A298" s="39" t="s">
        <v>1008</v>
      </c>
      <c r="B298" s="46" t="s">
        <v>285</v>
      </c>
      <c r="C298" s="39" t="s">
        <v>930</v>
      </c>
      <c r="D298" s="102">
        <v>240241467</v>
      </c>
      <c r="E298" s="102">
        <v>2524914916</v>
      </c>
      <c r="F298" s="39" t="s">
        <v>252</v>
      </c>
      <c r="G298" s="81">
        <f>35030+(364+182)</f>
        <v>35576</v>
      </c>
      <c r="H298" s="50" t="str">
        <f t="shared" si="12"/>
        <v>May</v>
      </c>
      <c r="I298" s="51">
        <f t="shared" ca="1" si="13"/>
        <v>19</v>
      </c>
      <c r="J298" s="52"/>
      <c r="K298" s="53">
        <v>28768</v>
      </c>
      <c r="L298" s="54">
        <v>3</v>
      </c>
      <c r="M298" s="59">
        <f t="shared" si="14"/>
        <v>28768</v>
      </c>
    </row>
    <row r="299" spans="1:34">
      <c r="A299" s="39" t="s">
        <v>815</v>
      </c>
      <c r="B299" s="46" t="s">
        <v>251</v>
      </c>
      <c r="C299" s="39" t="s">
        <v>767</v>
      </c>
      <c r="D299" s="102">
        <v>343185481</v>
      </c>
      <c r="E299" s="102">
        <v>9196446519</v>
      </c>
      <c r="F299" s="39" t="s">
        <v>256</v>
      </c>
      <c r="G299" s="81">
        <f>35372+(364+182)</f>
        <v>35918</v>
      </c>
      <c r="H299" s="50" t="str">
        <f t="shared" si="12"/>
        <v>May</v>
      </c>
      <c r="I299" s="51">
        <f t="shared" ca="1" si="13"/>
        <v>18</v>
      </c>
      <c r="J299" s="52" t="s">
        <v>262</v>
      </c>
      <c r="K299" s="53">
        <v>73740</v>
      </c>
      <c r="L299" s="54">
        <v>4</v>
      </c>
      <c r="M299" s="59">
        <f t="shared" si="14"/>
        <v>73740</v>
      </c>
    </row>
    <row r="300" spans="1:34">
      <c r="A300" s="39" t="s">
        <v>714</v>
      </c>
      <c r="B300" s="46" t="s">
        <v>280</v>
      </c>
      <c r="C300" s="39" t="s">
        <v>705</v>
      </c>
      <c r="D300" s="102">
        <v>213741822</v>
      </c>
      <c r="E300" s="102">
        <v>2521780498</v>
      </c>
      <c r="F300" s="39" t="s">
        <v>247</v>
      </c>
      <c r="G300" s="81">
        <f>35375+(364+182)</f>
        <v>35921</v>
      </c>
      <c r="H300" s="50" t="str">
        <f t="shared" si="12"/>
        <v>May</v>
      </c>
      <c r="I300" s="51">
        <f t="shared" ca="1" si="13"/>
        <v>18</v>
      </c>
      <c r="J300" s="52"/>
      <c r="K300" s="53">
        <v>63330</v>
      </c>
      <c r="L300" s="54">
        <v>4</v>
      </c>
      <c r="M300" s="59">
        <f t="shared" si="14"/>
        <v>63330</v>
      </c>
    </row>
    <row r="301" spans="1:34">
      <c r="A301" s="39" t="s">
        <v>514</v>
      </c>
      <c r="B301" s="46" t="s">
        <v>251</v>
      </c>
      <c r="C301" s="39" t="s">
        <v>465</v>
      </c>
      <c r="D301" s="102">
        <v>317844971</v>
      </c>
      <c r="E301" s="102">
        <v>9193557946</v>
      </c>
      <c r="F301" s="39" t="s">
        <v>247</v>
      </c>
      <c r="G301" s="81">
        <f>35381+(364+182)</f>
        <v>35927</v>
      </c>
      <c r="H301" s="50" t="str">
        <f t="shared" si="12"/>
        <v>May</v>
      </c>
      <c r="I301" s="51">
        <f t="shared" ca="1" si="13"/>
        <v>18</v>
      </c>
      <c r="J301" s="52"/>
      <c r="K301" s="53">
        <v>76910</v>
      </c>
      <c r="L301" s="54">
        <v>1</v>
      </c>
      <c r="M301" s="59">
        <f t="shared" si="14"/>
        <v>76910</v>
      </c>
    </row>
    <row r="302" spans="1:34">
      <c r="A302" s="39" t="s">
        <v>484</v>
      </c>
      <c r="B302" s="46" t="s">
        <v>285</v>
      </c>
      <c r="C302" s="39" t="s">
        <v>465</v>
      </c>
      <c r="D302" s="102">
        <v>618535019</v>
      </c>
      <c r="E302" s="102">
        <v>9193695179</v>
      </c>
      <c r="F302" s="39" t="s">
        <v>256</v>
      </c>
      <c r="G302" s="81">
        <f>35386+(364+182)</f>
        <v>35932</v>
      </c>
      <c r="H302" s="50" t="str">
        <f t="shared" si="12"/>
        <v>May</v>
      </c>
      <c r="I302" s="51">
        <f t="shared" ca="1" si="13"/>
        <v>18</v>
      </c>
      <c r="J302" s="52" t="s">
        <v>283</v>
      </c>
      <c r="K302" s="53">
        <v>89740</v>
      </c>
      <c r="L302" s="54">
        <v>5</v>
      </c>
      <c r="M302" s="59">
        <f t="shared" si="14"/>
        <v>89740</v>
      </c>
    </row>
    <row r="303" spans="1:34">
      <c r="A303" s="39" t="s">
        <v>554</v>
      </c>
      <c r="B303" s="46" t="s">
        <v>245</v>
      </c>
      <c r="C303" s="39" t="s">
        <v>465</v>
      </c>
      <c r="D303" s="102">
        <v>416394493</v>
      </c>
      <c r="E303" s="102">
        <v>2525228252</v>
      </c>
      <c r="F303" s="39" t="s">
        <v>256</v>
      </c>
      <c r="G303" s="81">
        <f>35392+(364+182)</f>
        <v>35938</v>
      </c>
      <c r="H303" s="50" t="str">
        <f t="shared" si="12"/>
        <v>May</v>
      </c>
      <c r="I303" s="51">
        <f t="shared" ca="1" si="13"/>
        <v>18</v>
      </c>
      <c r="J303" s="52" t="s">
        <v>267</v>
      </c>
      <c r="K303" s="53">
        <v>55450</v>
      </c>
      <c r="L303" s="54">
        <v>5</v>
      </c>
      <c r="M303" s="59">
        <f t="shared" si="14"/>
        <v>55450</v>
      </c>
    </row>
    <row r="304" spans="1:34">
      <c r="A304" s="39" t="s">
        <v>426</v>
      </c>
      <c r="B304" s="46" t="s">
        <v>271</v>
      </c>
      <c r="C304" s="39" t="s">
        <v>417</v>
      </c>
      <c r="D304" s="102">
        <v>282972141</v>
      </c>
      <c r="E304" s="102">
        <v>2527135797</v>
      </c>
      <c r="F304" s="39" t="s">
        <v>247</v>
      </c>
      <c r="G304" s="81">
        <f>35393+(364+182)</f>
        <v>35939</v>
      </c>
      <c r="H304" s="50" t="str">
        <f t="shared" si="12"/>
        <v>May</v>
      </c>
      <c r="I304" s="51">
        <f t="shared" ca="1" si="13"/>
        <v>18</v>
      </c>
      <c r="J304" s="52"/>
      <c r="K304" s="53">
        <v>25120</v>
      </c>
      <c r="L304" s="54">
        <v>5</v>
      </c>
      <c r="M304" s="59">
        <f t="shared" si="14"/>
        <v>25120</v>
      </c>
    </row>
    <row r="305" spans="1:34">
      <c r="A305" s="39" t="s">
        <v>364</v>
      </c>
      <c r="B305" s="46" t="s">
        <v>266</v>
      </c>
      <c r="C305" s="39" t="s">
        <v>312</v>
      </c>
      <c r="D305" s="102">
        <v>267218084</v>
      </c>
      <c r="E305" s="102">
        <v>9193825834</v>
      </c>
      <c r="F305" s="39" t="s">
        <v>247</v>
      </c>
      <c r="G305" s="81">
        <f>35394+(364+182)</f>
        <v>35940</v>
      </c>
      <c r="H305" s="50" t="str">
        <f t="shared" si="12"/>
        <v>May</v>
      </c>
      <c r="I305" s="51">
        <f t="shared" ca="1" si="13"/>
        <v>18</v>
      </c>
      <c r="J305" s="52"/>
      <c r="K305" s="53">
        <v>88000</v>
      </c>
      <c r="L305" s="54">
        <v>5</v>
      </c>
      <c r="M305" s="59">
        <f t="shared" si="14"/>
        <v>88000</v>
      </c>
    </row>
    <row r="306" spans="1:34" s="84" customFormat="1">
      <c r="A306" s="39" t="s">
        <v>775</v>
      </c>
      <c r="B306" s="46" t="s">
        <v>245</v>
      </c>
      <c r="C306" s="39" t="s">
        <v>767</v>
      </c>
      <c r="D306" s="102">
        <v>525699951</v>
      </c>
      <c r="E306" s="102">
        <v>9198400261</v>
      </c>
      <c r="F306" s="39" t="s">
        <v>252</v>
      </c>
      <c r="G306" s="81">
        <f>35400+(364+182)</f>
        <v>35946</v>
      </c>
      <c r="H306" s="50" t="str">
        <f t="shared" si="12"/>
        <v>May</v>
      </c>
      <c r="I306" s="51">
        <f t="shared" ca="1" si="13"/>
        <v>18</v>
      </c>
      <c r="J306" s="52"/>
      <c r="K306" s="53">
        <v>14332</v>
      </c>
      <c r="L306" s="54">
        <v>5</v>
      </c>
      <c r="M306" s="59">
        <f t="shared" si="14"/>
        <v>14332</v>
      </c>
      <c r="N306" s="100"/>
      <c r="O306" s="45"/>
      <c r="P306" s="39"/>
      <c r="Q306" s="39"/>
      <c r="R306" s="39"/>
      <c r="S306" s="39"/>
      <c r="T306" s="39"/>
      <c r="U306" s="39"/>
      <c r="V306" s="39"/>
      <c r="W306" s="39"/>
      <c r="X306" s="39"/>
      <c r="Y306" s="39"/>
      <c r="Z306" s="39"/>
      <c r="AA306" s="39"/>
      <c r="AB306" s="39"/>
      <c r="AC306" s="39"/>
      <c r="AD306" s="39"/>
      <c r="AE306" s="39"/>
      <c r="AF306" s="39"/>
      <c r="AG306" s="39"/>
      <c r="AH306" s="39"/>
    </row>
    <row r="307" spans="1:34" s="84" customFormat="1">
      <c r="A307" s="39" t="s">
        <v>578</v>
      </c>
      <c r="B307" s="46" t="s">
        <v>280</v>
      </c>
      <c r="C307" s="39" t="s">
        <v>465</v>
      </c>
      <c r="D307" s="102">
        <v>969216994</v>
      </c>
      <c r="E307" s="102">
        <v>2528973095</v>
      </c>
      <c r="F307" s="39" t="s">
        <v>247</v>
      </c>
      <c r="G307" s="81">
        <f>35737+(364+182)</f>
        <v>36283</v>
      </c>
      <c r="H307" s="50" t="str">
        <f t="shared" si="12"/>
        <v>May</v>
      </c>
      <c r="I307" s="51">
        <f t="shared" ca="1" si="13"/>
        <v>17</v>
      </c>
      <c r="J307" s="52"/>
      <c r="K307" s="53">
        <v>25130</v>
      </c>
      <c r="L307" s="54">
        <v>5</v>
      </c>
      <c r="M307" s="59">
        <f t="shared" si="14"/>
        <v>25130</v>
      </c>
      <c r="N307" s="100"/>
      <c r="O307" s="45"/>
      <c r="P307" s="39"/>
      <c r="Q307" s="39"/>
      <c r="R307" s="39"/>
      <c r="S307" s="39"/>
      <c r="T307" s="39"/>
      <c r="U307" s="39"/>
      <c r="V307" s="39"/>
      <c r="W307" s="39"/>
      <c r="X307" s="39"/>
      <c r="Y307" s="39"/>
      <c r="Z307" s="39"/>
      <c r="AA307" s="39"/>
      <c r="AB307" s="39"/>
      <c r="AC307" s="39"/>
      <c r="AD307" s="39"/>
      <c r="AE307" s="39"/>
      <c r="AF307" s="39"/>
      <c r="AG307" s="39"/>
      <c r="AH307" s="39"/>
    </row>
    <row r="308" spans="1:34" s="84" customFormat="1">
      <c r="A308" s="39" t="s">
        <v>859</v>
      </c>
      <c r="B308" s="46" t="s">
        <v>245</v>
      </c>
      <c r="C308" s="39" t="s">
        <v>856</v>
      </c>
      <c r="D308" s="102">
        <v>512404764</v>
      </c>
      <c r="E308" s="102">
        <v>9193976775</v>
      </c>
      <c r="F308" s="39" t="s">
        <v>256</v>
      </c>
      <c r="G308" s="81">
        <f>35744+(364+182)</f>
        <v>36290</v>
      </c>
      <c r="H308" s="50" t="str">
        <f t="shared" si="12"/>
        <v>May</v>
      </c>
      <c r="I308" s="51">
        <f t="shared" ca="1" si="13"/>
        <v>17</v>
      </c>
      <c r="J308" s="52" t="s">
        <v>283</v>
      </c>
      <c r="K308" s="53">
        <v>39000</v>
      </c>
      <c r="L308" s="54">
        <v>3</v>
      </c>
      <c r="M308" s="59">
        <f t="shared" si="14"/>
        <v>39000</v>
      </c>
      <c r="N308" s="100"/>
      <c r="O308" s="45"/>
      <c r="P308" s="39"/>
      <c r="Q308" s="39"/>
      <c r="R308" s="39"/>
      <c r="S308" s="39"/>
      <c r="T308" s="39"/>
      <c r="U308" s="39"/>
      <c r="V308" s="39"/>
      <c r="W308" s="39"/>
      <c r="X308" s="39"/>
      <c r="Y308" s="39"/>
      <c r="Z308" s="39"/>
      <c r="AA308" s="39"/>
      <c r="AB308" s="39"/>
      <c r="AC308" s="39"/>
      <c r="AD308" s="39"/>
      <c r="AE308" s="39"/>
      <c r="AF308" s="39"/>
      <c r="AG308" s="39"/>
      <c r="AH308" s="39"/>
    </row>
    <row r="309" spans="1:34" s="84" customFormat="1">
      <c r="A309" s="39" t="s">
        <v>655</v>
      </c>
      <c r="B309" s="46" t="s">
        <v>266</v>
      </c>
      <c r="C309" s="39" t="s">
        <v>626</v>
      </c>
      <c r="D309" s="102">
        <v>355985853</v>
      </c>
      <c r="E309" s="102">
        <v>2525478716</v>
      </c>
      <c r="F309" s="39" t="s">
        <v>256</v>
      </c>
      <c r="G309" s="81">
        <f>35751+(364+182)</f>
        <v>36297</v>
      </c>
      <c r="H309" s="50" t="str">
        <f t="shared" si="12"/>
        <v>May</v>
      </c>
      <c r="I309" s="51">
        <f t="shared" ca="1" si="13"/>
        <v>17</v>
      </c>
      <c r="J309" s="52" t="s">
        <v>257</v>
      </c>
      <c r="K309" s="53">
        <v>46030</v>
      </c>
      <c r="L309" s="54">
        <v>2</v>
      </c>
      <c r="M309" s="59">
        <f t="shared" si="14"/>
        <v>46030</v>
      </c>
      <c r="N309" s="100"/>
      <c r="O309" s="45"/>
      <c r="P309" s="39"/>
      <c r="Q309" s="39"/>
      <c r="R309" s="39"/>
      <c r="S309" s="39"/>
      <c r="T309" s="39"/>
      <c r="U309" s="39"/>
      <c r="V309" s="39"/>
      <c r="W309" s="39"/>
      <c r="X309" s="39"/>
      <c r="Y309" s="39"/>
      <c r="Z309" s="39"/>
      <c r="AA309" s="39"/>
      <c r="AB309" s="39"/>
      <c r="AC309" s="39"/>
      <c r="AD309" s="39"/>
      <c r="AE309" s="39"/>
      <c r="AF309" s="39"/>
      <c r="AG309" s="39"/>
      <c r="AH309" s="39"/>
    </row>
    <row r="310" spans="1:34" s="84" customFormat="1">
      <c r="A310" s="39" t="s">
        <v>840</v>
      </c>
      <c r="B310" s="46" t="s">
        <v>271</v>
      </c>
      <c r="C310" s="39" t="s">
        <v>767</v>
      </c>
      <c r="D310" s="102">
        <v>548283920</v>
      </c>
      <c r="E310" s="102">
        <v>2524160215</v>
      </c>
      <c r="F310" s="39" t="s">
        <v>247</v>
      </c>
      <c r="G310" s="81">
        <f>35751+(364+182)</f>
        <v>36297</v>
      </c>
      <c r="H310" s="50" t="str">
        <f t="shared" si="12"/>
        <v>May</v>
      </c>
      <c r="I310" s="51">
        <f t="shared" ca="1" si="13"/>
        <v>17</v>
      </c>
      <c r="J310" s="52"/>
      <c r="K310" s="53">
        <v>57990</v>
      </c>
      <c r="L310" s="54">
        <v>5</v>
      </c>
      <c r="M310" s="59">
        <f t="shared" si="14"/>
        <v>57990</v>
      </c>
      <c r="N310" s="100"/>
      <c r="O310" s="45"/>
      <c r="P310" s="39"/>
      <c r="Q310" s="39"/>
      <c r="R310" s="39"/>
      <c r="S310" s="39"/>
      <c r="T310" s="39"/>
      <c r="U310" s="39"/>
      <c r="V310" s="39"/>
      <c r="W310" s="39"/>
      <c r="X310" s="39"/>
      <c r="Y310" s="39"/>
      <c r="Z310" s="39"/>
      <c r="AA310" s="39"/>
      <c r="AB310" s="39"/>
      <c r="AC310" s="39"/>
      <c r="AD310" s="39"/>
      <c r="AE310" s="39"/>
      <c r="AF310" s="39"/>
      <c r="AG310" s="39"/>
      <c r="AH310" s="39"/>
    </row>
    <row r="311" spans="1:34" s="84" customFormat="1">
      <c r="A311" s="39" t="s">
        <v>536</v>
      </c>
      <c r="B311" s="46" t="s">
        <v>271</v>
      </c>
      <c r="C311" s="39" t="s">
        <v>465</v>
      </c>
      <c r="D311" s="102">
        <v>506577536</v>
      </c>
      <c r="E311" s="102">
        <v>2524999647</v>
      </c>
      <c r="F311" s="39" t="s">
        <v>252</v>
      </c>
      <c r="G311" s="81">
        <f>35759+(364+182)</f>
        <v>36305</v>
      </c>
      <c r="H311" s="50" t="str">
        <f t="shared" si="12"/>
        <v>May</v>
      </c>
      <c r="I311" s="51">
        <f t="shared" ca="1" si="13"/>
        <v>17</v>
      </c>
      <c r="J311" s="52"/>
      <c r="K311" s="53">
        <v>9424</v>
      </c>
      <c r="L311" s="54">
        <v>4</v>
      </c>
      <c r="M311" s="59">
        <f t="shared" si="14"/>
        <v>9424</v>
      </c>
      <c r="N311" s="100"/>
      <c r="O311" s="45"/>
      <c r="P311" s="39"/>
      <c r="Q311" s="39"/>
      <c r="R311" s="39"/>
      <c r="S311" s="39"/>
      <c r="T311" s="39"/>
      <c r="U311" s="39"/>
      <c r="V311" s="39"/>
      <c r="W311" s="39"/>
      <c r="X311" s="39"/>
      <c r="Y311" s="39"/>
      <c r="Z311" s="39"/>
      <c r="AA311" s="39"/>
      <c r="AB311" s="39"/>
      <c r="AC311" s="39"/>
      <c r="AD311" s="39"/>
      <c r="AE311" s="39"/>
      <c r="AF311" s="39"/>
      <c r="AG311" s="39"/>
      <c r="AH311" s="39"/>
    </row>
    <row r="312" spans="1:34" s="84" customFormat="1">
      <c r="A312" s="39" t="s">
        <v>634</v>
      </c>
      <c r="B312" s="46" t="s">
        <v>245</v>
      </c>
      <c r="C312" s="39" t="s">
        <v>626</v>
      </c>
      <c r="D312" s="102">
        <v>422929693</v>
      </c>
      <c r="E312" s="102">
        <v>9191487375</v>
      </c>
      <c r="F312" s="39" t="s">
        <v>256</v>
      </c>
      <c r="G312" s="81">
        <f>36116+(364+182)</f>
        <v>36662</v>
      </c>
      <c r="H312" s="50" t="str">
        <f t="shared" si="12"/>
        <v>May</v>
      </c>
      <c r="I312" s="51">
        <f t="shared" ca="1" si="13"/>
        <v>16</v>
      </c>
      <c r="J312" s="52" t="s">
        <v>283</v>
      </c>
      <c r="K312" s="53">
        <v>52490</v>
      </c>
      <c r="L312" s="54">
        <v>4</v>
      </c>
      <c r="M312" s="59">
        <f t="shared" si="14"/>
        <v>52490</v>
      </c>
      <c r="N312" s="100"/>
      <c r="O312" s="45"/>
      <c r="P312" s="39"/>
      <c r="Q312" s="39"/>
      <c r="R312" s="39"/>
      <c r="S312" s="39"/>
      <c r="T312" s="39"/>
      <c r="U312" s="39"/>
      <c r="V312" s="39"/>
      <c r="W312" s="39"/>
      <c r="X312" s="39"/>
      <c r="Y312" s="39"/>
      <c r="Z312" s="39"/>
      <c r="AA312" s="39"/>
      <c r="AB312" s="39"/>
      <c r="AC312" s="39"/>
      <c r="AD312" s="39"/>
      <c r="AE312" s="39"/>
      <c r="AF312" s="39"/>
      <c r="AG312" s="39"/>
      <c r="AH312" s="39"/>
    </row>
    <row r="313" spans="1:34" s="84" customFormat="1">
      <c r="A313" s="39" t="s">
        <v>933</v>
      </c>
      <c r="B313" s="46" t="s">
        <v>285</v>
      </c>
      <c r="C313" s="39" t="s">
        <v>930</v>
      </c>
      <c r="D313" s="102">
        <v>163350417</v>
      </c>
      <c r="E313" s="102">
        <v>2526466230</v>
      </c>
      <c r="F313" s="39" t="s">
        <v>256</v>
      </c>
      <c r="G313" s="81">
        <f>36126+(364+182)</f>
        <v>36672</v>
      </c>
      <c r="H313" s="50" t="str">
        <f t="shared" si="12"/>
        <v>May</v>
      </c>
      <c r="I313" s="51">
        <f t="shared" ca="1" si="13"/>
        <v>16</v>
      </c>
      <c r="J313" s="52" t="s">
        <v>262</v>
      </c>
      <c r="K313" s="53">
        <v>65320</v>
      </c>
      <c r="L313" s="54">
        <v>5</v>
      </c>
      <c r="M313" s="59">
        <f t="shared" si="14"/>
        <v>65320</v>
      </c>
      <c r="N313" s="100"/>
      <c r="O313" s="45"/>
      <c r="P313" s="39"/>
      <c r="Q313" s="39"/>
      <c r="R313" s="39"/>
      <c r="S313" s="39"/>
      <c r="T313" s="39"/>
      <c r="U313" s="39"/>
      <c r="V313" s="39"/>
      <c r="W313" s="39"/>
      <c r="X313" s="39"/>
      <c r="Y313" s="39"/>
      <c r="Z313" s="39"/>
      <c r="AA313" s="39"/>
      <c r="AB313" s="39"/>
      <c r="AC313" s="39"/>
      <c r="AD313" s="39"/>
      <c r="AE313" s="39"/>
      <c r="AF313" s="39"/>
      <c r="AG313" s="39"/>
      <c r="AH313" s="39"/>
    </row>
    <row r="314" spans="1:34" s="84" customFormat="1">
      <c r="A314" s="39" t="s">
        <v>461</v>
      </c>
      <c r="B314" s="46" t="s">
        <v>280</v>
      </c>
      <c r="C314" s="39" t="s">
        <v>456</v>
      </c>
      <c r="D314" s="102">
        <v>746497232</v>
      </c>
      <c r="E314" s="102">
        <v>9196681578</v>
      </c>
      <c r="F314" s="39" t="s">
        <v>247</v>
      </c>
      <c r="G314" s="81">
        <f>36127+(364+182)</f>
        <v>36673</v>
      </c>
      <c r="H314" s="50" t="str">
        <f t="shared" si="12"/>
        <v>May</v>
      </c>
      <c r="I314" s="51">
        <f t="shared" ca="1" si="13"/>
        <v>16</v>
      </c>
      <c r="J314" s="52" t="s">
        <v>283</v>
      </c>
      <c r="K314" s="53">
        <v>69410</v>
      </c>
      <c r="L314" s="54">
        <v>4</v>
      </c>
      <c r="M314" s="59">
        <f t="shared" si="14"/>
        <v>69410</v>
      </c>
      <c r="N314" s="100"/>
      <c r="O314" s="45"/>
      <c r="P314" s="39"/>
      <c r="Q314" s="39"/>
      <c r="R314" s="39"/>
      <c r="S314" s="39"/>
      <c r="T314" s="39"/>
      <c r="U314" s="39"/>
      <c r="V314" s="39"/>
      <c r="W314" s="39"/>
      <c r="X314" s="39"/>
      <c r="Y314" s="39"/>
      <c r="Z314" s="39"/>
      <c r="AA314" s="39"/>
      <c r="AB314" s="39"/>
      <c r="AC314" s="39"/>
      <c r="AD314" s="39"/>
      <c r="AE314" s="39"/>
      <c r="AF314" s="39"/>
      <c r="AG314" s="39"/>
      <c r="AH314" s="39"/>
    </row>
    <row r="315" spans="1:34" s="84" customFormat="1">
      <c r="A315" s="39" t="s">
        <v>835</v>
      </c>
      <c r="B315" s="46" t="s">
        <v>271</v>
      </c>
      <c r="C315" s="39" t="s">
        <v>767</v>
      </c>
      <c r="D315" s="102">
        <v>737152868</v>
      </c>
      <c r="E315" s="102">
        <v>9191124357</v>
      </c>
      <c r="F315" s="39" t="s">
        <v>256</v>
      </c>
      <c r="G315" s="81">
        <f>36127+(364+182)</f>
        <v>36673</v>
      </c>
      <c r="H315" s="50" t="str">
        <f t="shared" si="12"/>
        <v>May</v>
      </c>
      <c r="I315" s="51">
        <f t="shared" ca="1" si="13"/>
        <v>16</v>
      </c>
      <c r="J315" s="52" t="s">
        <v>276</v>
      </c>
      <c r="K315" s="53">
        <v>48330</v>
      </c>
      <c r="L315" s="54">
        <v>1</v>
      </c>
      <c r="M315" s="59">
        <f t="shared" si="14"/>
        <v>48330</v>
      </c>
      <c r="N315" s="100"/>
      <c r="O315" s="45"/>
      <c r="P315" s="39"/>
      <c r="Q315" s="39"/>
      <c r="R315" s="39"/>
      <c r="S315" s="39"/>
      <c r="T315" s="39"/>
      <c r="U315" s="39"/>
      <c r="V315" s="39"/>
      <c r="W315" s="39"/>
      <c r="X315" s="39"/>
      <c r="Y315" s="39"/>
      <c r="Z315" s="39"/>
      <c r="AA315" s="39"/>
      <c r="AB315" s="39"/>
      <c r="AC315" s="39"/>
      <c r="AD315" s="39"/>
      <c r="AE315" s="39"/>
      <c r="AF315" s="39"/>
      <c r="AG315" s="39"/>
      <c r="AH315" s="39"/>
    </row>
    <row r="316" spans="1:34" s="84" customFormat="1">
      <c r="A316" s="39" t="s">
        <v>345</v>
      </c>
      <c r="B316" s="46" t="s">
        <v>285</v>
      </c>
      <c r="C316" s="39" t="s">
        <v>312</v>
      </c>
      <c r="D316" s="102">
        <v>349979288</v>
      </c>
      <c r="E316" s="102">
        <v>9194629972</v>
      </c>
      <c r="F316" s="39" t="s">
        <v>256</v>
      </c>
      <c r="G316" s="81">
        <f>36472+(364+182)</f>
        <v>37018</v>
      </c>
      <c r="H316" s="50" t="str">
        <f t="shared" si="12"/>
        <v>May</v>
      </c>
      <c r="I316" s="51">
        <f t="shared" ca="1" si="13"/>
        <v>15</v>
      </c>
      <c r="J316" s="52" t="s">
        <v>283</v>
      </c>
      <c r="K316" s="53">
        <v>28650</v>
      </c>
      <c r="L316" s="54">
        <v>4</v>
      </c>
      <c r="M316" s="59">
        <f t="shared" si="14"/>
        <v>28650</v>
      </c>
      <c r="N316" s="100"/>
      <c r="O316" s="45"/>
      <c r="P316" s="39"/>
      <c r="Q316" s="39"/>
      <c r="R316" s="39"/>
      <c r="S316" s="39"/>
      <c r="T316" s="39"/>
      <c r="U316" s="39"/>
      <c r="V316" s="39"/>
      <c r="W316" s="39"/>
      <c r="X316" s="39"/>
      <c r="Y316" s="39"/>
      <c r="Z316" s="39"/>
      <c r="AA316" s="39"/>
      <c r="AB316" s="39"/>
      <c r="AC316" s="39"/>
      <c r="AD316" s="39"/>
      <c r="AE316" s="39"/>
      <c r="AF316" s="39"/>
      <c r="AG316" s="39"/>
      <c r="AH316" s="39"/>
    </row>
    <row r="317" spans="1:34" s="84" customFormat="1">
      <c r="A317" s="39" t="s">
        <v>497</v>
      </c>
      <c r="B317" s="46" t="s">
        <v>285</v>
      </c>
      <c r="C317" s="39" t="s">
        <v>465</v>
      </c>
      <c r="D317" s="102">
        <v>337943008</v>
      </c>
      <c r="E317" s="102">
        <v>2521257896</v>
      </c>
      <c r="F317" s="39" t="s">
        <v>256</v>
      </c>
      <c r="G317" s="81">
        <f>36848+(364+182)</f>
        <v>37394</v>
      </c>
      <c r="H317" s="50" t="str">
        <f t="shared" si="12"/>
        <v>May</v>
      </c>
      <c r="I317" s="51">
        <f t="shared" ca="1" si="13"/>
        <v>14</v>
      </c>
      <c r="J317" s="52" t="s">
        <v>257</v>
      </c>
      <c r="K317" s="53">
        <v>28970</v>
      </c>
      <c r="L317" s="54">
        <v>3</v>
      </c>
      <c r="M317" s="59">
        <f t="shared" si="14"/>
        <v>28970</v>
      </c>
      <c r="N317" s="100"/>
      <c r="O317" s="45"/>
      <c r="P317" s="39"/>
      <c r="Q317" s="39"/>
      <c r="R317" s="39"/>
      <c r="S317" s="39"/>
      <c r="T317" s="39"/>
      <c r="U317" s="39"/>
      <c r="V317" s="39"/>
      <c r="W317" s="39"/>
      <c r="X317" s="39"/>
      <c r="Y317" s="39"/>
      <c r="Z317" s="39"/>
      <c r="AA317" s="39"/>
      <c r="AB317" s="39"/>
      <c r="AC317" s="39"/>
      <c r="AD317" s="39"/>
      <c r="AE317" s="39"/>
      <c r="AF317" s="39"/>
      <c r="AG317" s="39"/>
      <c r="AH317" s="39"/>
    </row>
    <row r="318" spans="1:34" s="84" customFormat="1">
      <c r="A318" s="39" t="s">
        <v>289</v>
      </c>
      <c r="B318" s="46" t="s">
        <v>251</v>
      </c>
      <c r="C318" s="39" t="s">
        <v>272</v>
      </c>
      <c r="D318" s="102">
        <v>975603308</v>
      </c>
      <c r="E318" s="102">
        <v>9192693355</v>
      </c>
      <c r="F318" s="39" t="s">
        <v>256</v>
      </c>
      <c r="G318" s="81">
        <f>36858+(364+182)</f>
        <v>37404</v>
      </c>
      <c r="H318" s="50" t="str">
        <f t="shared" si="12"/>
        <v>May</v>
      </c>
      <c r="I318" s="51">
        <f t="shared" ca="1" si="13"/>
        <v>14</v>
      </c>
      <c r="J318" s="52" t="s">
        <v>257</v>
      </c>
      <c r="K318" s="53">
        <v>30780</v>
      </c>
      <c r="L318" s="54">
        <v>4</v>
      </c>
      <c r="M318" s="59">
        <f t="shared" si="14"/>
        <v>30780</v>
      </c>
      <c r="N318" s="100"/>
      <c r="O318" s="45"/>
      <c r="P318" s="39"/>
      <c r="Q318" s="39"/>
      <c r="R318" s="39"/>
      <c r="S318" s="39"/>
      <c r="T318" s="39"/>
      <c r="U318" s="39"/>
      <c r="V318" s="39"/>
      <c r="W318" s="39"/>
      <c r="X318" s="39"/>
      <c r="Y318" s="39"/>
      <c r="Z318" s="39"/>
      <c r="AA318" s="39"/>
      <c r="AB318" s="39"/>
      <c r="AC318" s="39"/>
      <c r="AD318" s="39"/>
      <c r="AE318" s="39"/>
      <c r="AF318" s="39"/>
      <c r="AG318" s="39"/>
      <c r="AH318" s="39"/>
    </row>
    <row r="319" spans="1:34" s="84" customFormat="1">
      <c r="A319" s="39" t="s">
        <v>843</v>
      </c>
      <c r="B319" s="46" t="s">
        <v>271</v>
      </c>
      <c r="C319" s="39" t="s">
        <v>767</v>
      </c>
      <c r="D319" s="102">
        <v>339488599</v>
      </c>
      <c r="E319" s="102">
        <v>9191267946</v>
      </c>
      <c r="F319" s="39" t="s">
        <v>247</v>
      </c>
      <c r="G319" s="81">
        <f>36858+(364+182)</f>
        <v>37404</v>
      </c>
      <c r="H319" s="50" t="str">
        <f t="shared" si="12"/>
        <v>May</v>
      </c>
      <c r="I319" s="51">
        <f t="shared" ca="1" si="13"/>
        <v>14</v>
      </c>
      <c r="J319" s="52"/>
      <c r="K319" s="53">
        <v>60070</v>
      </c>
      <c r="L319" s="54">
        <v>3</v>
      </c>
      <c r="M319" s="59">
        <f t="shared" si="14"/>
        <v>60070</v>
      </c>
      <c r="N319" s="100"/>
      <c r="O319" s="45"/>
      <c r="P319" s="39"/>
      <c r="Q319" s="39"/>
      <c r="R319" s="39"/>
      <c r="S319" s="39"/>
      <c r="T319" s="39"/>
      <c r="U319" s="39"/>
      <c r="V319" s="39"/>
      <c r="W319" s="39"/>
      <c r="X319" s="39"/>
      <c r="Y319" s="39"/>
      <c r="Z319" s="39"/>
      <c r="AA319" s="39"/>
      <c r="AB319" s="39"/>
      <c r="AC319" s="39"/>
      <c r="AD319" s="39"/>
      <c r="AE319" s="39"/>
      <c r="AF319" s="39"/>
      <c r="AG319" s="39"/>
      <c r="AH319" s="39"/>
    </row>
    <row r="320" spans="1:34" s="84" customFormat="1">
      <c r="A320" s="39" t="s">
        <v>624</v>
      </c>
      <c r="B320" s="46" t="s">
        <v>251</v>
      </c>
      <c r="C320" s="39" t="s">
        <v>618</v>
      </c>
      <c r="D320" s="102">
        <v>370608224</v>
      </c>
      <c r="E320" s="102">
        <v>2521535362</v>
      </c>
      <c r="F320" s="39" t="s">
        <v>256</v>
      </c>
      <c r="G320" s="81">
        <f>36861+(364+182)</f>
        <v>37407</v>
      </c>
      <c r="H320" s="50" t="str">
        <f t="shared" si="12"/>
        <v>May</v>
      </c>
      <c r="I320" s="51">
        <f t="shared" ca="1" si="13"/>
        <v>14</v>
      </c>
      <c r="J320" s="52" t="s">
        <v>257</v>
      </c>
      <c r="K320" s="53">
        <v>59140</v>
      </c>
      <c r="L320" s="54">
        <v>5</v>
      </c>
      <c r="M320" s="59">
        <f t="shared" si="14"/>
        <v>59140</v>
      </c>
      <c r="N320" s="100"/>
      <c r="O320" s="45"/>
      <c r="P320" s="39"/>
      <c r="Q320" s="39"/>
      <c r="R320" s="39"/>
      <c r="S320" s="39"/>
      <c r="T320" s="39"/>
      <c r="U320" s="39"/>
      <c r="V320" s="39"/>
      <c r="W320" s="39"/>
      <c r="X320" s="39"/>
      <c r="Y320" s="39"/>
      <c r="Z320" s="39"/>
      <c r="AA320" s="39"/>
      <c r="AB320" s="39"/>
      <c r="AC320" s="39"/>
      <c r="AD320" s="39"/>
      <c r="AE320" s="39"/>
      <c r="AF320" s="39"/>
      <c r="AG320" s="39"/>
      <c r="AH320" s="39"/>
    </row>
    <row r="321" spans="1:34" s="84" customFormat="1">
      <c r="A321" s="39" t="s">
        <v>437</v>
      </c>
      <c r="B321" s="46" t="s">
        <v>285</v>
      </c>
      <c r="C321" s="39" t="s">
        <v>417</v>
      </c>
      <c r="D321" s="102">
        <v>541365827</v>
      </c>
      <c r="E321" s="102">
        <v>2525317859</v>
      </c>
      <c r="F321" s="39" t="s">
        <v>256</v>
      </c>
      <c r="G321" s="81">
        <f>37589+(364+182)</f>
        <v>38135</v>
      </c>
      <c r="H321" s="50" t="str">
        <f t="shared" si="12"/>
        <v>May</v>
      </c>
      <c r="I321" s="51">
        <f t="shared" ca="1" si="13"/>
        <v>12</v>
      </c>
      <c r="J321" s="52" t="s">
        <v>267</v>
      </c>
      <c r="K321" s="53">
        <v>65560</v>
      </c>
      <c r="L321" s="54">
        <v>1</v>
      </c>
      <c r="M321" s="59">
        <f t="shared" si="14"/>
        <v>65560</v>
      </c>
      <c r="N321" s="100"/>
      <c r="O321" s="45"/>
      <c r="P321" s="39"/>
      <c r="Q321" s="39"/>
      <c r="R321" s="39"/>
      <c r="S321" s="39"/>
      <c r="T321" s="39"/>
      <c r="U321" s="39"/>
      <c r="V321" s="39"/>
      <c r="W321" s="39"/>
      <c r="X321" s="39"/>
      <c r="Y321" s="39"/>
      <c r="Z321" s="39"/>
      <c r="AA321" s="39"/>
      <c r="AB321" s="39"/>
      <c r="AC321" s="39"/>
      <c r="AD321" s="39"/>
      <c r="AE321" s="39"/>
      <c r="AF321" s="39"/>
      <c r="AG321" s="39"/>
      <c r="AH321" s="39"/>
    </row>
    <row r="322" spans="1:34">
      <c r="A322" s="39" t="s">
        <v>674</v>
      </c>
      <c r="B322" s="46" t="s">
        <v>251</v>
      </c>
      <c r="C322" s="39" t="s">
        <v>626</v>
      </c>
      <c r="D322" s="102">
        <v>788451186</v>
      </c>
      <c r="E322" s="102">
        <v>9191682521</v>
      </c>
      <c r="F322" s="39" t="s">
        <v>247</v>
      </c>
      <c r="G322" s="81">
        <f>37950+(364+182)</f>
        <v>38496</v>
      </c>
      <c r="H322" s="50" t="str">
        <f t="shared" si="12"/>
        <v>May</v>
      </c>
      <c r="I322" s="51">
        <f t="shared" ca="1" si="13"/>
        <v>11</v>
      </c>
      <c r="J322" s="52"/>
      <c r="K322" s="53">
        <v>57520</v>
      </c>
      <c r="L322" s="54">
        <v>3</v>
      </c>
      <c r="M322" s="59">
        <f t="shared" si="14"/>
        <v>57520</v>
      </c>
    </row>
    <row r="323" spans="1:34">
      <c r="A323" s="39" t="s">
        <v>838</v>
      </c>
      <c r="B323" s="46" t="s">
        <v>266</v>
      </c>
      <c r="C323" s="39" t="s">
        <v>767</v>
      </c>
      <c r="D323" s="102">
        <v>289103201</v>
      </c>
      <c r="E323" s="102">
        <v>9192921836</v>
      </c>
      <c r="F323" s="39" t="s">
        <v>256</v>
      </c>
      <c r="G323" s="81">
        <f>38671+(364+182)</f>
        <v>39217</v>
      </c>
      <c r="H323" s="50" t="str">
        <f t="shared" ref="H323:H386" si="15">CHOOSE(MONTH(G323),"Jan","Feb","Mar","Apr","May","Jun","Jul","Aug","Sep","Oct","Nov","Dec")</f>
        <v>May</v>
      </c>
      <c r="I323" s="51">
        <f t="shared" ref="I323:I386" ca="1" si="16">DATEDIF(G323,TODAY(),"Y")</f>
        <v>9</v>
      </c>
      <c r="J323" s="52" t="s">
        <v>257</v>
      </c>
      <c r="K323" s="53">
        <v>73830</v>
      </c>
      <c r="L323" s="54">
        <v>2</v>
      </c>
      <c r="M323" s="59">
        <f t="shared" ref="M323:M386" si="17">ROUND(K323*P321+K323,0)</f>
        <v>73830</v>
      </c>
    </row>
    <row r="324" spans="1:34">
      <c r="A324" s="39" t="s">
        <v>342</v>
      </c>
      <c r="B324" s="46" t="s">
        <v>285</v>
      </c>
      <c r="C324" s="39" t="s">
        <v>312</v>
      </c>
      <c r="D324" s="102">
        <v>653843221</v>
      </c>
      <c r="E324" s="102">
        <v>9197713771</v>
      </c>
      <c r="F324" s="39" t="s">
        <v>247</v>
      </c>
      <c r="G324" s="81">
        <f>39413+(364+182)</f>
        <v>39959</v>
      </c>
      <c r="H324" s="50" t="str">
        <f t="shared" si="15"/>
        <v>May</v>
      </c>
      <c r="I324" s="51">
        <f t="shared" ca="1" si="16"/>
        <v>7</v>
      </c>
      <c r="J324" s="52"/>
      <c r="K324" s="53">
        <v>79460</v>
      </c>
      <c r="L324" s="54">
        <v>5</v>
      </c>
      <c r="M324" s="59">
        <f t="shared" si="17"/>
        <v>79460</v>
      </c>
    </row>
    <row r="325" spans="1:34">
      <c r="A325" s="39" t="s">
        <v>385</v>
      </c>
      <c r="B325" s="46" t="s">
        <v>271</v>
      </c>
      <c r="C325" s="39" t="s">
        <v>381</v>
      </c>
      <c r="D325" s="102">
        <v>651995963</v>
      </c>
      <c r="E325" s="102">
        <v>9194944945</v>
      </c>
      <c r="F325" s="39" t="s">
        <v>252</v>
      </c>
      <c r="G325" s="103">
        <f>39767+(364+182)</f>
        <v>40313</v>
      </c>
      <c r="H325" s="50" t="str">
        <f t="shared" si="15"/>
        <v>May</v>
      </c>
      <c r="I325" s="51">
        <f t="shared" ca="1" si="16"/>
        <v>6</v>
      </c>
      <c r="J325" s="52"/>
      <c r="K325" s="53">
        <v>27484</v>
      </c>
      <c r="L325" s="54">
        <v>4</v>
      </c>
      <c r="M325" s="59">
        <f t="shared" si="17"/>
        <v>27484</v>
      </c>
      <c r="O325" s="101"/>
    </row>
    <row r="326" spans="1:34">
      <c r="A326" s="39" t="s">
        <v>623</v>
      </c>
      <c r="B326" s="46" t="s">
        <v>266</v>
      </c>
      <c r="C326" s="39" t="s">
        <v>618</v>
      </c>
      <c r="D326" s="102">
        <v>723930767</v>
      </c>
      <c r="E326" s="102">
        <v>9191375297</v>
      </c>
      <c r="F326" s="39" t="s">
        <v>256</v>
      </c>
      <c r="G326" s="103">
        <f>39767+(364+182)</f>
        <v>40313</v>
      </c>
      <c r="H326" s="50" t="str">
        <f t="shared" si="15"/>
        <v>May</v>
      </c>
      <c r="I326" s="51">
        <f t="shared" ca="1" si="16"/>
        <v>6</v>
      </c>
      <c r="J326" s="52" t="s">
        <v>283</v>
      </c>
      <c r="K326" s="53">
        <v>27250</v>
      </c>
      <c r="L326" s="54">
        <v>5</v>
      </c>
      <c r="M326" s="59">
        <f t="shared" si="17"/>
        <v>27250</v>
      </c>
    </row>
    <row r="327" spans="1:34">
      <c r="A327" s="39" t="s">
        <v>615</v>
      </c>
      <c r="B327" s="46" t="s">
        <v>271</v>
      </c>
      <c r="C327" s="39" t="s">
        <v>465</v>
      </c>
      <c r="D327" s="102">
        <v>843064707</v>
      </c>
      <c r="E327" s="102">
        <v>9192687844</v>
      </c>
      <c r="F327" s="39" t="s">
        <v>247</v>
      </c>
      <c r="G327" s="103">
        <f>40134+(364+182)</f>
        <v>40680</v>
      </c>
      <c r="H327" s="50" t="str">
        <f t="shared" si="15"/>
        <v>May</v>
      </c>
      <c r="I327" s="51">
        <f t="shared" ca="1" si="16"/>
        <v>5</v>
      </c>
      <c r="J327" s="52"/>
      <c r="K327" s="53">
        <v>57110</v>
      </c>
      <c r="L327" s="54">
        <v>3</v>
      </c>
      <c r="M327" s="59">
        <f t="shared" si="17"/>
        <v>57110</v>
      </c>
    </row>
    <row r="328" spans="1:34">
      <c r="A328" s="39" t="s">
        <v>990</v>
      </c>
      <c r="B328" s="46" t="s">
        <v>271</v>
      </c>
      <c r="C328" s="39" t="s">
        <v>930</v>
      </c>
      <c r="D328" s="102">
        <v>308317457</v>
      </c>
      <c r="E328" s="102">
        <v>9192729524</v>
      </c>
      <c r="F328" s="39" t="s">
        <v>256</v>
      </c>
      <c r="G328" s="103">
        <f>40134+(364+182)</f>
        <v>40680</v>
      </c>
      <c r="H328" s="50" t="str">
        <f t="shared" si="15"/>
        <v>May</v>
      </c>
      <c r="I328" s="51">
        <f t="shared" ca="1" si="16"/>
        <v>5</v>
      </c>
      <c r="J328" s="52" t="s">
        <v>257</v>
      </c>
      <c r="K328" s="53">
        <v>23030</v>
      </c>
      <c r="L328" s="54">
        <v>4</v>
      </c>
      <c r="M328" s="59">
        <f t="shared" si="17"/>
        <v>23030</v>
      </c>
    </row>
    <row r="329" spans="1:34">
      <c r="A329" s="39" t="s">
        <v>1009</v>
      </c>
      <c r="B329" s="46" t="s">
        <v>271</v>
      </c>
      <c r="C329" s="39" t="s">
        <v>930</v>
      </c>
      <c r="D329" s="102">
        <v>159594851</v>
      </c>
      <c r="E329" s="102">
        <v>9194084456</v>
      </c>
      <c r="F329" s="39" t="s">
        <v>256</v>
      </c>
      <c r="G329" s="103">
        <f>40134+(364+182)</f>
        <v>40680</v>
      </c>
      <c r="H329" s="50" t="str">
        <f t="shared" si="15"/>
        <v>May</v>
      </c>
      <c r="I329" s="51">
        <f t="shared" ca="1" si="16"/>
        <v>5</v>
      </c>
      <c r="J329" s="52" t="s">
        <v>276</v>
      </c>
      <c r="K329" s="53">
        <v>40260</v>
      </c>
      <c r="L329" s="54">
        <v>5</v>
      </c>
      <c r="M329" s="59">
        <f t="shared" si="17"/>
        <v>40260</v>
      </c>
    </row>
    <row r="330" spans="1:34">
      <c r="A330" s="39" t="s">
        <v>962</v>
      </c>
      <c r="B330" s="46" t="s">
        <v>285</v>
      </c>
      <c r="C330" s="39" t="s">
        <v>930</v>
      </c>
      <c r="D330" s="102">
        <v>277423593</v>
      </c>
      <c r="E330" s="102">
        <v>9195790921</v>
      </c>
      <c r="F330" s="39" t="s">
        <v>261</v>
      </c>
      <c r="G330" s="81">
        <f>32845+(364+182)</f>
        <v>33391</v>
      </c>
      <c r="H330" s="50" t="str">
        <f t="shared" si="15"/>
        <v>Jun</v>
      </c>
      <c r="I330" s="51">
        <f t="shared" ca="1" si="16"/>
        <v>25</v>
      </c>
      <c r="J330" s="52" t="s">
        <v>283</v>
      </c>
      <c r="K330" s="53">
        <v>13455</v>
      </c>
      <c r="L330" s="54">
        <v>2</v>
      </c>
      <c r="M330" s="59">
        <f t="shared" si="17"/>
        <v>13455</v>
      </c>
    </row>
    <row r="331" spans="1:34">
      <c r="A331" s="39" t="s">
        <v>989</v>
      </c>
      <c r="B331" s="46" t="s">
        <v>245</v>
      </c>
      <c r="C331" s="39" t="s">
        <v>930</v>
      </c>
      <c r="D331" s="102">
        <v>877574472</v>
      </c>
      <c r="E331" s="102">
        <v>2524100997</v>
      </c>
      <c r="F331" s="39" t="s">
        <v>247</v>
      </c>
      <c r="G331" s="81">
        <f>32855+(364+182)</f>
        <v>33401</v>
      </c>
      <c r="H331" s="50" t="str">
        <f t="shared" si="15"/>
        <v>Jun</v>
      </c>
      <c r="I331" s="51">
        <f t="shared" ca="1" si="16"/>
        <v>25</v>
      </c>
      <c r="J331" s="52"/>
      <c r="K331" s="53">
        <v>34680</v>
      </c>
      <c r="L331" s="54">
        <v>5</v>
      </c>
      <c r="M331" s="59">
        <f t="shared" si="17"/>
        <v>34680</v>
      </c>
    </row>
    <row r="332" spans="1:34">
      <c r="A332" s="39" t="s">
        <v>832</v>
      </c>
      <c r="B332" s="46" t="s">
        <v>271</v>
      </c>
      <c r="C332" s="39" t="s">
        <v>767</v>
      </c>
      <c r="D332" s="102">
        <v>462650472</v>
      </c>
      <c r="E332" s="102">
        <v>2521276517</v>
      </c>
      <c r="F332" s="39" t="s">
        <v>247</v>
      </c>
      <c r="G332" s="81">
        <f>32856+(364+182)</f>
        <v>33402</v>
      </c>
      <c r="H332" s="50" t="str">
        <f t="shared" si="15"/>
        <v>Jun</v>
      </c>
      <c r="I332" s="51">
        <f t="shared" ca="1" si="16"/>
        <v>25</v>
      </c>
      <c r="J332" s="52"/>
      <c r="K332" s="53">
        <v>79380</v>
      </c>
      <c r="L332" s="54">
        <v>1</v>
      </c>
      <c r="M332" s="59">
        <f t="shared" si="17"/>
        <v>79380</v>
      </c>
    </row>
    <row r="333" spans="1:34">
      <c r="A333" s="39" t="s">
        <v>428</v>
      </c>
      <c r="B333" s="46" t="s">
        <v>271</v>
      </c>
      <c r="C333" s="39" t="s">
        <v>417</v>
      </c>
      <c r="D333" s="102">
        <v>503349830</v>
      </c>
      <c r="E333" s="102">
        <v>9191999230</v>
      </c>
      <c r="F333" s="39" t="s">
        <v>256</v>
      </c>
      <c r="G333" s="81">
        <f>32859+(364+182)</f>
        <v>33405</v>
      </c>
      <c r="H333" s="50" t="str">
        <f t="shared" si="15"/>
        <v>Jun</v>
      </c>
      <c r="I333" s="51">
        <f t="shared" ca="1" si="16"/>
        <v>25</v>
      </c>
      <c r="J333" s="52" t="s">
        <v>283</v>
      </c>
      <c r="K333" s="53">
        <v>32140</v>
      </c>
      <c r="L333" s="54">
        <v>2</v>
      </c>
      <c r="M333" s="59">
        <f t="shared" si="17"/>
        <v>32140</v>
      </c>
    </row>
    <row r="334" spans="1:34">
      <c r="A334" s="39" t="s">
        <v>641</v>
      </c>
      <c r="B334" s="46" t="s">
        <v>251</v>
      </c>
      <c r="C334" s="39" t="s">
        <v>626</v>
      </c>
      <c r="D334" s="102">
        <v>154984918</v>
      </c>
      <c r="E334" s="102">
        <v>2521575684</v>
      </c>
      <c r="F334" s="39" t="s">
        <v>256</v>
      </c>
      <c r="G334" s="81">
        <f>32861+(364+182)</f>
        <v>33407</v>
      </c>
      <c r="H334" s="50" t="str">
        <f t="shared" si="15"/>
        <v>Jun</v>
      </c>
      <c r="I334" s="51">
        <f t="shared" ca="1" si="16"/>
        <v>25</v>
      </c>
      <c r="J334" s="52" t="s">
        <v>257</v>
      </c>
      <c r="K334" s="53">
        <v>22900</v>
      </c>
      <c r="L334" s="54">
        <v>1</v>
      </c>
      <c r="M334" s="59">
        <f t="shared" si="17"/>
        <v>22900</v>
      </c>
    </row>
    <row r="335" spans="1:34">
      <c r="A335" s="39" t="s">
        <v>994</v>
      </c>
      <c r="B335" s="46" t="s">
        <v>280</v>
      </c>
      <c r="C335" s="39" t="s">
        <v>930</v>
      </c>
      <c r="D335" s="102">
        <v>643984096</v>
      </c>
      <c r="E335" s="102">
        <v>9191630739</v>
      </c>
      <c r="F335" s="39" t="s">
        <v>247</v>
      </c>
      <c r="G335" s="81">
        <f>32867+(364+182)</f>
        <v>33413</v>
      </c>
      <c r="H335" s="50" t="str">
        <f t="shared" si="15"/>
        <v>Jun</v>
      </c>
      <c r="I335" s="51">
        <f t="shared" ca="1" si="16"/>
        <v>25</v>
      </c>
      <c r="J335" s="52"/>
      <c r="K335" s="53">
        <v>26020</v>
      </c>
      <c r="L335" s="54">
        <v>5</v>
      </c>
      <c r="M335" s="59">
        <f t="shared" si="17"/>
        <v>26020</v>
      </c>
    </row>
    <row r="336" spans="1:34">
      <c r="A336" s="39" t="s">
        <v>631</v>
      </c>
      <c r="B336" s="46" t="s">
        <v>251</v>
      </c>
      <c r="C336" s="39" t="s">
        <v>626</v>
      </c>
      <c r="D336" s="102">
        <v>159415552</v>
      </c>
      <c r="E336" s="102">
        <v>9194221208</v>
      </c>
      <c r="F336" s="39" t="s">
        <v>256</v>
      </c>
      <c r="G336" s="81">
        <f>33219+(364+182)</f>
        <v>33765</v>
      </c>
      <c r="H336" s="50" t="str">
        <f t="shared" si="15"/>
        <v>Jun</v>
      </c>
      <c r="I336" s="51">
        <f t="shared" ca="1" si="16"/>
        <v>24</v>
      </c>
      <c r="J336" s="52" t="s">
        <v>262</v>
      </c>
      <c r="K336" s="53">
        <v>73930</v>
      </c>
      <c r="L336" s="54">
        <v>1</v>
      </c>
      <c r="M336" s="59">
        <f t="shared" si="17"/>
        <v>73930</v>
      </c>
    </row>
    <row r="337" spans="1:34">
      <c r="A337" s="39" t="s">
        <v>512</v>
      </c>
      <c r="B337" s="46" t="s">
        <v>285</v>
      </c>
      <c r="C337" s="39" t="s">
        <v>465</v>
      </c>
      <c r="D337" s="102">
        <v>428024993</v>
      </c>
      <c r="E337" s="102">
        <v>9196410575</v>
      </c>
      <c r="F337" s="39" t="s">
        <v>247</v>
      </c>
      <c r="G337" s="81">
        <f>33228+(364+182)</f>
        <v>33774</v>
      </c>
      <c r="H337" s="50" t="str">
        <f t="shared" si="15"/>
        <v>Jun</v>
      </c>
      <c r="I337" s="51">
        <f t="shared" ca="1" si="16"/>
        <v>24</v>
      </c>
      <c r="J337" s="52"/>
      <c r="K337" s="53">
        <v>32190</v>
      </c>
      <c r="L337" s="54">
        <v>3</v>
      </c>
      <c r="M337" s="59">
        <f t="shared" si="17"/>
        <v>32190</v>
      </c>
    </row>
    <row r="338" spans="1:34" s="84" customFormat="1">
      <c r="A338" s="39" t="s">
        <v>988</v>
      </c>
      <c r="B338" s="46" t="s">
        <v>285</v>
      </c>
      <c r="C338" s="39" t="s">
        <v>930</v>
      </c>
      <c r="D338" s="102">
        <v>763182349</v>
      </c>
      <c r="E338" s="102">
        <v>2527780776</v>
      </c>
      <c r="F338" s="39" t="s">
        <v>247</v>
      </c>
      <c r="G338" s="81">
        <f>33580+(364+182)</f>
        <v>34126</v>
      </c>
      <c r="H338" s="50" t="str">
        <f t="shared" si="15"/>
        <v>Jun</v>
      </c>
      <c r="I338" s="51">
        <f t="shared" ca="1" si="16"/>
        <v>23</v>
      </c>
      <c r="J338" s="52"/>
      <c r="K338" s="53">
        <v>75550</v>
      </c>
      <c r="L338" s="54">
        <v>3</v>
      </c>
      <c r="M338" s="59">
        <f t="shared" si="17"/>
        <v>75550</v>
      </c>
      <c r="N338" s="100"/>
      <c r="O338" s="45"/>
      <c r="P338" s="39"/>
      <c r="Q338" s="39"/>
      <c r="R338" s="39"/>
      <c r="S338" s="39"/>
      <c r="T338" s="39"/>
      <c r="U338" s="39"/>
      <c r="V338" s="39"/>
      <c r="W338" s="39"/>
      <c r="X338" s="39"/>
      <c r="Y338" s="39"/>
      <c r="Z338" s="39"/>
      <c r="AA338" s="39"/>
      <c r="AB338" s="39"/>
      <c r="AC338" s="39"/>
      <c r="AD338" s="39"/>
      <c r="AE338" s="39"/>
      <c r="AF338" s="39"/>
      <c r="AG338" s="39"/>
      <c r="AH338" s="39"/>
    </row>
    <row r="339" spans="1:34" s="84" customFormat="1">
      <c r="A339" s="39" t="s">
        <v>1015</v>
      </c>
      <c r="B339" s="46" t="s">
        <v>280</v>
      </c>
      <c r="C339" s="39" t="s">
        <v>930</v>
      </c>
      <c r="D339" s="102">
        <v>641962645</v>
      </c>
      <c r="E339" s="102">
        <v>9196965088</v>
      </c>
      <c r="F339" s="39" t="s">
        <v>247</v>
      </c>
      <c r="G339" s="81">
        <f>33589+(364+182)</f>
        <v>34135</v>
      </c>
      <c r="H339" s="50" t="str">
        <f t="shared" si="15"/>
        <v>Jun</v>
      </c>
      <c r="I339" s="51">
        <f t="shared" ca="1" si="16"/>
        <v>23</v>
      </c>
      <c r="J339" s="52"/>
      <c r="K339" s="53">
        <v>78590</v>
      </c>
      <c r="L339" s="54">
        <v>1</v>
      </c>
      <c r="M339" s="59">
        <f t="shared" si="17"/>
        <v>78590</v>
      </c>
      <c r="N339" s="100"/>
      <c r="O339" s="45"/>
      <c r="P339" s="39"/>
      <c r="Q339" s="39"/>
      <c r="R339" s="39"/>
      <c r="S339" s="39"/>
      <c r="T339" s="39"/>
      <c r="U339" s="39"/>
      <c r="V339" s="39"/>
      <c r="W339" s="39"/>
      <c r="X339" s="39"/>
      <c r="Y339" s="39"/>
      <c r="Z339" s="39"/>
      <c r="AA339" s="39"/>
      <c r="AB339" s="39"/>
      <c r="AC339" s="39"/>
      <c r="AD339" s="39"/>
      <c r="AE339" s="39"/>
      <c r="AF339" s="39"/>
      <c r="AG339" s="39"/>
      <c r="AH339" s="39"/>
    </row>
    <row r="340" spans="1:34" s="84" customFormat="1">
      <c r="A340" s="39" t="s">
        <v>948</v>
      </c>
      <c r="B340" s="46" t="s">
        <v>285</v>
      </c>
      <c r="C340" s="39" t="s">
        <v>930</v>
      </c>
      <c r="D340" s="102">
        <v>891224981</v>
      </c>
      <c r="E340" s="102">
        <v>2526391402</v>
      </c>
      <c r="F340" s="39" t="s">
        <v>261</v>
      </c>
      <c r="G340" s="81">
        <f>33594+(364+182)</f>
        <v>34140</v>
      </c>
      <c r="H340" s="50" t="str">
        <f t="shared" si="15"/>
        <v>Jun</v>
      </c>
      <c r="I340" s="51">
        <f t="shared" ca="1" si="16"/>
        <v>23</v>
      </c>
      <c r="J340" s="52" t="s">
        <v>276</v>
      </c>
      <c r="K340" s="53">
        <v>11230</v>
      </c>
      <c r="L340" s="54">
        <v>4</v>
      </c>
      <c r="M340" s="59">
        <f t="shared" si="17"/>
        <v>11230</v>
      </c>
      <c r="N340" s="100"/>
      <c r="O340" s="45"/>
      <c r="P340" s="39"/>
      <c r="Q340" s="39"/>
      <c r="R340" s="39"/>
      <c r="S340" s="39"/>
      <c r="T340" s="39"/>
      <c r="U340" s="39"/>
      <c r="V340" s="39"/>
      <c r="W340" s="39"/>
      <c r="X340" s="39"/>
      <c r="Y340" s="39"/>
      <c r="Z340" s="39"/>
      <c r="AA340" s="39"/>
      <c r="AB340" s="39"/>
      <c r="AC340" s="39"/>
      <c r="AD340" s="39"/>
      <c r="AE340" s="39"/>
      <c r="AF340" s="39"/>
      <c r="AG340" s="39"/>
      <c r="AH340" s="39"/>
    </row>
    <row r="341" spans="1:34" s="84" customFormat="1">
      <c r="A341" s="39" t="s">
        <v>498</v>
      </c>
      <c r="B341" s="46" t="s">
        <v>271</v>
      </c>
      <c r="C341" s="39" t="s">
        <v>465</v>
      </c>
      <c r="D341" s="102">
        <v>220781349</v>
      </c>
      <c r="E341" s="102">
        <v>2525185281</v>
      </c>
      <c r="F341" s="39" t="s">
        <v>247</v>
      </c>
      <c r="G341" s="81">
        <f>33603+(364+182)</f>
        <v>34149</v>
      </c>
      <c r="H341" s="50" t="str">
        <f t="shared" si="15"/>
        <v>Jun</v>
      </c>
      <c r="I341" s="51">
        <f t="shared" ca="1" si="16"/>
        <v>23</v>
      </c>
      <c r="J341" s="52"/>
      <c r="K341" s="53">
        <v>45770</v>
      </c>
      <c r="L341" s="54">
        <v>5</v>
      </c>
      <c r="M341" s="59">
        <f t="shared" si="17"/>
        <v>45770</v>
      </c>
      <c r="N341" s="100"/>
      <c r="O341" s="45"/>
      <c r="P341" s="39"/>
      <c r="Q341" s="39"/>
      <c r="R341" s="39"/>
      <c r="S341" s="39"/>
      <c r="T341" s="39"/>
      <c r="U341" s="39"/>
      <c r="V341" s="39"/>
      <c r="W341" s="39"/>
      <c r="X341" s="39"/>
      <c r="Y341" s="39"/>
      <c r="Z341" s="39"/>
      <c r="AA341" s="39"/>
      <c r="AB341" s="39"/>
      <c r="AC341" s="39"/>
      <c r="AD341" s="39"/>
      <c r="AE341" s="39"/>
      <c r="AF341" s="39"/>
      <c r="AG341" s="39"/>
      <c r="AH341" s="39"/>
    </row>
    <row r="342" spans="1:34" s="84" customFormat="1">
      <c r="A342" s="39" t="s">
        <v>779</v>
      </c>
      <c r="B342" s="46" t="s">
        <v>285</v>
      </c>
      <c r="C342" s="39" t="s">
        <v>767</v>
      </c>
      <c r="D342" s="102">
        <v>967035612</v>
      </c>
      <c r="E342" s="102">
        <v>2528842613</v>
      </c>
      <c r="F342" s="39" t="s">
        <v>256</v>
      </c>
      <c r="G342" s="81">
        <f>33603+(364+182)</f>
        <v>34149</v>
      </c>
      <c r="H342" s="50" t="str">
        <f t="shared" si="15"/>
        <v>Jun</v>
      </c>
      <c r="I342" s="51">
        <f t="shared" ca="1" si="16"/>
        <v>23</v>
      </c>
      <c r="J342" s="52" t="s">
        <v>276</v>
      </c>
      <c r="K342" s="53">
        <v>63440</v>
      </c>
      <c r="L342" s="54">
        <v>3</v>
      </c>
      <c r="M342" s="59">
        <f t="shared" si="17"/>
        <v>63440</v>
      </c>
      <c r="N342" s="100"/>
      <c r="O342" s="45"/>
      <c r="P342" s="39"/>
      <c r="Q342" s="39"/>
      <c r="R342" s="39"/>
      <c r="S342" s="39"/>
      <c r="T342" s="39"/>
      <c r="U342" s="39"/>
      <c r="V342" s="39"/>
      <c r="W342" s="39"/>
      <c r="X342" s="39"/>
      <c r="Y342" s="39"/>
      <c r="Z342" s="39"/>
      <c r="AA342" s="39"/>
      <c r="AB342" s="39"/>
      <c r="AC342" s="39"/>
      <c r="AD342" s="39"/>
      <c r="AE342" s="39"/>
      <c r="AF342" s="39"/>
      <c r="AG342" s="39"/>
      <c r="AH342" s="39"/>
    </row>
    <row r="343" spans="1:34" s="84" customFormat="1">
      <c r="A343" s="39" t="s">
        <v>716</v>
      </c>
      <c r="B343" s="46" t="s">
        <v>251</v>
      </c>
      <c r="C343" s="39" t="s">
        <v>705</v>
      </c>
      <c r="D343" s="102">
        <v>761337848</v>
      </c>
      <c r="E343" s="102">
        <v>9193967339</v>
      </c>
      <c r="F343" s="39" t="s">
        <v>247</v>
      </c>
      <c r="G343" s="81">
        <f>33956+(364+182)</f>
        <v>34502</v>
      </c>
      <c r="H343" s="50" t="str">
        <f t="shared" si="15"/>
        <v>Jun</v>
      </c>
      <c r="I343" s="51">
        <f t="shared" ca="1" si="16"/>
        <v>22</v>
      </c>
      <c r="J343" s="52"/>
      <c r="K343" s="53">
        <v>66710</v>
      </c>
      <c r="L343" s="54">
        <v>2</v>
      </c>
      <c r="M343" s="59">
        <f t="shared" si="17"/>
        <v>66710</v>
      </c>
      <c r="N343" s="100"/>
      <c r="O343" s="45"/>
      <c r="P343" s="39"/>
      <c r="Q343" s="39"/>
      <c r="R343" s="39"/>
      <c r="S343" s="39"/>
      <c r="T343" s="39"/>
      <c r="U343" s="39"/>
      <c r="V343" s="39"/>
      <c r="W343" s="39"/>
      <c r="X343" s="39"/>
      <c r="Y343" s="39"/>
      <c r="Z343" s="39"/>
      <c r="AA343" s="39"/>
      <c r="AB343" s="39"/>
      <c r="AC343" s="39"/>
      <c r="AD343" s="39"/>
      <c r="AE343" s="39"/>
      <c r="AF343" s="39"/>
      <c r="AG343" s="39"/>
      <c r="AH343" s="39"/>
    </row>
    <row r="344" spans="1:34" s="84" customFormat="1">
      <c r="A344" s="39" t="s">
        <v>637</v>
      </c>
      <c r="B344" s="46" t="s">
        <v>285</v>
      </c>
      <c r="C344" s="39" t="s">
        <v>626</v>
      </c>
      <c r="D344" s="102">
        <v>385074661</v>
      </c>
      <c r="E344" s="102">
        <v>2527451745</v>
      </c>
      <c r="F344" s="39" t="s">
        <v>256</v>
      </c>
      <c r="G344" s="81">
        <f>34329+(364+182)</f>
        <v>34875</v>
      </c>
      <c r="H344" s="50" t="str">
        <f t="shared" si="15"/>
        <v>Jun</v>
      </c>
      <c r="I344" s="51">
        <f t="shared" ca="1" si="16"/>
        <v>21</v>
      </c>
      <c r="J344" s="52" t="s">
        <v>276</v>
      </c>
      <c r="K344" s="53">
        <v>66920</v>
      </c>
      <c r="L344" s="54">
        <v>2</v>
      </c>
      <c r="M344" s="59">
        <f t="shared" si="17"/>
        <v>66920</v>
      </c>
      <c r="N344" s="100"/>
      <c r="O344" s="45"/>
      <c r="P344" s="39"/>
      <c r="Q344" s="39"/>
      <c r="R344" s="39"/>
      <c r="S344" s="39"/>
      <c r="T344" s="39"/>
      <c r="U344" s="39"/>
      <c r="V344" s="39"/>
      <c r="W344" s="39"/>
      <c r="X344" s="39"/>
      <c r="Y344" s="39"/>
      <c r="Z344" s="39"/>
      <c r="AA344" s="39"/>
      <c r="AB344" s="39"/>
      <c r="AC344" s="39"/>
      <c r="AD344" s="39"/>
      <c r="AE344" s="39"/>
      <c r="AF344" s="39"/>
      <c r="AG344" s="39"/>
      <c r="AH344" s="39"/>
    </row>
    <row r="345" spans="1:34" s="84" customFormat="1">
      <c r="A345" s="39" t="s">
        <v>774</v>
      </c>
      <c r="B345" s="46" t="s">
        <v>271</v>
      </c>
      <c r="C345" s="39" t="s">
        <v>767</v>
      </c>
      <c r="D345" s="102">
        <v>214291610</v>
      </c>
      <c r="E345" s="102">
        <v>2523858464</v>
      </c>
      <c r="F345" s="39" t="s">
        <v>256</v>
      </c>
      <c r="G345" s="81">
        <f>34673+(364+182)</f>
        <v>35219</v>
      </c>
      <c r="H345" s="50" t="str">
        <f t="shared" si="15"/>
        <v>Jun</v>
      </c>
      <c r="I345" s="51">
        <f t="shared" ca="1" si="16"/>
        <v>20</v>
      </c>
      <c r="J345" s="52" t="s">
        <v>257</v>
      </c>
      <c r="K345" s="53">
        <v>47340</v>
      </c>
      <c r="L345" s="54">
        <v>2</v>
      </c>
      <c r="M345" s="59">
        <f t="shared" si="17"/>
        <v>47340</v>
      </c>
      <c r="N345" s="100"/>
      <c r="O345" s="45"/>
      <c r="P345" s="39"/>
      <c r="Q345" s="39"/>
      <c r="R345" s="39"/>
      <c r="S345" s="39"/>
      <c r="T345" s="39"/>
      <c r="U345" s="39"/>
      <c r="V345" s="39"/>
      <c r="W345" s="39"/>
      <c r="X345" s="39"/>
      <c r="Y345" s="39"/>
      <c r="Z345" s="39"/>
      <c r="AA345" s="39"/>
      <c r="AB345" s="39"/>
      <c r="AC345" s="39"/>
      <c r="AD345" s="39"/>
      <c r="AE345" s="39"/>
      <c r="AF345" s="39"/>
      <c r="AG345" s="39"/>
      <c r="AH345" s="39"/>
    </row>
    <row r="346" spans="1:34" s="84" customFormat="1">
      <c r="A346" s="39" t="s">
        <v>670</v>
      </c>
      <c r="B346" s="46" t="s">
        <v>245</v>
      </c>
      <c r="C346" s="39" t="s">
        <v>626</v>
      </c>
      <c r="D346" s="102">
        <v>917714039</v>
      </c>
      <c r="E346" s="102">
        <v>9194402150</v>
      </c>
      <c r="F346" s="39" t="s">
        <v>256</v>
      </c>
      <c r="G346" s="81">
        <f>34674+(364+182)</f>
        <v>35220</v>
      </c>
      <c r="H346" s="50" t="str">
        <f t="shared" si="15"/>
        <v>Jun</v>
      </c>
      <c r="I346" s="51">
        <f t="shared" ca="1" si="16"/>
        <v>20</v>
      </c>
      <c r="J346" s="52" t="s">
        <v>267</v>
      </c>
      <c r="K346" s="53">
        <v>70480</v>
      </c>
      <c r="L346" s="54">
        <v>4</v>
      </c>
      <c r="M346" s="59">
        <f t="shared" si="17"/>
        <v>70480</v>
      </c>
      <c r="N346" s="100"/>
      <c r="O346" s="45"/>
      <c r="P346" s="39"/>
      <c r="Q346" s="39"/>
      <c r="R346" s="39"/>
      <c r="S346" s="39"/>
      <c r="T346" s="39"/>
      <c r="U346" s="39"/>
      <c r="V346" s="39"/>
      <c r="W346" s="39"/>
      <c r="X346" s="39"/>
      <c r="Y346" s="39"/>
      <c r="Z346" s="39"/>
      <c r="AA346" s="39"/>
      <c r="AB346" s="39"/>
      <c r="AC346" s="39"/>
      <c r="AD346" s="39"/>
      <c r="AE346" s="39"/>
      <c r="AF346" s="39"/>
      <c r="AG346" s="39"/>
      <c r="AH346" s="39"/>
    </row>
    <row r="347" spans="1:34" s="84" customFormat="1">
      <c r="A347" s="39" t="s">
        <v>566</v>
      </c>
      <c r="B347" s="46" t="s">
        <v>271</v>
      </c>
      <c r="C347" s="39" t="s">
        <v>465</v>
      </c>
      <c r="D347" s="102">
        <v>853268713</v>
      </c>
      <c r="E347" s="102">
        <v>9192712826</v>
      </c>
      <c r="F347" s="39" t="s">
        <v>256</v>
      </c>
      <c r="G347" s="81">
        <f>35043+(364+182)</f>
        <v>35589</v>
      </c>
      <c r="H347" s="50" t="str">
        <f t="shared" si="15"/>
        <v>Jun</v>
      </c>
      <c r="I347" s="51">
        <f t="shared" ca="1" si="16"/>
        <v>19</v>
      </c>
      <c r="J347" s="52" t="s">
        <v>257</v>
      </c>
      <c r="K347" s="53">
        <v>60280</v>
      </c>
      <c r="L347" s="54">
        <v>1</v>
      </c>
      <c r="M347" s="59">
        <f t="shared" si="17"/>
        <v>60280</v>
      </c>
      <c r="N347" s="100"/>
      <c r="O347" s="45"/>
      <c r="P347" s="39"/>
      <c r="Q347" s="39"/>
      <c r="R347" s="39"/>
      <c r="S347" s="39"/>
      <c r="T347" s="39"/>
      <c r="U347" s="39"/>
      <c r="V347" s="39"/>
      <c r="W347" s="39"/>
      <c r="X347" s="39"/>
      <c r="Y347" s="39"/>
      <c r="Z347" s="39"/>
      <c r="AA347" s="39"/>
      <c r="AB347" s="39"/>
      <c r="AC347" s="39"/>
      <c r="AD347" s="39"/>
      <c r="AE347" s="39"/>
      <c r="AF347" s="39"/>
      <c r="AG347" s="39"/>
      <c r="AH347" s="39"/>
    </row>
    <row r="348" spans="1:34" s="84" customFormat="1">
      <c r="A348" s="39" t="s">
        <v>592</v>
      </c>
      <c r="B348" s="46" t="s">
        <v>251</v>
      </c>
      <c r="C348" s="39" t="s">
        <v>465</v>
      </c>
      <c r="D348" s="102">
        <v>696435191</v>
      </c>
      <c r="E348" s="102">
        <v>2527710498</v>
      </c>
      <c r="F348" s="39" t="s">
        <v>256</v>
      </c>
      <c r="G348" s="81">
        <f>35045+(364+182)</f>
        <v>35591</v>
      </c>
      <c r="H348" s="50" t="str">
        <f t="shared" si="15"/>
        <v>Jun</v>
      </c>
      <c r="I348" s="51">
        <f t="shared" ca="1" si="16"/>
        <v>19</v>
      </c>
      <c r="J348" s="52" t="s">
        <v>283</v>
      </c>
      <c r="K348" s="53">
        <v>61150</v>
      </c>
      <c r="L348" s="54">
        <v>2</v>
      </c>
      <c r="M348" s="59">
        <f t="shared" si="17"/>
        <v>61150</v>
      </c>
      <c r="N348" s="100"/>
      <c r="O348" s="45"/>
      <c r="P348" s="39"/>
      <c r="Q348" s="39"/>
      <c r="R348" s="39"/>
      <c r="S348" s="39"/>
      <c r="T348" s="39"/>
      <c r="U348" s="39"/>
      <c r="V348" s="39"/>
      <c r="W348" s="39"/>
      <c r="X348" s="39"/>
      <c r="Y348" s="39"/>
      <c r="Z348" s="39"/>
      <c r="AA348" s="39"/>
      <c r="AB348" s="39"/>
      <c r="AC348" s="39"/>
      <c r="AD348" s="39"/>
      <c r="AE348" s="39"/>
      <c r="AF348" s="39"/>
      <c r="AG348" s="39"/>
      <c r="AH348" s="39"/>
    </row>
    <row r="349" spans="1:34" s="84" customFormat="1">
      <c r="A349" s="39" t="s">
        <v>438</v>
      </c>
      <c r="B349" s="46" t="s">
        <v>271</v>
      </c>
      <c r="C349" s="39" t="s">
        <v>417</v>
      </c>
      <c r="D349" s="102">
        <v>571821715</v>
      </c>
      <c r="E349" s="102">
        <v>2527102355</v>
      </c>
      <c r="F349" s="39" t="s">
        <v>256</v>
      </c>
      <c r="G349" s="81">
        <f>35059+(364+182)</f>
        <v>35605</v>
      </c>
      <c r="H349" s="50" t="str">
        <f t="shared" si="15"/>
        <v>Jun</v>
      </c>
      <c r="I349" s="51">
        <f t="shared" ca="1" si="16"/>
        <v>19</v>
      </c>
      <c r="J349" s="52" t="s">
        <v>283</v>
      </c>
      <c r="K349" s="53">
        <v>56870</v>
      </c>
      <c r="L349" s="54">
        <v>1</v>
      </c>
      <c r="M349" s="59">
        <f t="shared" si="17"/>
        <v>56870</v>
      </c>
      <c r="N349" s="100"/>
      <c r="O349" s="45"/>
      <c r="P349" s="39"/>
      <c r="Q349" s="39"/>
      <c r="R349" s="39"/>
      <c r="S349" s="39"/>
      <c r="T349" s="39"/>
      <c r="U349" s="39"/>
      <c r="V349" s="39"/>
      <c r="W349" s="39"/>
      <c r="X349" s="39"/>
      <c r="Y349" s="39"/>
      <c r="Z349" s="39"/>
      <c r="AA349" s="39"/>
      <c r="AB349" s="39"/>
      <c r="AC349" s="39"/>
      <c r="AD349" s="39"/>
      <c r="AE349" s="39"/>
      <c r="AF349" s="39"/>
      <c r="AG349" s="39"/>
      <c r="AH349" s="39"/>
    </row>
    <row r="350" spans="1:34" s="84" customFormat="1">
      <c r="A350" s="39" t="s">
        <v>814</v>
      </c>
      <c r="B350" s="46" t="s">
        <v>285</v>
      </c>
      <c r="C350" s="39" t="s">
        <v>767</v>
      </c>
      <c r="D350" s="102">
        <v>475671127</v>
      </c>
      <c r="E350" s="102">
        <v>9196650531</v>
      </c>
      <c r="F350" s="39" t="s">
        <v>256</v>
      </c>
      <c r="G350" s="81">
        <f>35412+(364+182)</f>
        <v>35958</v>
      </c>
      <c r="H350" s="50" t="str">
        <f t="shared" si="15"/>
        <v>Jun</v>
      </c>
      <c r="I350" s="51">
        <f t="shared" ca="1" si="16"/>
        <v>18</v>
      </c>
      <c r="J350" s="52" t="s">
        <v>283</v>
      </c>
      <c r="K350" s="53">
        <v>61420</v>
      </c>
      <c r="L350" s="54">
        <v>4</v>
      </c>
      <c r="M350" s="59">
        <f t="shared" si="17"/>
        <v>61420</v>
      </c>
      <c r="N350" s="100"/>
      <c r="O350" s="45"/>
      <c r="P350" s="39"/>
      <c r="Q350" s="39"/>
      <c r="R350" s="39"/>
      <c r="S350" s="39"/>
      <c r="T350" s="39"/>
      <c r="U350" s="39"/>
      <c r="V350" s="39"/>
      <c r="W350" s="39"/>
      <c r="X350" s="39"/>
      <c r="Y350" s="39"/>
      <c r="Z350" s="39"/>
      <c r="AA350" s="39"/>
      <c r="AB350" s="39"/>
      <c r="AC350" s="39"/>
      <c r="AD350" s="39"/>
      <c r="AE350" s="39"/>
      <c r="AF350" s="39"/>
      <c r="AG350" s="39"/>
      <c r="AH350" s="39"/>
    </row>
    <row r="351" spans="1:34" s="84" customFormat="1">
      <c r="A351" s="39" t="s">
        <v>407</v>
      </c>
      <c r="B351" s="46" t="s">
        <v>271</v>
      </c>
      <c r="C351" s="39" t="s">
        <v>391</v>
      </c>
      <c r="D351" s="102">
        <v>526188716</v>
      </c>
      <c r="E351" s="102">
        <v>2527230063</v>
      </c>
      <c r="F351" s="39" t="s">
        <v>247</v>
      </c>
      <c r="G351" s="81">
        <f>35413+(364+182)</f>
        <v>35959</v>
      </c>
      <c r="H351" s="50" t="str">
        <f t="shared" si="15"/>
        <v>Jun</v>
      </c>
      <c r="I351" s="51">
        <f t="shared" ca="1" si="16"/>
        <v>18</v>
      </c>
      <c r="J351" s="52"/>
      <c r="K351" s="53">
        <v>64470</v>
      </c>
      <c r="L351" s="54">
        <v>3</v>
      </c>
      <c r="M351" s="59">
        <f t="shared" si="17"/>
        <v>64470</v>
      </c>
      <c r="N351" s="100"/>
      <c r="O351" s="45"/>
      <c r="P351" s="39"/>
      <c r="Q351" s="39"/>
      <c r="R351" s="39"/>
      <c r="S351" s="39"/>
      <c r="T351" s="39"/>
      <c r="U351" s="39"/>
      <c r="V351" s="39"/>
      <c r="W351" s="39"/>
      <c r="X351" s="39"/>
      <c r="Y351" s="39"/>
      <c r="Z351" s="39"/>
      <c r="AA351" s="39"/>
      <c r="AB351" s="39"/>
      <c r="AC351" s="39"/>
      <c r="AD351" s="39"/>
      <c r="AE351" s="39"/>
      <c r="AF351" s="39"/>
      <c r="AG351" s="39"/>
      <c r="AH351" s="39"/>
    </row>
    <row r="352" spans="1:34" s="84" customFormat="1">
      <c r="A352" s="39" t="s">
        <v>695</v>
      </c>
      <c r="B352" s="46" t="s">
        <v>271</v>
      </c>
      <c r="C352" s="39" t="s">
        <v>678</v>
      </c>
      <c r="D352" s="102">
        <v>122440839</v>
      </c>
      <c r="E352" s="102">
        <v>2526525807</v>
      </c>
      <c r="F352" s="39" t="s">
        <v>261</v>
      </c>
      <c r="G352" s="81">
        <f>35415+(364+182)</f>
        <v>35961</v>
      </c>
      <c r="H352" s="50" t="str">
        <f t="shared" si="15"/>
        <v>Jun</v>
      </c>
      <c r="I352" s="51">
        <f t="shared" ca="1" si="16"/>
        <v>18</v>
      </c>
      <c r="J352" s="52" t="s">
        <v>257</v>
      </c>
      <c r="K352" s="53">
        <v>20500</v>
      </c>
      <c r="L352" s="54">
        <v>3</v>
      </c>
      <c r="M352" s="59">
        <f t="shared" si="17"/>
        <v>20500</v>
      </c>
      <c r="N352" s="100"/>
      <c r="O352" s="45"/>
      <c r="P352" s="39"/>
      <c r="Q352" s="39"/>
      <c r="R352" s="39"/>
      <c r="S352" s="39"/>
      <c r="T352" s="39"/>
      <c r="U352" s="39"/>
      <c r="V352" s="39"/>
      <c r="W352" s="39"/>
      <c r="X352" s="39"/>
      <c r="Y352" s="39"/>
      <c r="Z352" s="39"/>
      <c r="AA352" s="39"/>
      <c r="AB352" s="39"/>
      <c r="AC352" s="39"/>
      <c r="AD352" s="39"/>
      <c r="AE352" s="39"/>
      <c r="AF352" s="39"/>
      <c r="AG352" s="39"/>
      <c r="AH352" s="39"/>
    </row>
    <row r="353" spans="1:34" s="84" customFormat="1">
      <c r="A353" s="39" t="s">
        <v>328</v>
      </c>
      <c r="B353" s="46" t="s">
        <v>245</v>
      </c>
      <c r="C353" s="39" t="s">
        <v>312</v>
      </c>
      <c r="D353" s="102">
        <v>339398339</v>
      </c>
      <c r="E353" s="102">
        <v>2527682821</v>
      </c>
      <c r="F353" s="39" t="s">
        <v>256</v>
      </c>
      <c r="G353" s="81">
        <f>35419+(364+182)</f>
        <v>35965</v>
      </c>
      <c r="H353" s="50" t="str">
        <f t="shared" si="15"/>
        <v>Jun</v>
      </c>
      <c r="I353" s="76">
        <f t="shared" ca="1" si="16"/>
        <v>18</v>
      </c>
      <c r="J353" s="77" t="s">
        <v>267</v>
      </c>
      <c r="K353" s="53">
        <v>34780</v>
      </c>
      <c r="L353" s="54">
        <v>4</v>
      </c>
      <c r="M353" s="59">
        <f t="shared" si="17"/>
        <v>34780</v>
      </c>
      <c r="N353" s="100"/>
      <c r="O353" s="45"/>
      <c r="P353" s="39"/>
      <c r="Q353" s="39"/>
      <c r="R353" s="39"/>
      <c r="S353" s="39"/>
      <c r="T353" s="39"/>
      <c r="U353" s="39"/>
      <c r="V353" s="39"/>
      <c r="W353" s="39"/>
      <c r="X353" s="39"/>
      <c r="Y353" s="39"/>
      <c r="Z353" s="39"/>
      <c r="AA353" s="39"/>
      <c r="AB353" s="39"/>
      <c r="AC353" s="39"/>
      <c r="AD353" s="39"/>
      <c r="AE353" s="39"/>
      <c r="AF353" s="39"/>
      <c r="AG353" s="39"/>
      <c r="AH353" s="39"/>
    </row>
    <row r="354" spans="1:34" s="84" customFormat="1">
      <c r="A354" s="39" t="s">
        <v>739</v>
      </c>
      <c r="B354" s="46" t="s">
        <v>271</v>
      </c>
      <c r="C354" s="39" t="s">
        <v>705</v>
      </c>
      <c r="D354" s="102">
        <v>839899522</v>
      </c>
      <c r="E354" s="102">
        <v>9195512521</v>
      </c>
      <c r="F354" s="39" t="s">
        <v>256</v>
      </c>
      <c r="G354" s="81">
        <f>35423+(364+182)</f>
        <v>35969</v>
      </c>
      <c r="H354" s="50" t="str">
        <f t="shared" si="15"/>
        <v>Jun</v>
      </c>
      <c r="I354" s="51">
        <f t="shared" ca="1" si="16"/>
        <v>18</v>
      </c>
      <c r="J354" s="52" t="s">
        <v>257</v>
      </c>
      <c r="K354" s="53">
        <v>74530</v>
      </c>
      <c r="L354" s="54">
        <v>5</v>
      </c>
      <c r="M354" s="59">
        <f t="shared" si="17"/>
        <v>74530</v>
      </c>
      <c r="N354" s="100"/>
      <c r="O354" s="45"/>
      <c r="P354" s="39"/>
      <c r="Q354" s="39"/>
      <c r="R354" s="39"/>
      <c r="S354" s="39"/>
      <c r="T354" s="39"/>
      <c r="U354" s="39"/>
      <c r="V354" s="39"/>
      <c r="W354" s="39"/>
      <c r="X354" s="39"/>
      <c r="Y354" s="39"/>
      <c r="Z354" s="39"/>
      <c r="AA354" s="39"/>
      <c r="AB354" s="39"/>
      <c r="AC354" s="39"/>
      <c r="AD354" s="39"/>
      <c r="AE354" s="39"/>
      <c r="AF354" s="39"/>
      <c r="AG354" s="39"/>
      <c r="AH354" s="39"/>
    </row>
    <row r="355" spans="1:34" s="84" customFormat="1">
      <c r="A355" s="39" t="s">
        <v>478</v>
      </c>
      <c r="B355" s="46" t="s">
        <v>285</v>
      </c>
      <c r="C355" s="39" t="s">
        <v>465</v>
      </c>
      <c r="D355" s="102">
        <v>725801036</v>
      </c>
      <c r="E355" s="102">
        <v>9195089157</v>
      </c>
      <c r="F355" s="39" t="s">
        <v>247</v>
      </c>
      <c r="G355" s="81">
        <f>35426+(364+182)</f>
        <v>35972</v>
      </c>
      <c r="H355" s="50" t="str">
        <f t="shared" si="15"/>
        <v>Jun</v>
      </c>
      <c r="I355" s="51">
        <f t="shared" ca="1" si="16"/>
        <v>18</v>
      </c>
      <c r="J355" s="52"/>
      <c r="K355" s="53">
        <v>71710</v>
      </c>
      <c r="L355" s="54">
        <v>5</v>
      </c>
      <c r="M355" s="59">
        <f t="shared" si="17"/>
        <v>71710</v>
      </c>
      <c r="N355" s="100"/>
      <c r="O355" s="45"/>
      <c r="P355" s="39"/>
      <c r="Q355" s="39"/>
      <c r="R355" s="39"/>
      <c r="S355" s="39"/>
      <c r="T355" s="39"/>
      <c r="U355" s="39"/>
      <c r="V355" s="39"/>
      <c r="W355" s="39"/>
      <c r="X355" s="39"/>
      <c r="Y355" s="39"/>
      <c r="Z355" s="39"/>
      <c r="AA355" s="39"/>
      <c r="AB355" s="39"/>
      <c r="AC355" s="39"/>
      <c r="AD355" s="39"/>
      <c r="AE355" s="39"/>
      <c r="AF355" s="39"/>
      <c r="AG355" s="39"/>
      <c r="AH355" s="39"/>
    </row>
    <row r="356" spans="1:34" s="84" customFormat="1">
      <c r="A356" s="39" t="s">
        <v>880</v>
      </c>
      <c r="B356" s="46" t="s">
        <v>285</v>
      </c>
      <c r="C356" s="39" t="s">
        <v>856</v>
      </c>
      <c r="D356" s="102">
        <v>708082156</v>
      </c>
      <c r="E356" s="102">
        <v>9194919822</v>
      </c>
      <c r="F356" s="39" t="s">
        <v>256</v>
      </c>
      <c r="G356" s="81">
        <f>35766+(364+182)</f>
        <v>36312</v>
      </c>
      <c r="H356" s="50" t="str">
        <f t="shared" si="15"/>
        <v>Jun</v>
      </c>
      <c r="I356" s="51">
        <f t="shared" ca="1" si="16"/>
        <v>17</v>
      </c>
      <c r="J356" s="52" t="s">
        <v>257</v>
      </c>
      <c r="K356" s="53">
        <v>69200</v>
      </c>
      <c r="L356" s="54">
        <v>4</v>
      </c>
      <c r="M356" s="59">
        <f t="shared" si="17"/>
        <v>69200</v>
      </c>
      <c r="N356" s="100"/>
      <c r="O356" s="45"/>
      <c r="P356" s="39"/>
      <c r="Q356" s="39"/>
      <c r="R356" s="39"/>
      <c r="S356" s="39"/>
      <c r="T356" s="39"/>
      <c r="U356" s="39"/>
      <c r="V356" s="39"/>
      <c r="W356" s="39"/>
      <c r="X356" s="39"/>
      <c r="Y356" s="39"/>
      <c r="Z356" s="39"/>
      <c r="AA356" s="39"/>
      <c r="AB356" s="39"/>
      <c r="AC356" s="39"/>
      <c r="AD356" s="39"/>
      <c r="AE356" s="39"/>
      <c r="AF356" s="39"/>
      <c r="AG356" s="39"/>
      <c r="AH356" s="39"/>
    </row>
    <row r="357" spans="1:34" s="84" customFormat="1">
      <c r="A357" s="39" t="s">
        <v>603</v>
      </c>
      <c r="B357" s="46" t="s">
        <v>285</v>
      </c>
      <c r="C357" s="39" t="s">
        <v>465</v>
      </c>
      <c r="D357" s="102">
        <v>475517002</v>
      </c>
      <c r="E357" s="102">
        <v>2523909820</v>
      </c>
      <c r="F357" s="39" t="s">
        <v>256</v>
      </c>
      <c r="G357" s="81">
        <f>35772+(364+182)</f>
        <v>36318</v>
      </c>
      <c r="H357" s="50" t="str">
        <f t="shared" si="15"/>
        <v>Jun</v>
      </c>
      <c r="I357" s="51">
        <f t="shared" ca="1" si="16"/>
        <v>17</v>
      </c>
      <c r="J357" s="52" t="s">
        <v>283</v>
      </c>
      <c r="K357" s="53">
        <v>68750</v>
      </c>
      <c r="L357" s="54">
        <v>1</v>
      </c>
      <c r="M357" s="59">
        <f t="shared" si="17"/>
        <v>68750</v>
      </c>
      <c r="N357" s="100"/>
      <c r="O357" s="45"/>
      <c r="P357" s="39"/>
      <c r="Q357" s="39"/>
      <c r="R357" s="39"/>
      <c r="S357" s="39"/>
      <c r="T357" s="39"/>
      <c r="U357" s="39"/>
      <c r="V357" s="39"/>
      <c r="W357" s="39"/>
      <c r="X357" s="39"/>
      <c r="Y357" s="39"/>
      <c r="Z357" s="39"/>
      <c r="AA357" s="39"/>
      <c r="AB357" s="39"/>
      <c r="AC357" s="39"/>
      <c r="AD357" s="39"/>
      <c r="AE357" s="39"/>
      <c r="AF357" s="39"/>
      <c r="AG357" s="39"/>
      <c r="AH357" s="39"/>
    </row>
    <row r="358" spans="1:34" s="84" customFormat="1">
      <c r="A358" s="39" t="s">
        <v>712</v>
      </c>
      <c r="B358" s="46" t="s">
        <v>271</v>
      </c>
      <c r="C358" s="39" t="s">
        <v>705</v>
      </c>
      <c r="D358" s="102">
        <v>948252103</v>
      </c>
      <c r="E358" s="102">
        <v>9197430732</v>
      </c>
      <c r="F358" s="39" t="s">
        <v>252</v>
      </c>
      <c r="G358" s="81">
        <f>35783+(364+182)</f>
        <v>36329</v>
      </c>
      <c r="H358" s="50" t="str">
        <f t="shared" si="15"/>
        <v>Jun</v>
      </c>
      <c r="I358" s="51">
        <f t="shared" ca="1" si="16"/>
        <v>17</v>
      </c>
      <c r="J358" s="52"/>
      <c r="K358" s="53">
        <v>39764</v>
      </c>
      <c r="L358" s="54">
        <v>1</v>
      </c>
      <c r="M358" s="59">
        <f t="shared" si="17"/>
        <v>39764</v>
      </c>
      <c r="N358" s="100"/>
      <c r="O358" s="45"/>
      <c r="P358" s="39"/>
      <c r="Q358" s="39"/>
      <c r="R358" s="39"/>
      <c r="S358" s="39"/>
      <c r="T358" s="39"/>
      <c r="U358" s="39"/>
      <c r="V358" s="39"/>
      <c r="W358" s="39"/>
      <c r="X358" s="39"/>
      <c r="Y358" s="39"/>
      <c r="Z358" s="39"/>
      <c r="AA358" s="39"/>
      <c r="AB358" s="39"/>
      <c r="AC358" s="39"/>
      <c r="AD358" s="39"/>
      <c r="AE358" s="39"/>
      <c r="AF358" s="39"/>
      <c r="AG358" s="39"/>
      <c r="AH358" s="39"/>
    </row>
    <row r="359" spans="1:34" s="84" customFormat="1">
      <c r="A359" s="39" t="s">
        <v>1010</v>
      </c>
      <c r="B359" s="46" t="s">
        <v>271</v>
      </c>
      <c r="C359" s="39" t="s">
        <v>930</v>
      </c>
      <c r="D359" s="102">
        <v>876082195</v>
      </c>
      <c r="E359" s="102">
        <v>2526049607</v>
      </c>
      <c r="F359" s="39" t="s">
        <v>256</v>
      </c>
      <c r="G359" s="81">
        <f>35784+(364+182)</f>
        <v>36330</v>
      </c>
      <c r="H359" s="50" t="str">
        <f t="shared" si="15"/>
        <v>Jun</v>
      </c>
      <c r="I359" s="51">
        <f t="shared" ca="1" si="16"/>
        <v>17</v>
      </c>
      <c r="J359" s="52" t="s">
        <v>276</v>
      </c>
      <c r="K359" s="53">
        <v>61850</v>
      </c>
      <c r="L359" s="54">
        <v>2</v>
      </c>
      <c r="M359" s="59">
        <f t="shared" si="17"/>
        <v>61850</v>
      </c>
      <c r="N359" s="100"/>
      <c r="O359" s="45"/>
      <c r="P359" s="39"/>
      <c r="Q359" s="39"/>
      <c r="R359" s="39"/>
      <c r="S359" s="39"/>
      <c r="T359" s="39"/>
      <c r="U359" s="39"/>
      <c r="V359" s="39"/>
      <c r="W359" s="39"/>
      <c r="X359" s="39"/>
      <c r="Y359" s="39"/>
      <c r="Z359" s="39"/>
      <c r="AA359" s="39"/>
      <c r="AB359" s="39"/>
      <c r="AC359" s="39"/>
      <c r="AD359" s="39"/>
      <c r="AE359" s="39"/>
      <c r="AF359" s="39"/>
      <c r="AG359" s="39"/>
      <c r="AH359" s="39"/>
    </row>
    <row r="360" spans="1:34" s="84" customFormat="1">
      <c r="A360" s="39" t="s">
        <v>468</v>
      </c>
      <c r="B360" s="46" t="s">
        <v>285</v>
      </c>
      <c r="C360" s="39" t="s">
        <v>465</v>
      </c>
      <c r="D360" s="102">
        <v>319449613</v>
      </c>
      <c r="E360" s="102">
        <v>2523454032</v>
      </c>
      <c r="F360" s="39" t="s">
        <v>256</v>
      </c>
      <c r="G360" s="81">
        <f>35786+(364+182)</f>
        <v>36332</v>
      </c>
      <c r="H360" s="50" t="str">
        <f t="shared" si="15"/>
        <v>Jun</v>
      </c>
      <c r="I360" s="51">
        <f t="shared" ca="1" si="16"/>
        <v>17</v>
      </c>
      <c r="J360" s="52" t="s">
        <v>267</v>
      </c>
      <c r="K360" s="53">
        <v>37760</v>
      </c>
      <c r="L360" s="54">
        <v>2</v>
      </c>
      <c r="M360" s="59">
        <f t="shared" si="17"/>
        <v>37760</v>
      </c>
      <c r="N360" s="100"/>
      <c r="O360" s="45"/>
      <c r="P360" s="39"/>
      <c r="Q360" s="39"/>
      <c r="R360" s="39"/>
      <c r="S360" s="39"/>
      <c r="T360" s="39"/>
      <c r="U360" s="39"/>
      <c r="V360" s="39"/>
      <c r="W360" s="39"/>
      <c r="X360" s="39"/>
      <c r="Y360" s="39"/>
      <c r="Z360" s="39"/>
      <c r="AA360" s="39"/>
      <c r="AB360" s="39"/>
      <c r="AC360" s="39"/>
      <c r="AD360" s="39"/>
      <c r="AE360" s="39"/>
      <c r="AF360" s="39"/>
      <c r="AG360" s="39"/>
      <c r="AH360" s="39"/>
    </row>
    <row r="361" spans="1:34" s="84" customFormat="1">
      <c r="A361" s="39" t="s">
        <v>820</v>
      </c>
      <c r="B361" s="46" t="s">
        <v>285</v>
      </c>
      <c r="C361" s="39" t="s">
        <v>767</v>
      </c>
      <c r="D361" s="102">
        <v>552528553</v>
      </c>
      <c r="E361" s="102">
        <v>9194310812</v>
      </c>
      <c r="F361" s="39" t="s">
        <v>252</v>
      </c>
      <c r="G361" s="81">
        <f>35794+(364+182)</f>
        <v>36340</v>
      </c>
      <c r="H361" s="50" t="str">
        <f t="shared" si="15"/>
        <v>Jun</v>
      </c>
      <c r="I361" s="51">
        <f t="shared" ca="1" si="16"/>
        <v>17</v>
      </c>
      <c r="J361" s="52"/>
      <c r="K361" s="53">
        <v>37016</v>
      </c>
      <c r="L361" s="54">
        <v>4</v>
      </c>
      <c r="M361" s="59">
        <f t="shared" si="17"/>
        <v>37016</v>
      </c>
      <c r="N361" s="100"/>
      <c r="O361" s="45"/>
      <c r="P361" s="39"/>
      <c r="Q361" s="39"/>
      <c r="R361" s="39"/>
      <c r="S361" s="39"/>
      <c r="T361" s="39"/>
      <c r="U361" s="39"/>
      <c r="V361" s="39"/>
      <c r="W361" s="39"/>
      <c r="X361" s="39"/>
      <c r="Y361" s="39"/>
      <c r="Z361" s="39"/>
      <c r="AA361" s="39"/>
      <c r="AB361" s="39"/>
      <c r="AC361" s="39"/>
      <c r="AD361" s="39"/>
      <c r="AE361" s="39"/>
      <c r="AF361" s="39"/>
      <c r="AG361" s="39"/>
      <c r="AH361" s="39"/>
    </row>
    <row r="362" spans="1:34" s="84" customFormat="1">
      <c r="A362" s="39" t="s">
        <v>731</v>
      </c>
      <c r="B362" s="46" t="s">
        <v>285</v>
      </c>
      <c r="C362" s="39" t="s">
        <v>705</v>
      </c>
      <c r="D362" s="102">
        <v>489013842</v>
      </c>
      <c r="E362" s="102">
        <v>2521658481</v>
      </c>
      <c r="F362" s="39" t="s">
        <v>261</v>
      </c>
      <c r="G362" s="81">
        <f>36149+(364+182)</f>
        <v>36695</v>
      </c>
      <c r="H362" s="50" t="str">
        <f t="shared" si="15"/>
        <v>Jun</v>
      </c>
      <c r="I362" s="51">
        <f t="shared" ca="1" si="16"/>
        <v>16</v>
      </c>
      <c r="J362" s="52" t="s">
        <v>283</v>
      </c>
      <c r="K362" s="53">
        <v>29005</v>
      </c>
      <c r="L362" s="54">
        <v>1</v>
      </c>
      <c r="M362" s="59">
        <f t="shared" si="17"/>
        <v>29005</v>
      </c>
      <c r="N362" s="100"/>
      <c r="O362" s="45"/>
      <c r="P362" s="39"/>
      <c r="Q362" s="39"/>
      <c r="R362" s="39"/>
      <c r="S362" s="39"/>
      <c r="T362" s="39"/>
      <c r="U362" s="39"/>
      <c r="V362" s="39"/>
      <c r="W362" s="39"/>
      <c r="X362" s="39"/>
      <c r="Y362" s="39"/>
      <c r="Z362" s="39"/>
      <c r="AA362" s="39"/>
      <c r="AB362" s="39"/>
      <c r="AC362" s="39"/>
      <c r="AD362" s="39"/>
      <c r="AE362" s="39"/>
      <c r="AF362" s="39"/>
      <c r="AG362" s="39"/>
      <c r="AH362" s="39"/>
    </row>
    <row r="363" spans="1:34" s="84" customFormat="1">
      <c r="A363" s="39" t="s">
        <v>535</v>
      </c>
      <c r="B363" s="46" t="s">
        <v>245</v>
      </c>
      <c r="C363" s="39" t="s">
        <v>465</v>
      </c>
      <c r="D363" s="102">
        <v>353414196</v>
      </c>
      <c r="E363" s="102">
        <v>2528159919</v>
      </c>
      <c r="F363" s="39" t="s">
        <v>256</v>
      </c>
      <c r="G363" s="81">
        <f>36152+(364+182)</f>
        <v>36698</v>
      </c>
      <c r="H363" s="50" t="str">
        <f t="shared" si="15"/>
        <v>Jun</v>
      </c>
      <c r="I363" s="51">
        <f t="shared" ca="1" si="16"/>
        <v>16</v>
      </c>
      <c r="J363" s="52" t="s">
        <v>267</v>
      </c>
      <c r="K363" s="53">
        <v>23650</v>
      </c>
      <c r="L363" s="54">
        <v>1</v>
      </c>
      <c r="M363" s="59">
        <f t="shared" si="17"/>
        <v>23650</v>
      </c>
      <c r="N363" s="100"/>
      <c r="O363" s="45"/>
      <c r="P363" s="39"/>
      <c r="Q363" s="39"/>
      <c r="R363" s="39"/>
      <c r="S363" s="39"/>
      <c r="T363" s="39"/>
      <c r="U363" s="39"/>
      <c r="V363" s="39"/>
      <c r="W363" s="39"/>
      <c r="X363" s="39"/>
      <c r="Y363" s="39"/>
      <c r="Z363" s="39"/>
      <c r="AA363" s="39"/>
      <c r="AB363" s="39"/>
      <c r="AC363" s="39"/>
      <c r="AD363" s="39"/>
      <c r="AE363" s="39"/>
      <c r="AF363" s="39"/>
      <c r="AG363" s="39"/>
      <c r="AH363" s="39"/>
    </row>
    <row r="364" spans="1:34" s="84" customFormat="1">
      <c r="A364" s="39" t="s">
        <v>658</v>
      </c>
      <c r="B364" s="46" t="s">
        <v>285</v>
      </c>
      <c r="C364" s="39" t="s">
        <v>626</v>
      </c>
      <c r="D364" s="102">
        <v>157257652</v>
      </c>
      <c r="E364" s="102">
        <v>9193262077</v>
      </c>
      <c r="F364" s="39" t="s">
        <v>247</v>
      </c>
      <c r="G364" s="81">
        <f>36157+(364+182)</f>
        <v>36703</v>
      </c>
      <c r="H364" s="50" t="str">
        <f t="shared" si="15"/>
        <v>Jun</v>
      </c>
      <c r="I364" s="51">
        <f t="shared" ca="1" si="16"/>
        <v>16</v>
      </c>
      <c r="J364" s="52"/>
      <c r="K364" s="53">
        <v>50200</v>
      </c>
      <c r="L364" s="54">
        <v>4</v>
      </c>
      <c r="M364" s="59">
        <f t="shared" si="17"/>
        <v>50200</v>
      </c>
      <c r="N364" s="100"/>
      <c r="O364" s="45"/>
      <c r="P364" s="39"/>
      <c r="Q364" s="39"/>
      <c r="R364" s="39"/>
      <c r="S364" s="39"/>
      <c r="T364" s="39"/>
      <c r="U364" s="39"/>
      <c r="V364" s="39"/>
      <c r="W364" s="39"/>
      <c r="X364" s="39"/>
      <c r="Y364" s="39"/>
      <c r="Z364" s="39"/>
      <c r="AA364" s="39"/>
      <c r="AB364" s="39"/>
      <c r="AC364" s="39"/>
      <c r="AD364" s="39"/>
      <c r="AE364" s="39"/>
      <c r="AF364" s="39"/>
      <c r="AG364" s="39"/>
      <c r="AH364" s="39"/>
    </row>
    <row r="365" spans="1:34" s="84" customFormat="1">
      <c r="A365" s="39" t="s">
        <v>483</v>
      </c>
      <c r="B365" s="46" t="s">
        <v>280</v>
      </c>
      <c r="C365" s="39" t="s">
        <v>465</v>
      </c>
      <c r="D365" s="102">
        <v>826450563</v>
      </c>
      <c r="E365" s="102">
        <v>9196607355</v>
      </c>
      <c r="F365" s="39" t="s">
        <v>247</v>
      </c>
      <c r="G365" s="81">
        <f>36158+(364+182)</f>
        <v>36704</v>
      </c>
      <c r="H365" s="50" t="str">
        <f t="shared" si="15"/>
        <v>Jun</v>
      </c>
      <c r="I365" s="51">
        <f t="shared" ca="1" si="16"/>
        <v>16</v>
      </c>
      <c r="J365" s="52"/>
      <c r="K365" s="53">
        <v>57760</v>
      </c>
      <c r="L365" s="54">
        <v>3</v>
      </c>
      <c r="M365" s="59">
        <f t="shared" si="17"/>
        <v>57760</v>
      </c>
      <c r="N365" s="100"/>
      <c r="O365" s="45"/>
      <c r="P365" s="39"/>
      <c r="Q365" s="39"/>
      <c r="R365" s="39"/>
      <c r="S365" s="39"/>
      <c r="T365" s="39"/>
      <c r="U365" s="39"/>
      <c r="V365" s="39"/>
      <c r="W365" s="39"/>
      <c r="X365" s="39"/>
      <c r="Y365" s="39"/>
      <c r="Z365" s="39"/>
      <c r="AA365" s="39"/>
      <c r="AB365" s="39"/>
      <c r="AC365" s="39"/>
      <c r="AD365" s="39"/>
      <c r="AE365" s="39"/>
      <c r="AF365" s="39"/>
      <c r="AG365" s="39"/>
      <c r="AH365" s="39"/>
    </row>
    <row r="366" spans="1:34" s="84" customFormat="1">
      <c r="A366" s="39" t="s">
        <v>613</v>
      </c>
      <c r="B366" s="46" t="s">
        <v>285</v>
      </c>
      <c r="C366" s="39" t="s">
        <v>465</v>
      </c>
      <c r="D366" s="102">
        <v>589649495</v>
      </c>
      <c r="E366" s="102">
        <v>2524248455</v>
      </c>
      <c r="F366" s="39" t="s">
        <v>256</v>
      </c>
      <c r="G366" s="81">
        <f>36161+(364+182)</f>
        <v>36707</v>
      </c>
      <c r="H366" s="50" t="str">
        <f t="shared" si="15"/>
        <v>Jun</v>
      </c>
      <c r="I366" s="51">
        <f t="shared" ca="1" si="16"/>
        <v>16</v>
      </c>
      <c r="J366" s="52" t="s">
        <v>276</v>
      </c>
      <c r="K366" s="53">
        <v>38870</v>
      </c>
      <c r="L366" s="54">
        <v>2</v>
      </c>
      <c r="M366" s="59">
        <f t="shared" si="17"/>
        <v>38870</v>
      </c>
      <c r="N366" s="100"/>
      <c r="O366" s="45"/>
      <c r="P366" s="39"/>
      <c r="Q366" s="39"/>
      <c r="R366" s="39"/>
      <c r="S366" s="39"/>
      <c r="T366" s="39"/>
      <c r="U366" s="39"/>
      <c r="V366" s="39"/>
      <c r="W366" s="39"/>
      <c r="X366" s="39"/>
      <c r="Y366" s="39"/>
      <c r="Z366" s="39"/>
      <c r="AA366" s="39"/>
      <c r="AB366" s="39"/>
      <c r="AC366" s="39"/>
      <c r="AD366" s="39"/>
      <c r="AE366" s="39"/>
      <c r="AF366" s="39"/>
      <c r="AG366" s="39"/>
      <c r="AH366" s="39"/>
    </row>
    <row r="367" spans="1:34" s="84" customFormat="1">
      <c r="A367" s="39" t="s">
        <v>460</v>
      </c>
      <c r="B367" s="46" t="s">
        <v>280</v>
      </c>
      <c r="C367" s="39" t="s">
        <v>456</v>
      </c>
      <c r="D367" s="102">
        <v>477110649</v>
      </c>
      <c r="E367" s="102">
        <v>9191351512</v>
      </c>
      <c r="F367" s="39" t="s">
        <v>256</v>
      </c>
      <c r="G367" s="81">
        <f>36497+(364+182)</f>
        <v>37043</v>
      </c>
      <c r="H367" s="50" t="str">
        <f t="shared" si="15"/>
        <v>Jun</v>
      </c>
      <c r="I367" s="51">
        <f t="shared" ca="1" si="16"/>
        <v>15</v>
      </c>
      <c r="J367" s="52" t="s">
        <v>262</v>
      </c>
      <c r="K367" s="53">
        <v>45150</v>
      </c>
      <c r="L367" s="54">
        <v>1</v>
      </c>
      <c r="M367" s="59">
        <f t="shared" si="17"/>
        <v>45150</v>
      </c>
      <c r="N367" s="100"/>
      <c r="O367" s="45"/>
      <c r="P367" s="39"/>
      <c r="Q367" s="39"/>
      <c r="R367" s="39"/>
      <c r="S367" s="39"/>
      <c r="T367" s="39"/>
      <c r="U367" s="39"/>
      <c r="V367" s="39"/>
      <c r="W367" s="39"/>
      <c r="X367" s="39"/>
      <c r="Y367" s="39"/>
      <c r="Z367" s="39"/>
      <c r="AA367" s="39"/>
      <c r="AB367" s="39"/>
      <c r="AC367" s="39"/>
      <c r="AD367" s="39"/>
      <c r="AE367" s="39"/>
      <c r="AF367" s="39"/>
      <c r="AG367" s="39"/>
      <c r="AH367" s="39"/>
    </row>
    <row r="368" spans="1:34" s="84" customFormat="1">
      <c r="A368" s="39" t="s">
        <v>972</v>
      </c>
      <c r="B368" s="46" t="s">
        <v>266</v>
      </c>
      <c r="C368" s="39" t="s">
        <v>930</v>
      </c>
      <c r="D368" s="102">
        <v>592709648</v>
      </c>
      <c r="E368" s="102">
        <v>9191797370</v>
      </c>
      <c r="F368" s="39" t="s">
        <v>247</v>
      </c>
      <c r="G368" s="81">
        <f>36519+(364+182)</f>
        <v>37065</v>
      </c>
      <c r="H368" s="50" t="str">
        <f t="shared" si="15"/>
        <v>Jun</v>
      </c>
      <c r="I368" s="51">
        <f t="shared" ca="1" si="16"/>
        <v>15</v>
      </c>
      <c r="J368" s="52"/>
      <c r="K368" s="53">
        <v>77136</v>
      </c>
      <c r="L368" s="54">
        <v>5</v>
      </c>
      <c r="M368" s="59">
        <f t="shared" si="17"/>
        <v>77136</v>
      </c>
      <c r="N368" s="100"/>
      <c r="O368" s="45"/>
      <c r="P368" s="39"/>
      <c r="Q368" s="39"/>
      <c r="R368" s="39"/>
      <c r="S368" s="39"/>
      <c r="T368" s="39"/>
      <c r="U368" s="39"/>
      <c r="V368" s="39"/>
      <c r="W368" s="39"/>
      <c r="X368" s="39"/>
      <c r="Y368" s="39"/>
      <c r="Z368" s="39"/>
      <c r="AA368" s="39"/>
      <c r="AB368" s="39"/>
      <c r="AC368" s="39"/>
      <c r="AD368" s="39"/>
      <c r="AE368" s="39"/>
      <c r="AF368" s="39"/>
      <c r="AG368" s="39"/>
      <c r="AH368" s="39"/>
    </row>
    <row r="369" spans="1:34" s="84" customFormat="1">
      <c r="A369" s="39" t="s">
        <v>470</v>
      </c>
      <c r="B369" s="46" t="s">
        <v>285</v>
      </c>
      <c r="C369" s="39" t="s">
        <v>465</v>
      </c>
      <c r="D369" s="102">
        <v>894030119</v>
      </c>
      <c r="E369" s="102">
        <v>2528652588</v>
      </c>
      <c r="F369" s="39" t="s">
        <v>256</v>
      </c>
      <c r="G369" s="81">
        <f>36522+(364+182)</f>
        <v>37068</v>
      </c>
      <c r="H369" s="50" t="str">
        <f t="shared" si="15"/>
        <v>Jun</v>
      </c>
      <c r="I369" s="51">
        <f t="shared" ca="1" si="16"/>
        <v>15</v>
      </c>
      <c r="J369" s="52" t="s">
        <v>262</v>
      </c>
      <c r="K369" s="53">
        <v>66010</v>
      </c>
      <c r="L369" s="54">
        <v>5</v>
      </c>
      <c r="M369" s="59">
        <f t="shared" si="17"/>
        <v>66010</v>
      </c>
      <c r="N369" s="100"/>
      <c r="O369" s="45"/>
      <c r="P369" s="39"/>
      <c r="Q369" s="39"/>
      <c r="R369" s="39"/>
      <c r="S369" s="39"/>
      <c r="T369" s="39"/>
      <c r="U369" s="39"/>
      <c r="V369" s="39"/>
      <c r="W369" s="39"/>
      <c r="X369" s="39"/>
      <c r="Y369" s="39"/>
      <c r="Z369" s="39"/>
      <c r="AA369" s="39"/>
      <c r="AB369" s="39"/>
      <c r="AC369" s="39"/>
      <c r="AD369" s="39"/>
      <c r="AE369" s="39"/>
      <c r="AF369" s="39"/>
      <c r="AG369" s="39"/>
      <c r="AH369" s="39"/>
    </row>
    <row r="370" spans="1:34">
      <c r="A370" s="39" t="s">
        <v>541</v>
      </c>
      <c r="B370" s="46" t="s">
        <v>271</v>
      </c>
      <c r="C370" s="39" t="s">
        <v>465</v>
      </c>
      <c r="D370" s="102">
        <v>512405919</v>
      </c>
      <c r="E370" s="102">
        <v>9195858234</v>
      </c>
      <c r="F370" s="39" t="s">
        <v>256</v>
      </c>
      <c r="G370" s="81">
        <f>36890+(364+182)</f>
        <v>37436</v>
      </c>
      <c r="H370" s="50" t="str">
        <f t="shared" si="15"/>
        <v>Jun</v>
      </c>
      <c r="I370" s="51">
        <f t="shared" ca="1" si="16"/>
        <v>14</v>
      </c>
      <c r="J370" s="52" t="s">
        <v>267</v>
      </c>
      <c r="K370" s="53">
        <v>64130</v>
      </c>
      <c r="L370" s="54">
        <v>1</v>
      </c>
      <c r="M370" s="59">
        <f t="shared" si="17"/>
        <v>64130</v>
      </c>
    </row>
    <row r="371" spans="1:34">
      <c r="A371" s="39" t="s">
        <v>914</v>
      </c>
      <c r="B371" s="46" t="s">
        <v>245</v>
      </c>
      <c r="C371" s="39" t="s">
        <v>856</v>
      </c>
      <c r="D371" s="102">
        <v>357568979</v>
      </c>
      <c r="E371" s="102">
        <v>2524316324</v>
      </c>
      <c r="F371" s="39" t="s">
        <v>261</v>
      </c>
      <c r="G371" s="81">
        <f>37229+(364+182)</f>
        <v>37775</v>
      </c>
      <c r="H371" s="50" t="str">
        <f t="shared" si="15"/>
        <v>Jun</v>
      </c>
      <c r="I371" s="51">
        <f t="shared" ca="1" si="16"/>
        <v>13</v>
      </c>
      <c r="J371" s="52" t="s">
        <v>262</v>
      </c>
      <c r="K371" s="53">
        <v>28525</v>
      </c>
      <c r="L371" s="54">
        <v>4</v>
      </c>
      <c r="M371" s="59">
        <f t="shared" si="17"/>
        <v>28525</v>
      </c>
    </row>
    <row r="372" spans="1:34">
      <c r="A372" s="39" t="s">
        <v>288</v>
      </c>
      <c r="B372" s="46" t="s">
        <v>271</v>
      </c>
      <c r="C372" s="39" t="s">
        <v>272</v>
      </c>
      <c r="D372" s="102">
        <v>781913936</v>
      </c>
      <c r="E372" s="102">
        <v>9197889149</v>
      </c>
      <c r="F372" s="39" t="s">
        <v>261</v>
      </c>
      <c r="G372" s="81">
        <f>37236+(364+182)</f>
        <v>37782</v>
      </c>
      <c r="H372" s="50" t="str">
        <f t="shared" si="15"/>
        <v>Jun</v>
      </c>
      <c r="I372" s="51">
        <f t="shared" ca="1" si="16"/>
        <v>13</v>
      </c>
      <c r="J372" s="52" t="s">
        <v>276</v>
      </c>
      <c r="K372" s="53">
        <v>17735</v>
      </c>
      <c r="L372" s="54">
        <v>3</v>
      </c>
      <c r="M372" s="59">
        <f t="shared" si="17"/>
        <v>17735</v>
      </c>
    </row>
    <row r="373" spans="1:34">
      <c r="A373" s="39" t="s">
        <v>331</v>
      </c>
      <c r="B373" s="46" t="s">
        <v>285</v>
      </c>
      <c r="C373" s="39" t="s">
        <v>312</v>
      </c>
      <c r="D373" s="102">
        <v>252276921</v>
      </c>
      <c r="E373" s="102">
        <v>2525777345</v>
      </c>
      <c r="F373" s="39" t="s">
        <v>256</v>
      </c>
      <c r="G373" s="81">
        <f>37239+(364+182)</f>
        <v>37785</v>
      </c>
      <c r="H373" s="50" t="str">
        <f t="shared" si="15"/>
        <v>Jun</v>
      </c>
      <c r="I373" s="51">
        <f t="shared" ca="1" si="16"/>
        <v>13</v>
      </c>
      <c r="J373" s="52" t="s">
        <v>283</v>
      </c>
      <c r="K373" s="53">
        <v>87280</v>
      </c>
      <c r="L373" s="54">
        <v>4</v>
      </c>
      <c r="M373" s="59">
        <f t="shared" si="17"/>
        <v>87280</v>
      </c>
    </row>
    <row r="374" spans="1:34">
      <c r="A374" s="39" t="s">
        <v>906</v>
      </c>
      <c r="B374" s="46" t="s">
        <v>280</v>
      </c>
      <c r="C374" s="39" t="s">
        <v>856</v>
      </c>
      <c r="D374" s="102">
        <v>531654742</v>
      </c>
      <c r="E374" s="102">
        <v>9195770085</v>
      </c>
      <c r="F374" s="39" t="s">
        <v>256</v>
      </c>
      <c r="G374" s="81">
        <f>37247+(364+182)</f>
        <v>37793</v>
      </c>
      <c r="H374" s="50" t="str">
        <f t="shared" si="15"/>
        <v>Jun</v>
      </c>
      <c r="I374" s="51">
        <f t="shared" ca="1" si="16"/>
        <v>13</v>
      </c>
      <c r="J374" s="52" t="s">
        <v>257</v>
      </c>
      <c r="K374" s="53">
        <v>29210</v>
      </c>
      <c r="L374" s="54">
        <v>5</v>
      </c>
      <c r="M374" s="59">
        <f t="shared" si="17"/>
        <v>29210</v>
      </c>
    </row>
    <row r="375" spans="1:34">
      <c r="A375" s="45" t="s">
        <v>277</v>
      </c>
      <c r="B375" s="46" t="s">
        <v>271</v>
      </c>
      <c r="C375" s="45" t="s">
        <v>272</v>
      </c>
      <c r="D375" s="106">
        <v>638271383</v>
      </c>
      <c r="E375" s="106">
        <v>2521641031</v>
      </c>
      <c r="F375" s="45" t="s">
        <v>256</v>
      </c>
      <c r="G375" s="105">
        <f>37596+(364+182)</f>
        <v>38142</v>
      </c>
      <c r="H375" s="50" t="str">
        <f t="shared" si="15"/>
        <v>Jun</v>
      </c>
      <c r="I375" s="51">
        <f t="shared" ca="1" si="16"/>
        <v>12</v>
      </c>
      <c r="J375" s="52" t="s">
        <v>257</v>
      </c>
      <c r="K375" s="53">
        <v>49350</v>
      </c>
      <c r="L375" s="54">
        <v>4</v>
      </c>
      <c r="M375" s="59">
        <f t="shared" si="17"/>
        <v>49350</v>
      </c>
      <c r="O375" s="104"/>
    </row>
    <row r="376" spans="1:34">
      <c r="A376" s="39" t="s">
        <v>738</v>
      </c>
      <c r="B376" s="46" t="s">
        <v>285</v>
      </c>
      <c r="C376" s="39" t="s">
        <v>705</v>
      </c>
      <c r="D376" s="102">
        <v>842774592</v>
      </c>
      <c r="E376" s="102">
        <v>2527345539</v>
      </c>
      <c r="F376" s="39" t="s">
        <v>252</v>
      </c>
      <c r="G376" s="81">
        <f>37598+(364+182)</f>
        <v>38144</v>
      </c>
      <c r="H376" s="50" t="str">
        <f t="shared" si="15"/>
        <v>Jun</v>
      </c>
      <c r="I376" s="51">
        <f t="shared" ca="1" si="16"/>
        <v>12</v>
      </c>
      <c r="J376" s="52"/>
      <c r="K376" s="53">
        <v>33512</v>
      </c>
      <c r="L376" s="54">
        <v>4</v>
      </c>
      <c r="M376" s="59">
        <f t="shared" si="17"/>
        <v>33512</v>
      </c>
    </row>
    <row r="377" spans="1:34">
      <c r="A377" s="39" t="s">
        <v>607</v>
      </c>
      <c r="B377" s="46" t="s">
        <v>245</v>
      </c>
      <c r="C377" s="39" t="s">
        <v>465</v>
      </c>
      <c r="D377" s="102">
        <v>684054281</v>
      </c>
      <c r="E377" s="102">
        <v>2522888726</v>
      </c>
      <c r="F377" s="39" t="s">
        <v>256</v>
      </c>
      <c r="G377" s="81">
        <f>37600+(364+182)</f>
        <v>38146</v>
      </c>
      <c r="H377" s="50" t="str">
        <f t="shared" si="15"/>
        <v>Jun</v>
      </c>
      <c r="I377" s="51">
        <f t="shared" ca="1" si="16"/>
        <v>12</v>
      </c>
      <c r="J377" s="52" t="s">
        <v>257</v>
      </c>
      <c r="K377" s="53">
        <v>47340</v>
      </c>
      <c r="L377" s="54">
        <v>2</v>
      </c>
      <c r="M377" s="59">
        <f t="shared" si="17"/>
        <v>47340</v>
      </c>
    </row>
    <row r="378" spans="1:34">
      <c r="A378" s="39" t="s">
        <v>591</v>
      </c>
      <c r="B378" s="46" t="s">
        <v>285</v>
      </c>
      <c r="C378" s="39" t="s">
        <v>465</v>
      </c>
      <c r="D378" s="102">
        <v>412611335</v>
      </c>
      <c r="E378" s="102">
        <v>2525998691</v>
      </c>
      <c r="F378" s="39" t="s">
        <v>247</v>
      </c>
      <c r="G378" s="81">
        <f>37961+(364+182)</f>
        <v>38507</v>
      </c>
      <c r="H378" s="50" t="str">
        <f t="shared" si="15"/>
        <v>Jun</v>
      </c>
      <c r="I378" s="51">
        <f t="shared" ca="1" si="16"/>
        <v>11</v>
      </c>
      <c r="J378" s="52"/>
      <c r="K378" s="53">
        <v>40940</v>
      </c>
      <c r="L378" s="54">
        <v>2</v>
      </c>
      <c r="M378" s="59">
        <f t="shared" si="17"/>
        <v>40940</v>
      </c>
    </row>
    <row r="379" spans="1:34">
      <c r="A379" s="39" t="s">
        <v>412</v>
      </c>
      <c r="B379" s="46" t="s">
        <v>285</v>
      </c>
      <c r="C379" s="39" t="s">
        <v>411</v>
      </c>
      <c r="D379" s="102">
        <v>699053064</v>
      </c>
      <c r="E379" s="102">
        <v>9191299076</v>
      </c>
      <c r="F379" s="39" t="s">
        <v>247</v>
      </c>
      <c r="G379" s="81">
        <f>37981+(364+182)</f>
        <v>38527</v>
      </c>
      <c r="H379" s="50" t="str">
        <f t="shared" si="15"/>
        <v>Jun</v>
      </c>
      <c r="I379" s="51">
        <f t="shared" ca="1" si="16"/>
        <v>11</v>
      </c>
      <c r="J379" s="52"/>
      <c r="K379" s="53">
        <v>60060</v>
      </c>
      <c r="L379" s="54">
        <v>2</v>
      </c>
      <c r="M379" s="59">
        <f t="shared" si="17"/>
        <v>60060</v>
      </c>
    </row>
    <row r="380" spans="1:34">
      <c r="A380" s="39" t="s">
        <v>532</v>
      </c>
      <c r="B380" s="46" t="s">
        <v>280</v>
      </c>
      <c r="C380" s="39" t="s">
        <v>465</v>
      </c>
      <c r="D380" s="102">
        <v>725737456</v>
      </c>
      <c r="E380" s="102">
        <v>9191847141</v>
      </c>
      <c r="F380" s="39" t="s">
        <v>247</v>
      </c>
      <c r="G380" s="81">
        <f>38328+(364+182)</f>
        <v>38874</v>
      </c>
      <c r="H380" s="50" t="str">
        <f t="shared" si="15"/>
        <v>Jun</v>
      </c>
      <c r="I380" s="51">
        <f t="shared" ca="1" si="16"/>
        <v>10</v>
      </c>
      <c r="J380" s="52"/>
      <c r="K380" s="53">
        <v>59330</v>
      </c>
      <c r="L380" s="54">
        <v>4</v>
      </c>
      <c r="M380" s="59">
        <f t="shared" si="17"/>
        <v>59330</v>
      </c>
    </row>
    <row r="381" spans="1:34">
      <c r="A381" s="39" t="s">
        <v>951</v>
      </c>
      <c r="B381" s="46" t="s">
        <v>245</v>
      </c>
      <c r="C381" s="39" t="s">
        <v>930</v>
      </c>
      <c r="D381" s="102">
        <v>210491464</v>
      </c>
      <c r="E381" s="102">
        <v>9198405552</v>
      </c>
      <c r="F381" s="39" t="s">
        <v>256</v>
      </c>
      <c r="G381" s="81">
        <f>39056+(364+182)</f>
        <v>39602</v>
      </c>
      <c r="H381" s="50" t="str">
        <f t="shared" si="15"/>
        <v>Jun</v>
      </c>
      <c r="I381" s="51">
        <f t="shared" ca="1" si="16"/>
        <v>8</v>
      </c>
      <c r="J381" s="52" t="s">
        <v>257</v>
      </c>
      <c r="K381" s="53">
        <v>79380</v>
      </c>
      <c r="L381" s="54">
        <v>5</v>
      </c>
      <c r="M381" s="59">
        <f t="shared" si="17"/>
        <v>79380</v>
      </c>
    </row>
    <row r="382" spans="1:34">
      <c r="A382" s="39" t="s">
        <v>576</v>
      </c>
      <c r="B382" s="46" t="s">
        <v>280</v>
      </c>
      <c r="C382" s="39" t="s">
        <v>465</v>
      </c>
      <c r="D382" s="102">
        <v>180095803</v>
      </c>
      <c r="E382" s="102">
        <v>2526503334</v>
      </c>
      <c r="F382" s="39" t="s">
        <v>256</v>
      </c>
      <c r="G382" s="81">
        <f>39426+(364+182)</f>
        <v>39972</v>
      </c>
      <c r="H382" s="50" t="str">
        <f t="shared" si="15"/>
        <v>Jun</v>
      </c>
      <c r="I382" s="51">
        <f t="shared" ca="1" si="16"/>
        <v>7</v>
      </c>
      <c r="J382" s="52" t="s">
        <v>257</v>
      </c>
      <c r="K382" s="53">
        <v>78170</v>
      </c>
      <c r="L382" s="54">
        <v>5</v>
      </c>
      <c r="M382" s="59">
        <f t="shared" si="17"/>
        <v>78170</v>
      </c>
    </row>
    <row r="383" spans="1:34">
      <c r="A383" s="39" t="s">
        <v>688</v>
      </c>
      <c r="B383" s="46" t="s">
        <v>251</v>
      </c>
      <c r="C383" s="39" t="s">
        <v>678</v>
      </c>
      <c r="D383" s="102">
        <v>755945415</v>
      </c>
      <c r="E383" s="102">
        <v>2524373324</v>
      </c>
      <c r="F383" s="39" t="s">
        <v>247</v>
      </c>
      <c r="G383" s="81">
        <f>39787+(364+182)</f>
        <v>40333</v>
      </c>
      <c r="H383" s="50" t="str">
        <f t="shared" si="15"/>
        <v>Jun</v>
      </c>
      <c r="I383" s="51">
        <f t="shared" ca="1" si="16"/>
        <v>6</v>
      </c>
      <c r="J383" s="52"/>
      <c r="K383" s="53">
        <v>74020</v>
      </c>
      <c r="L383" s="54">
        <v>2</v>
      </c>
      <c r="M383" s="59">
        <f t="shared" si="17"/>
        <v>74020</v>
      </c>
    </row>
    <row r="384" spans="1:34">
      <c r="A384" s="39" t="s">
        <v>941</v>
      </c>
      <c r="B384" s="46" t="s">
        <v>266</v>
      </c>
      <c r="C384" s="39" t="s">
        <v>930</v>
      </c>
      <c r="D384" s="102">
        <v>147683641</v>
      </c>
      <c r="E384" s="102">
        <v>9191657646</v>
      </c>
      <c r="F384" s="39" t="s">
        <v>247</v>
      </c>
      <c r="G384" s="109">
        <f>39788+(364+182)</f>
        <v>40334</v>
      </c>
      <c r="H384" s="50" t="str">
        <f t="shared" si="15"/>
        <v>Jun</v>
      </c>
      <c r="I384" s="51">
        <f t="shared" ca="1" si="16"/>
        <v>6</v>
      </c>
      <c r="J384" s="52"/>
      <c r="K384" s="53">
        <v>47280</v>
      </c>
      <c r="L384" s="54">
        <v>1</v>
      </c>
      <c r="M384" s="59">
        <f t="shared" si="17"/>
        <v>47280</v>
      </c>
    </row>
    <row r="385" spans="1:17">
      <c r="A385" s="39" t="s">
        <v>891</v>
      </c>
      <c r="B385" s="46" t="s">
        <v>271</v>
      </c>
      <c r="C385" s="39" t="s">
        <v>856</v>
      </c>
      <c r="D385" s="102">
        <v>750581894</v>
      </c>
      <c r="E385" s="102">
        <v>2528433766</v>
      </c>
      <c r="F385" s="39" t="s">
        <v>247</v>
      </c>
      <c r="G385" s="81">
        <f>39804+(364+182)</f>
        <v>40350</v>
      </c>
      <c r="H385" s="50" t="str">
        <f t="shared" si="15"/>
        <v>Jun</v>
      </c>
      <c r="I385" s="51">
        <f t="shared" ca="1" si="16"/>
        <v>6</v>
      </c>
      <c r="J385" s="52"/>
      <c r="K385" s="53">
        <v>21580</v>
      </c>
      <c r="L385" s="54">
        <v>3</v>
      </c>
      <c r="M385" s="59">
        <f t="shared" si="17"/>
        <v>21580</v>
      </c>
    </row>
    <row r="386" spans="1:17">
      <c r="A386" s="39" t="s">
        <v>636</v>
      </c>
      <c r="B386" s="46" t="s">
        <v>271</v>
      </c>
      <c r="C386" s="39" t="s">
        <v>626</v>
      </c>
      <c r="D386" s="102">
        <v>247406371</v>
      </c>
      <c r="E386" s="102">
        <v>9195299873</v>
      </c>
      <c r="F386" s="39" t="s">
        <v>261</v>
      </c>
      <c r="G386" s="81">
        <f>39805+(364+182)</f>
        <v>40351</v>
      </c>
      <c r="H386" s="50" t="str">
        <f t="shared" si="15"/>
        <v>Jun</v>
      </c>
      <c r="I386" s="51">
        <f t="shared" ca="1" si="16"/>
        <v>6</v>
      </c>
      <c r="J386" s="52" t="s">
        <v>283</v>
      </c>
      <c r="K386" s="53">
        <v>20040</v>
      </c>
      <c r="L386" s="54">
        <v>3</v>
      </c>
      <c r="M386" s="59">
        <f t="shared" si="17"/>
        <v>20040</v>
      </c>
    </row>
    <row r="387" spans="1:17">
      <c r="A387" s="39" t="s">
        <v>1029</v>
      </c>
      <c r="B387" s="46" t="s">
        <v>271</v>
      </c>
      <c r="C387" s="39" t="s">
        <v>1025</v>
      </c>
      <c r="D387" s="102">
        <v>106099892</v>
      </c>
      <c r="E387" s="102">
        <v>9194436681</v>
      </c>
      <c r="F387" s="39" t="s">
        <v>247</v>
      </c>
      <c r="G387" s="81">
        <f>40173+(364+182)</f>
        <v>40719</v>
      </c>
      <c r="H387" s="50" t="str">
        <f t="shared" ref="H387:H450" si="18">CHOOSE(MONTH(G387),"Jan","Feb","Mar","Apr","May","Jun","Jul","Aug","Sep","Oct","Nov","Dec")</f>
        <v>Jun</v>
      </c>
      <c r="I387" s="51">
        <f t="shared" ref="I387:I450" ca="1" si="19">DATEDIF(G387,TODAY(),"Y")</f>
        <v>5</v>
      </c>
      <c r="J387" s="52"/>
      <c r="K387" s="53">
        <v>66132</v>
      </c>
      <c r="L387" s="54">
        <v>4</v>
      </c>
      <c r="M387" s="59">
        <f t="shared" ref="M387:M450" si="20">ROUND(K387*P385+K387,0)</f>
        <v>66132</v>
      </c>
    </row>
    <row r="388" spans="1:17">
      <c r="A388" s="39" t="s">
        <v>388</v>
      </c>
      <c r="B388" s="46" t="s">
        <v>285</v>
      </c>
      <c r="C388" s="39" t="s">
        <v>381</v>
      </c>
      <c r="D388" s="102">
        <v>405297884</v>
      </c>
      <c r="E388" s="102">
        <v>2524747044</v>
      </c>
      <c r="F388" s="39" t="s">
        <v>256</v>
      </c>
      <c r="G388" s="81">
        <f>32525+(364+182)</f>
        <v>33071</v>
      </c>
      <c r="H388" s="50" t="str">
        <f t="shared" si="18"/>
        <v>Jul</v>
      </c>
      <c r="I388" s="51">
        <f t="shared" ca="1" si="19"/>
        <v>26</v>
      </c>
      <c r="J388" s="52" t="s">
        <v>283</v>
      </c>
      <c r="K388" s="53">
        <v>69060</v>
      </c>
      <c r="L388" s="54">
        <v>1</v>
      </c>
      <c r="M388" s="59">
        <f t="shared" si="20"/>
        <v>69060</v>
      </c>
    </row>
    <row r="389" spans="1:17">
      <c r="A389" s="39" t="s">
        <v>439</v>
      </c>
      <c r="B389" s="46" t="s">
        <v>280</v>
      </c>
      <c r="C389" s="39" t="s">
        <v>417</v>
      </c>
      <c r="D389" s="102">
        <v>171868795</v>
      </c>
      <c r="E389" s="102">
        <v>9194323329</v>
      </c>
      <c r="F389" s="39" t="s">
        <v>256</v>
      </c>
      <c r="G389" s="81">
        <f>32533+(364+182)</f>
        <v>33079</v>
      </c>
      <c r="H389" s="50" t="str">
        <f t="shared" si="18"/>
        <v>Jul</v>
      </c>
      <c r="I389" s="51">
        <f t="shared" ca="1" si="19"/>
        <v>26</v>
      </c>
      <c r="J389" s="52" t="s">
        <v>276</v>
      </c>
      <c r="K389" s="53">
        <v>32360</v>
      </c>
      <c r="L389" s="54">
        <v>4</v>
      </c>
      <c r="M389" s="59">
        <f t="shared" si="20"/>
        <v>32360</v>
      </c>
    </row>
    <row r="390" spans="1:17">
      <c r="A390" s="39" t="s">
        <v>896</v>
      </c>
      <c r="B390" s="46" t="s">
        <v>271</v>
      </c>
      <c r="C390" s="39" t="s">
        <v>856</v>
      </c>
      <c r="D390" s="102">
        <v>304024314</v>
      </c>
      <c r="E390" s="102">
        <v>9192244880</v>
      </c>
      <c r="F390" s="39" t="s">
        <v>247</v>
      </c>
      <c r="G390" s="81">
        <f>32875+(364+182)</f>
        <v>33421</v>
      </c>
      <c r="H390" s="50" t="str">
        <f t="shared" si="18"/>
        <v>Jul</v>
      </c>
      <c r="I390" s="51">
        <f t="shared" ca="1" si="19"/>
        <v>25</v>
      </c>
      <c r="J390" s="52"/>
      <c r="K390" s="53">
        <v>46650</v>
      </c>
      <c r="L390" s="54">
        <v>2</v>
      </c>
      <c r="M390" s="59">
        <f t="shared" si="20"/>
        <v>46650</v>
      </c>
    </row>
    <row r="391" spans="1:17">
      <c r="A391" s="39" t="s">
        <v>431</v>
      </c>
      <c r="B391" s="46" t="s">
        <v>285</v>
      </c>
      <c r="C391" s="39" t="s">
        <v>417</v>
      </c>
      <c r="D391" s="102">
        <v>927043360</v>
      </c>
      <c r="E391" s="102">
        <v>2526053287</v>
      </c>
      <c r="F391" s="39" t="s">
        <v>247</v>
      </c>
      <c r="G391" s="81">
        <f>32878+(364+182)</f>
        <v>33424</v>
      </c>
      <c r="H391" s="50" t="str">
        <f t="shared" si="18"/>
        <v>Jul</v>
      </c>
      <c r="I391" s="51">
        <f t="shared" ca="1" si="19"/>
        <v>25</v>
      </c>
      <c r="J391" s="52"/>
      <c r="K391" s="53">
        <v>22320</v>
      </c>
      <c r="L391" s="54">
        <v>2</v>
      </c>
      <c r="M391" s="59">
        <f t="shared" si="20"/>
        <v>22320</v>
      </c>
    </row>
    <row r="392" spans="1:17">
      <c r="A392" s="39" t="s">
        <v>752</v>
      </c>
      <c r="B392" s="46" t="s">
        <v>271</v>
      </c>
      <c r="C392" s="39" t="s">
        <v>750</v>
      </c>
      <c r="D392" s="102">
        <v>763518183</v>
      </c>
      <c r="E392" s="102">
        <v>2522581491</v>
      </c>
      <c r="F392" s="39" t="s">
        <v>256</v>
      </c>
      <c r="G392" s="81">
        <f>32894+(364+182)</f>
        <v>33440</v>
      </c>
      <c r="H392" s="50" t="str">
        <f t="shared" si="18"/>
        <v>Jul</v>
      </c>
      <c r="I392" s="51">
        <f t="shared" ca="1" si="19"/>
        <v>25</v>
      </c>
      <c r="J392" s="52" t="s">
        <v>257</v>
      </c>
      <c r="K392" s="53">
        <v>69400</v>
      </c>
      <c r="L392" s="54">
        <v>5</v>
      </c>
      <c r="M392" s="59">
        <f t="shared" si="20"/>
        <v>69400</v>
      </c>
    </row>
    <row r="393" spans="1:17">
      <c r="A393" s="39" t="s">
        <v>405</v>
      </c>
      <c r="B393" s="46" t="s">
        <v>245</v>
      </c>
      <c r="C393" s="39" t="s">
        <v>391</v>
      </c>
      <c r="D393" s="102">
        <v>719937584</v>
      </c>
      <c r="E393" s="102">
        <v>9191653055</v>
      </c>
      <c r="F393" s="39" t="s">
        <v>256</v>
      </c>
      <c r="G393" s="81">
        <f>32901+(364+182)</f>
        <v>33447</v>
      </c>
      <c r="H393" s="50" t="str">
        <f t="shared" si="18"/>
        <v>Jul</v>
      </c>
      <c r="I393" s="51">
        <f t="shared" ca="1" si="19"/>
        <v>25</v>
      </c>
      <c r="J393" s="52" t="s">
        <v>283</v>
      </c>
      <c r="K393" s="53">
        <v>37620</v>
      </c>
      <c r="L393" s="54">
        <v>5</v>
      </c>
      <c r="M393" s="59">
        <f t="shared" si="20"/>
        <v>37620</v>
      </c>
      <c r="N393" s="107"/>
      <c r="O393" s="101"/>
    </row>
    <row r="394" spans="1:17">
      <c r="A394" s="39" t="s">
        <v>330</v>
      </c>
      <c r="B394" s="46" t="s">
        <v>245</v>
      </c>
      <c r="C394" s="39" t="s">
        <v>312</v>
      </c>
      <c r="D394" s="102">
        <v>721173550</v>
      </c>
      <c r="E394" s="102">
        <v>2528356334</v>
      </c>
      <c r="F394" s="39" t="s">
        <v>256</v>
      </c>
      <c r="G394" s="81">
        <f>33240+(364+182)</f>
        <v>33786</v>
      </c>
      <c r="H394" s="50" t="str">
        <f t="shared" si="18"/>
        <v>Jul</v>
      </c>
      <c r="I394" s="51">
        <f t="shared" ca="1" si="19"/>
        <v>24</v>
      </c>
      <c r="J394" s="52" t="s">
        <v>257</v>
      </c>
      <c r="K394" s="53">
        <v>71150</v>
      </c>
      <c r="L394" s="54">
        <v>2</v>
      </c>
      <c r="M394" s="59">
        <f t="shared" si="20"/>
        <v>71150</v>
      </c>
      <c r="P394" s="75"/>
      <c r="Q394" s="75"/>
    </row>
    <row r="395" spans="1:17">
      <c r="A395" s="39" t="s">
        <v>936</v>
      </c>
      <c r="B395" s="46" t="s">
        <v>245</v>
      </c>
      <c r="C395" s="39" t="s">
        <v>930</v>
      </c>
      <c r="D395" s="102">
        <v>741258203</v>
      </c>
      <c r="E395" s="102">
        <v>9195157707</v>
      </c>
      <c r="F395" s="39" t="s">
        <v>247</v>
      </c>
      <c r="G395" s="81">
        <f>33243+(364+182)</f>
        <v>33789</v>
      </c>
      <c r="H395" s="50" t="str">
        <f t="shared" si="18"/>
        <v>Jul</v>
      </c>
      <c r="I395" s="51">
        <f t="shared" ca="1" si="19"/>
        <v>24</v>
      </c>
      <c r="J395" s="52"/>
      <c r="K395" s="53">
        <v>59128</v>
      </c>
      <c r="L395" s="54">
        <v>4</v>
      </c>
      <c r="M395" s="59">
        <f t="shared" si="20"/>
        <v>59128</v>
      </c>
    </row>
    <row r="396" spans="1:17">
      <c r="A396" s="39" t="s">
        <v>947</v>
      </c>
      <c r="B396" s="46" t="s">
        <v>271</v>
      </c>
      <c r="C396" s="39" t="s">
        <v>930</v>
      </c>
      <c r="D396" s="102">
        <v>693214759</v>
      </c>
      <c r="E396" s="102">
        <v>9192683895</v>
      </c>
      <c r="F396" s="39" t="s">
        <v>256</v>
      </c>
      <c r="G396" s="81">
        <f>33260+(364+182)</f>
        <v>33806</v>
      </c>
      <c r="H396" s="50" t="str">
        <f t="shared" si="18"/>
        <v>Jul</v>
      </c>
      <c r="I396" s="51">
        <f t="shared" ca="1" si="19"/>
        <v>24</v>
      </c>
      <c r="J396" s="52" t="s">
        <v>262</v>
      </c>
      <c r="K396" s="53">
        <v>62780</v>
      </c>
      <c r="L396" s="54">
        <v>3</v>
      </c>
      <c r="M396" s="59">
        <f t="shared" si="20"/>
        <v>62780</v>
      </c>
    </row>
    <row r="397" spans="1:17">
      <c r="A397" s="39" t="s">
        <v>746</v>
      </c>
      <c r="B397" s="46" t="s">
        <v>285</v>
      </c>
      <c r="C397" s="39" t="s">
        <v>705</v>
      </c>
      <c r="D397" s="102">
        <v>210173249</v>
      </c>
      <c r="E397" s="102">
        <v>2525780571</v>
      </c>
      <c r="F397" s="39" t="s">
        <v>247</v>
      </c>
      <c r="G397" s="81">
        <f>33265+(364+182)</f>
        <v>33811</v>
      </c>
      <c r="H397" s="50" t="str">
        <f t="shared" si="18"/>
        <v>Jul</v>
      </c>
      <c r="I397" s="51">
        <f t="shared" ca="1" si="19"/>
        <v>24</v>
      </c>
      <c r="J397" s="52"/>
      <c r="K397" s="53">
        <v>32650</v>
      </c>
      <c r="L397" s="54">
        <v>1</v>
      </c>
      <c r="M397" s="59">
        <f t="shared" si="20"/>
        <v>32650</v>
      </c>
    </row>
    <row r="398" spans="1:17">
      <c r="A398" s="39" t="s">
        <v>524</v>
      </c>
      <c r="B398" s="46" t="s">
        <v>271</v>
      </c>
      <c r="C398" s="39" t="s">
        <v>465</v>
      </c>
      <c r="D398" s="102">
        <v>380653169</v>
      </c>
      <c r="E398" s="102">
        <v>9194743535</v>
      </c>
      <c r="F398" s="39" t="s">
        <v>256</v>
      </c>
      <c r="G398" s="81">
        <f>33605+(364+182)</f>
        <v>34151</v>
      </c>
      <c r="H398" s="50" t="str">
        <f t="shared" si="18"/>
        <v>Jul</v>
      </c>
      <c r="I398" s="51">
        <f t="shared" ca="1" si="19"/>
        <v>23</v>
      </c>
      <c r="J398" s="52" t="s">
        <v>283</v>
      </c>
      <c r="K398" s="53">
        <v>81980</v>
      </c>
      <c r="L398" s="54">
        <v>2</v>
      </c>
      <c r="M398" s="59">
        <f t="shared" si="20"/>
        <v>81980</v>
      </c>
    </row>
    <row r="399" spans="1:17">
      <c r="A399" s="39" t="s">
        <v>969</v>
      </c>
      <c r="B399" s="46" t="s">
        <v>271</v>
      </c>
      <c r="C399" s="39" t="s">
        <v>930</v>
      </c>
      <c r="D399" s="102">
        <v>418701946</v>
      </c>
      <c r="E399" s="102">
        <v>2524141191</v>
      </c>
      <c r="F399" s="39" t="s">
        <v>261</v>
      </c>
      <c r="G399" s="81">
        <f>33608+(364+182)</f>
        <v>34154</v>
      </c>
      <c r="H399" s="50" t="str">
        <f t="shared" si="18"/>
        <v>Jul</v>
      </c>
      <c r="I399" s="51">
        <f t="shared" ca="1" si="19"/>
        <v>23</v>
      </c>
      <c r="J399" s="52" t="s">
        <v>257</v>
      </c>
      <c r="K399" s="53">
        <v>49545</v>
      </c>
      <c r="L399" s="54">
        <v>2</v>
      </c>
      <c r="M399" s="59">
        <f t="shared" si="20"/>
        <v>49545</v>
      </c>
    </row>
    <row r="400" spans="1:17">
      <c r="A400" s="39" t="s">
        <v>935</v>
      </c>
      <c r="B400" s="46" t="s">
        <v>280</v>
      </c>
      <c r="C400" s="39" t="s">
        <v>930</v>
      </c>
      <c r="D400" s="102">
        <v>426812736</v>
      </c>
      <c r="E400" s="102">
        <v>9198399625</v>
      </c>
      <c r="F400" s="39" t="s">
        <v>247</v>
      </c>
      <c r="G400" s="81">
        <f>33613+(364+182)</f>
        <v>34159</v>
      </c>
      <c r="H400" s="50" t="str">
        <f t="shared" si="18"/>
        <v>Jul</v>
      </c>
      <c r="I400" s="51">
        <f t="shared" ca="1" si="19"/>
        <v>23</v>
      </c>
      <c r="J400" s="52"/>
      <c r="K400" s="53">
        <v>35240</v>
      </c>
      <c r="L400" s="54">
        <v>3</v>
      </c>
      <c r="M400" s="59">
        <f t="shared" si="20"/>
        <v>35240</v>
      </c>
      <c r="P400" s="75"/>
      <c r="Q400" s="75"/>
    </row>
    <row r="401" spans="1:14">
      <c r="A401" s="39" t="s">
        <v>875</v>
      </c>
      <c r="B401" s="46" t="s">
        <v>285</v>
      </c>
      <c r="C401" s="39" t="s">
        <v>856</v>
      </c>
      <c r="D401" s="102">
        <v>100703382</v>
      </c>
      <c r="E401" s="102">
        <v>9195157047</v>
      </c>
      <c r="F401" s="39" t="s">
        <v>256</v>
      </c>
      <c r="G401" s="81">
        <f>33614+(364+182)</f>
        <v>34160</v>
      </c>
      <c r="H401" s="50" t="str">
        <f t="shared" si="18"/>
        <v>Jul</v>
      </c>
      <c r="I401" s="51">
        <f t="shared" ca="1" si="19"/>
        <v>23</v>
      </c>
      <c r="J401" s="52" t="s">
        <v>257</v>
      </c>
      <c r="K401" s="53">
        <v>54200</v>
      </c>
      <c r="L401" s="54">
        <v>4</v>
      </c>
      <c r="M401" s="59">
        <f t="shared" si="20"/>
        <v>54200</v>
      </c>
    </row>
    <row r="402" spans="1:14">
      <c r="A402" s="39" t="s">
        <v>444</v>
      </c>
      <c r="B402" s="46" t="s">
        <v>245</v>
      </c>
      <c r="C402" s="39" t="s">
        <v>417</v>
      </c>
      <c r="D402" s="102">
        <v>932787692</v>
      </c>
      <c r="E402" s="102">
        <v>2522612740</v>
      </c>
      <c r="F402" s="39" t="s">
        <v>247</v>
      </c>
      <c r="G402" s="81">
        <f>33615+(364+182)</f>
        <v>34161</v>
      </c>
      <c r="H402" s="50" t="str">
        <f t="shared" si="18"/>
        <v>Jul</v>
      </c>
      <c r="I402" s="51">
        <f t="shared" ca="1" si="19"/>
        <v>23</v>
      </c>
      <c r="J402" s="52"/>
      <c r="K402" s="53">
        <v>64090</v>
      </c>
      <c r="L402" s="54">
        <v>2</v>
      </c>
      <c r="M402" s="59">
        <f t="shared" si="20"/>
        <v>64090</v>
      </c>
    </row>
    <row r="403" spans="1:14">
      <c r="A403" s="39" t="s">
        <v>560</v>
      </c>
      <c r="B403" s="46" t="s">
        <v>245</v>
      </c>
      <c r="C403" s="39" t="s">
        <v>465</v>
      </c>
      <c r="D403" s="102">
        <v>427260216</v>
      </c>
      <c r="E403" s="102">
        <v>9198999194</v>
      </c>
      <c r="F403" s="39" t="s">
        <v>261</v>
      </c>
      <c r="G403" s="81">
        <f>33617+(364+182)</f>
        <v>34163</v>
      </c>
      <c r="H403" s="50" t="str">
        <f t="shared" si="18"/>
        <v>Jul</v>
      </c>
      <c r="I403" s="51">
        <f t="shared" ca="1" si="19"/>
        <v>23</v>
      </c>
      <c r="J403" s="52" t="s">
        <v>262</v>
      </c>
      <c r="K403" s="53">
        <v>18895</v>
      </c>
      <c r="L403" s="54">
        <v>4</v>
      </c>
      <c r="M403" s="59">
        <f t="shared" si="20"/>
        <v>18895</v>
      </c>
    </row>
    <row r="404" spans="1:14">
      <c r="A404" s="39" t="s">
        <v>551</v>
      </c>
      <c r="B404" s="46" t="s">
        <v>280</v>
      </c>
      <c r="C404" s="39" t="s">
        <v>465</v>
      </c>
      <c r="D404" s="102">
        <v>366740174</v>
      </c>
      <c r="E404" s="102">
        <v>2521549933</v>
      </c>
      <c r="F404" s="39" t="s">
        <v>252</v>
      </c>
      <c r="G404" s="81">
        <f>33619+(364+182)</f>
        <v>34165</v>
      </c>
      <c r="H404" s="50" t="str">
        <f t="shared" si="18"/>
        <v>Jul</v>
      </c>
      <c r="I404" s="51">
        <f t="shared" ca="1" si="19"/>
        <v>23</v>
      </c>
      <c r="J404" s="52"/>
      <c r="K404" s="53">
        <v>30416</v>
      </c>
      <c r="L404" s="54">
        <v>1</v>
      </c>
      <c r="M404" s="59">
        <f t="shared" si="20"/>
        <v>30416</v>
      </c>
    </row>
    <row r="405" spans="1:14">
      <c r="A405" s="39" t="s">
        <v>355</v>
      </c>
      <c r="B405" s="46" t="s">
        <v>271</v>
      </c>
      <c r="C405" s="39" t="s">
        <v>312</v>
      </c>
      <c r="D405" s="102">
        <v>148899089</v>
      </c>
      <c r="E405" s="102">
        <v>2524734960</v>
      </c>
      <c r="F405" s="39" t="s">
        <v>261</v>
      </c>
      <c r="G405" s="81">
        <f>33620+(364+182)</f>
        <v>34166</v>
      </c>
      <c r="H405" s="50" t="str">
        <f t="shared" si="18"/>
        <v>Jul</v>
      </c>
      <c r="I405" s="51">
        <f t="shared" ca="1" si="19"/>
        <v>23</v>
      </c>
      <c r="J405" s="52" t="s">
        <v>257</v>
      </c>
      <c r="K405" s="53">
        <v>26890</v>
      </c>
      <c r="L405" s="54">
        <v>3</v>
      </c>
      <c r="M405" s="59">
        <f t="shared" si="20"/>
        <v>26890</v>
      </c>
    </row>
    <row r="406" spans="1:14">
      <c r="A406" s="39" t="s">
        <v>819</v>
      </c>
      <c r="B406" s="46" t="s">
        <v>271</v>
      </c>
      <c r="C406" s="39" t="s">
        <v>767</v>
      </c>
      <c r="D406" s="102">
        <v>317193890</v>
      </c>
      <c r="E406" s="102">
        <v>9192350434</v>
      </c>
      <c r="F406" s="39" t="s">
        <v>256</v>
      </c>
      <c r="G406" s="81">
        <f>33623+(364+182)</f>
        <v>34169</v>
      </c>
      <c r="H406" s="50" t="str">
        <f t="shared" si="18"/>
        <v>Jul</v>
      </c>
      <c r="I406" s="51">
        <f t="shared" ca="1" si="19"/>
        <v>23</v>
      </c>
      <c r="J406" s="52" t="s">
        <v>267</v>
      </c>
      <c r="K406" s="53">
        <v>69420</v>
      </c>
      <c r="L406" s="54">
        <v>2</v>
      </c>
      <c r="M406" s="59">
        <f t="shared" si="20"/>
        <v>69420</v>
      </c>
    </row>
    <row r="407" spans="1:14">
      <c r="A407" s="39" t="s">
        <v>666</v>
      </c>
      <c r="B407" s="46" t="s">
        <v>285</v>
      </c>
      <c r="C407" s="39" t="s">
        <v>626</v>
      </c>
      <c r="D407" s="102">
        <v>422957475</v>
      </c>
      <c r="E407" s="102">
        <v>2524273090</v>
      </c>
      <c r="F407" s="39" t="s">
        <v>256</v>
      </c>
      <c r="G407" s="81">
        <f>33631+(364+182)</f>
        <v>34177</v>
      </c>
      <c r="H407" s="50" t="str">
        <f t="shared" si="18"/>
        <v>Jul</v>
      </c>
      <c r="I407" s="51">
        <f t="shared" ca="1" si="19"/>
        <v>23</v>
      </c>
      <c r="J407" s="52" t="s">
        <v>283</v>
      </c>
      <c r="K407" s="53">
        <v>65250</v>
      </c>
      <c r="L407" s="54">
        <v>2</v>
      </c>
      <c r="M407" s="59">
        <f t="shared" si="20"/>
        <v>65250</v>
      </c>
    </row>
    <row r="408" spans="1:14">
      <c r="A408" s="39" t="s">
        <v>867</v>
      </c>
      <c r="B408" s="46" t="s">
        <v>271</v>
      </c>
      <c r="C408" s="39" t="s">
        <v>856</v>
      </c>
      <c r="D408" s="102">
        <v>705186668</v>
      </c>
      <c r="E408" s="102">
        <v>9193922813</v>
      </c>
      <c r="F408" s="39" t="s">
        <v>252</v>
      </c>
      <c r="G408" s="81">
        <f>33634+(364+182)</f>
        <v>34180</v>
      </c>
      <c r="H408" s="50" t="str">
        <f t="shared" si="18"/>
        <v>Jul</v>
      </c>
      <c r="I408" s="51">
        <f t="shared" ca="1" si="19"/>
        <v>23</v>
      </c>
      <c r="J408" s="52"/>
      <c r="K408" s="53">
        <v>26484</v>
      </c>
      <c r="L408" s="54">
        <v>5</v>
      </c>
      <c r="M408" s="59">
        <f t="shared" si="20"/>
        <v>26484</v>
      </c>
    </row>
    <row r="409" spans="1:14">
      <c r="A409" s="39" t="s">
        <v>1030</v>
      </c>
      <c r="B409" s="46" t="s">
        <v>285</v>
      </c>
      <c r="C409" s="39" t="s">
        <v>1031</v>
      </c>
      <c r="D409" s="102">
        <v>978092408</v>
      </c>
      <c r="E409" s="102">
        <v>9191888279</v>
      </c>
      <c r="F409" s="39" t="s">
        <v>247</v>
      </c>
      <c r="G409" s="81">
        <f>33979+(364+182)</f>
        <v>34525</v>
      </c>
      <c r="H409" s="50" t="str">
        <f t="shared" si="18"/>
        <v>Jul</v>
      </c>
      <c r="I409" s="51">
        <f t="shared" ca="1" si="19"/>
        <v>22</v>
      </c>
      <c r="J409" s="52"/>
      <c r="K409" s="53">
        <v>64720</v>
      </c>
      <c r="L409" s="54">
        <v>5</v>
      </c>
      <c r="M409" s="59">
        <f t="shared" si="20"/>
        <v>64720</v>
      </c>
    </row>
    <row r="410" spans="1:14">
      <c r="A410" s="39" t="s">
        <v>938</v>
      </c>
      <c r="B410" s="46" t="s">
        <v>285</v>
      </c>
      <c r="C410" s="39" t="s">
        <v>930</v>
      </c>
      <c r="D410" s="102">
        <v>324069262</v>
      </c>
      <c r="E410" s="102">
        <v>2525459665</v>
      </c>
      <c r="F410" s="39" t="s">
        <v>247</v>
      </c>
      <c r="G410" s="81">
        <f>33988+(364+182)</f>
        <v>34534</v>
      </c>
      <c r="H410" s="50" t="str">
        <f t="shared" si="18"/>
        <v>Jul</v>
      </c>
      <c r="I410" s="51">
        <f t="shared" ca="1" si="19"/>
        <v>22</v>
      </c>
      <c r="J410" s="52"/>
      <c r="K410" s="53">
        <v>45105</v>
      </c>
      <c r="L410" s="54">
        <v>1</v>
      </c>
      <c r="M410" s="59">
        <f t="shared" si="20"/>
        <v>45105</v>
      </c>
    </row>
    <row r="411" spans="1:14">
      <c r="A411" s="39" t="s">
        <v>469</v>
      </c>
      <c r="B411" s="46" t="s">
        <v>245</v>
      </c>
      <c r="C411" s="39" t="s">
        <v>465</v>
      </c>
      <c r="D411" s="102">
        <v>865073824</v>
      </c>
      <c r="E411" s="102">
        <v>2524785979</v>
      </c>
      <c r="F411" s="39" t="s">
        <v>256</v>
      </c>
      <c r="G411" s="81">
        <f>33995+(364+182)</f>
        <v>34541</v>
      </c>
      <c r="H411" s="50" t="str">
        <f t="shared" si="18"/>
        <v>Jul</v>
      </c>
      <c r="I411" s="51">
        <f t="shared" ca="1" si="19"/>
        <v>22</v>
      </c>
      <c r="J411" s="52" t="s">
        <v>276</v>
      </c>
      <c r="K411" s="53">
        <v>34480</v>
      </c>
      <c r="L411" s="54">
        <v>3</v>
      </c>
      <c r="M411" s="59">
        <f t="shared" si="20"/>
        <v>34480</v>
      </c>
    </row>
    <row r="412" spans="1:14">
      <c r="A412" s="39" t="s">
        <v>604</v>
      </c>
      <c r="B412" s="46" t="s">
        <v>285</v>
      </c>
      <c r="C412" s="39" t="s">
        <v>465</v>
      </c>
      <c r="D412" s="102">
        <v>682500261</v>
      </c>
      <c r="E412" s="102">
        <v>9191163627</v>
      </c>
      <c r="F412" s="39" t="s">
        <v>256</v>
      </c>
      <c r="G412" s="81">
        <f>34335+(364+182)</f>
        <v>34881</v>
      </c>
      <c r="H412" s="50" t="str">
        <f t="shared" si="18"/>
        <v>Jul</v>
      </c>
      <c r="I412" s="51">
        <f t="shared" ca="1" si="19"/>
        <v>21</v>
      </c>
      <c r="J412" s="52" t="s">
        <v>262</v>
      </c>
      <c r="K412" s="53">
        <v>63070</v>
      </c>
      <c r="L412" s="54">
        <v>1</v>
      </c>
      <c r="M412" s="59">
        <f t="shared" si="20"/>
        <v>63070</v>
      </c>
      <c r="N412" s="107"/>
    </row>
    <row r="413" spans="1:14">
      <c r="A413" s="39" t="s">
        <v>730</v>
      </c>
      <c r="B413" s="46" t="s">
        <v>271</v>
      </c>
      <c r="C413" s="39" t="s">
        <v>705</v>
      </c>
      <c r="D413" s="102">
        <v>931977751</v>
      </c>
      <c r="E413" s="102">
        <v>9194471952</v>
      </c>
      <c r="F413" s="39" t="s">
        <v>256</v>
      </c>
      <c r="G413" s="81">
        <f>34355+(364+182)</f>
        <v>34901</v>
      </c>
      <c r="H413" s="50" t="str">
        <f t="shared" si="18"/>
        <v>Jul</v>
      </c>
      <c r="I413" s="51">
        <f t="shared" ca="1" si="19"/>
        <v>21</v>
      </c>
      <c r="J413" s="52" t="s">
        <v>257</v>
      </c>
      <c r="K413" s="53">
        <v>25830</v>
      </c>
      <c r="L413" s="54">
        <v>5</v>
      </c>
      <c r="M413" s="59">
        <f t="shared" si="20"/>
        <v>25830</v>
      </c>
    </row>
    <row r="414" spans="1:14">
      <c r="A414" s="39" t="s">
        <v>937</v>
      </c>
      <c r="B414" s="46" t="s">
        <v>285</v>
      </c>
      <c r="C414" s="39" t="s">
        <v>930</v>
      </c>
      <c r="D414" s="102">
        <v>101829876</v>
      </c>
      <c r="E414" s="102">
        <v>2522552565</v>
      </c>
      <c r="F414" s="39" t="s">
        <v>252</v>
      </c>
      <c r="G414" s="81">
        <f>34701+(364+182)</f>
        <v>35247</v>
      </c>
      <c r="H414" s="50" t="str">
        <f t="shared" si="18"/>
        <v>Jul</v>
      </c>
      <c r="I414" s="51">
        <f t="shared" ca="1" si="19"/>
        <v>20</v>
      </c>
      <c r="J414" s="52"/>
      <c r="K414" s="53">
        <v>33752</v>
      </c>
      <c r="L414" s="54">
        <v>3</v>
      </c>
      <c r="M414" s="59">
        <f t="shared" si="20"/>
        <v>33752</v>
      </c>
    </row>
    <row r="415" spans="1:14">
      <c r="A415" s="39" t="s">
        <v>425</v>
      </c>
      <c r="B415" s="46" t="s">
        <v>285</v>
      </c>
      <c r="C415" s="39" t="s">
        <v>417</v>
      </c>
      <c r="D415" s="102">
        <v>110184347</v>
      </c>
      <c r="E415" s="102">
        <v>2526166452</v>
      </c>
      <c r="F415" s="39" t="s">
        <v>256</v>
      </c>
      <c r="G415" s="81">
        <f>34707+(364+182)</f>
        <v>35253</v>
      </c>
      <c r="H415" s="50" t="str">
        <f t="shared" si="18"/>
        <v>Jul</v>
      </c>
      <c r="I415" s="51">
        <f t="shared" ca="1" si="19"/>
        <v>20</v>
      </c>
      <c r="J415" s="52" t="s">
        <v>257</v>
      </c>
      <c r="K415" s="53">
        <v>63780</v>
      </c>
      <c r="L415" s="54">
        <v>5</v>
      </c>
      <c r="M415" s="59">
        <f t="shared" si="20"/>
        <v>63780</v>
      </c>
    </row>
    <row r="416" spans="1:14">
      <c r="A416" s="39" t="s">
        <v>646</v>
      </c>
      <c r="B416" s="46" t="s">
        <v>245</v>
      </c>
      <c r="C416" s="39" t="s">
        <v>626</v>
      </c>
      <c r="D416" s="102">
        <v>343897392</v>
      </c>
      <c r="E416" s="102">
        <v>2526674988</v>
      </c>
      <c r="F416" s="39" t="s">
        <v>256</v>
      </c>
      <c r="G416" s="81">
        <f>34708+(364+182)</f>
        <v>35254</v>
      </c>
      <c r="H416" s="50" t="str">
        <f t="shared" si="18"/>
        <v>Jul</v>
      </c>
      <c r="I416" s="51">
        <f t="shared" ca="1" si="19"/>
        <v>20</v>
      </c>
      <c r="J416" s="52" t="s">
        <v>257</v>
      </c>
      <c r="K416" s="53">
        <v>48800</v>
      </c>
      <c r="L416" s="54">
        <v>4</v>
      </c>
      <c r="M416" s="59">
        <f t="shared" si="20"/>
        <v>48800</v>
      </c>
    </row>
    <row r="417" spans="1:34">
      <c r="A417" s="39" t="s">
        <v>360</v>
      </c>
      <c r="B417" s="46" t="s">
        <v>285</v>
      </c>
      <c r="C417" s="39" t="s">
        <v>312</v>
      </c>
      <c r="D417" s="102">
        <v>427811310</v>
      </c>
      <c r="E417" s="102">
        <v>9191362796</v>
      </c>
      <c r="F417" s="39" t="s">
        <v>247</v>
      </c>
      <c r="G417" s="81">
        <f>34709+(364+182)</f>
        <v>35255</v>
      </c>
      <c r="H417" s="50" t="str">
        <f t="shared" si="18"/>
        <v>Jul</v>
      </c>
      <c r="I417" s="51">
        <f t="shared" ca="1" si="19"/>
        <v>20</v>
      </c>
      <c r="J417" s="52"/>
      <c r="K417" s="53">
        <v>89310</v>
      </c>
      <c r="L417" s="54">
        <v>5</v>
      </c>
      <c r="M417" s="59">
        <f t="shared" si="20"/>
        <v>89310</v>
      </c>
    </row>
    <row r="418" spans="1:34" s="84" customFormat="1">
      <c r="A418" s="39" t="s">
        <v>964</v>
      </c>
      <c r="B418" s="46" t="s">
        <v>285</v>
      </c>
      <c r="C418" s="39" t="s">
        <v>930</v>
      </c>
      <c r="D418" s="102">
        <v>627494412</v>
      </c>
      <c r="E418" s="102">
        <v>2528249735</v>
      </c>
      <c r="F418" s="39" t="s">
        <v>256</v>
      </c>
      <c r="G418" s="81">
        <f>34730+(364+182)</f>
        <v>35276</v>
      </c>
      <c r="H418" s="50" t="str">
        <f t="shared" si="18"/>
        <v>Jul</v>
      </c>
      <c r="I418" s="51">
        <f t="shared" ca="1" si="19"/>
        <v>20</v>
      </c>
      <c r="J418" s="52" t="s">
        <v>257</v>
      </c>
      <c r="K418" s="53">
        <v>58370</v>
      </c>
      <c r="L418" s="54">
        <v>5</v>
      </c>
      <c r="M418" s="59">
        <f t="shared" si="20"/>
        <v>58370</v>
      </c>
      <c r="N418" s="100"/>
      <c r="O418" s="45"/>
      <c r="P418" s="39"/>
      <c r="Q418" s="39"/>
      <c r="R418" s="39"/>
      <c r="S418" s="39"/>
      <c r="T418" s="39"/>
      <c r="U418" s="39"/>
      <c r="V418" s="39"/>
      <c r="W418" s="39"/>
      <c r="X418" s="39"/>
      <c r="Y418" s="39"/>
      <c r="Z418" s="39"/>
      <c r="AA418" s="39"/>
      <c r="AB418" s="39"/>
      <c r="AC418" s="39"/>
      <c r="AD418" s="39"/>
      <c r="AE418" s="39"/>
      <c r="AF418" s="39"/>
      <c r="AG418" s="39"/>
      <c r="AH418" s="39"/>
    </row>
    <row r="419" spans="1:34" s="84" customFormat="1">
      <c r="A419" s="39" t="s">
        <v>805</v>
      </c>
      <c r="B419" s="46" t="s">
        <v>285</v>
      </c>
      <c r="C419" s="39" t="s">
        <v>767</v>
      </c>
      <c r="D419" s="102">
        <v>394876677</v>
      </c>
      <c r="E419" s="102">
        <v>2522551469</v>
      </c>
      <c r="F419" s="39" t="s">
        <v>256</v>
      </c>
      <c r="G419" s="81">
        <f>35070+(364+182)</f>
        <v>35616</v>
      </c>
      <c r="H419" s="50" t="str">
        <f t="shared" si="18"/>
        <v>Jul</v>
      </c>
      <c r="I419" s="51">
        <f t="shared" ca="1" si="19"/>
        <v>19</v>
      </c>
      <c r="J419" s="52" t="s">
        <v>283</v>
      </c>
      <c r="K419" s="53">
        <v>34060</v>
      </c>
      <c r="L419" s="54">
        <v>2</v>
      </c>
      <c r="M419" s="59">
        <f t="shared" si="20"/>
        <v>34060</v>
      </c>
      <c r="N419" s="100"/>
      <c r="O419" s="45"/>
      <c r="P419" s="39"/>
      <c r="Q419" s="39"/>
      <c r="R419" s="39"/>
      <c r="S419" s="39"/>
      <c r="T419" s="39"/>
      <c r="U419" s="39"/>
      <c r="V419" s="39"/>
      <c r="W419" s="39"/>
      <c r="X419" s="39"/>
      <c r="Y419" s="39"/>
      <c r="Z419" s="39"/>
      <c r="AA419" s="39"/>
      <c r="AB419" s="39"/>
      <c r="AC419" s="39"/>
      <c r="AD419" s="39"/>
      <c r="AE419" s="39"/>
      <c r="AF419" s="39"/>
      <c r="AG419" s="39"/>
      <c r="AH419" s="39"/>
    </row>
    <row r="420" spans="1:34" s="84" customFormat="1">
      <c r="A420" s="39" t="s">
        <v>1018</v>
      </c>
      <c r="B420" s="46" t="s">
        <v>285</v>
      </c>
      <c r="C420" s="39" t="s">
        <v>930</v>
      </c>
      <c r="D420" s="102">
        <v>296641985</v>
      </c>
      <c r="E420" s="102">
        <v>2528217409</v>
      </c>
      <c r="F420" s="39" t="s">
        <v>256</v>
      </c>
      <c r="G420" s="81">
        <f>35081+(364+182)</f>
        <v>35627</v>
      </c>
      <c r="H420" s="50" t="str">
        <f t="shared" si="18"/>
        <v>Jul</v>
      </c>
      <c r="I420" s="51">
        <f t="shared" ca="1" si="19"/>
        <v>19</v>
      </c>
      <c r="J420" s="52" t="s">
        <v>283</v>
      </c>
      <c r="K420" s="53">
        <v>41380</v>
      </c>
      <c r="L420" s="54">
        <v>2</v>
      </c>
      <c r="M420" s="59">
        <f t="shared" si="20"/>
        <v>41380</v>
      </c>
      <c r="N420" s="100"/>
      <c r="O420" s="45"/>
      <c r="P420" s="39"/>
      <c r="Q420" s="39"/>
      <c r="R420" s="39"/>
      <c r="S420" s="39"/>
      <c r="T420" s="39"/>
      <c r="U420" s="39"/>
      <c r="V420" s="39"/>
      <c r="W420" s="39"/>
      <c r="X420" s="39"/>
      <c r="Y420" s="39"/>
      <c r="Z420" s="39"/>
      <c r="AA420" s="39"/>
      <c r="AB420" s="39"/>
      <c r="AC420" s="39"/>
      <c r="AD420" s="39"/>
      <c r="AE420" s="39"/>
      <c r="AF420" s="39"/>
      <c r="AG420" s="39"/>
      <c r="AH420" s="39"/>
    </row>
    <row r="421" spans="1:34" s="84" customFormat="1">
      <c r="A421" s="39" t="s">
        <v>466</v>
      </c>
      <c r="B421" s="46" t="s">
        <v>285</v>
      </c>
      <c r="C421" s="39" t="s">
        <v>465</v>
      </c>
      <c r="D421" s="102">
        <v>722630791</v>
      </c>
      <c r="E421" s="102">
        <v>2522263363</v>
      </c>
      <c r="F421" s="39" t="s">
        <v>252</v>
      </c>
      <c r="G421" s="81">
        <f>35436+(364+182)</f>
        <v>35982</v>
      </c>
      <c r="H421" s="50" t="str">
        <f t="shared" si="18"/>
        <v>Jul</v>
      </c>
      <c r="I421" s="51">
        <f t="shared" ca="1" si="19"/>
        <v>18</v>
      </c>
      <c r="J421" s="52"/>
      <c r="K421" s="53">
        <v>8904</v>
      </c>
      <c r="L421" s="54">
        <v>3</v>
      </c>
      <c r="M421" s="59">
        <f t="shared" si="20"/>
        <v>8904</v>
      </c>
      <c r="N421" s="100"/>
      <c r="O421" s="45"/>
      <c r="P421" s="39"/>
      <c r="Q421" s="39"/>
      <c r="R421" s="39"/>
      <c r="S421" s="39"/>
      <c r="T421" s="39"/>
      <c r="U421" s="39"/>
      <c r="V421" s="39"/>
      <c r="W421" s="39"/>
      <c r="X421" s="39"/>
      <c r="Y421" s="39"/>
      <c r="Z421" s="39"/>
      <c r="AA421" s="39"/>
      <c r="AB421" s="39"/>
      <c r="AC421" s="39"/>
      <c r="AD421" s="39"/>
      <c r="AE421" s="39"/>
      <c r="AF421" s="39"/>
      <c r="AG421" s="39"/>
      <c r="AH421" s="39"/>
    </row>
    <row r="422" spans="1:34" s="84" customFormat="1">
      <c r="A422" s="39" t="s">
        <v>446</v>
      </c>
      <c r="B422" s="46" t="s">
        <v>251</v>
      </c>
      <c r="C422" s="39" t="s">
        <v>417</v>
      </c>
      <c r="D422" s="102">
        <v>105708355</v>
      </c>
      <c r="E422" s="102">
        <v>2524697218</v>
      </c>
      <c r="F422" s="39" t="s">
        <v>256</v>
      </c>
      <c r="G422" s="81">
        <f>35443+(364+182)</f>
        <v>35989</v>
      </c>
      <c r="H422" s="50" t="str">
        <f t="shared" si="18"/>
        <v>Jul</v>
      </c>
      <c r="I422" s="51">
        <f t="shared" ca="1" si="19"/>
        <v>18</v>
      </c>
      <c r="J422" s="52" t="s">
        <v>262</v>
      </c>
      <c r="K422" s="53">
        <v>71010</v>
      </c>
      <c r="L422" s="54">
        <v>5</v>
      </c>
      <c r="M422" s="59">
        <f t="shared" si="20"/>
        <v>71010</v>
      </c>
      <c r="N422" s="100"/>
      <c r="O422" s="45"/>
      <c r="P422" s="39"/>
      <c r="Q422" s="39"/>
      <c r="R422" s="39"/>
      <c r="S422" s="39"/>
      <c r="T422" s="39"/>
      <c r="U422" s="39"/>
      <c r="V422" s="39"/>
      <c r="W422" s="39"/>
      <c r="X422" s="39"/>
      <c r="Y422" s="39"/>
      <c r="Z422" s="39"/>
      <c r="AA422" s="39"/>
      <c r="AB422" s="39"/>
      <c r="AC422" s="39"/>
      <c r="AD422" s="39"/>
      <c r="AE422" s="39"/>
      <c r="AF422" s="39"/>
      <c r="AG422" s="39"/>
      <c r="AH422" s="39"/>
    </row>
    <row r="423" spans="1:34" s="84" customFormat="1">
      <c r="A423" s="39" t="s">
        <v>828</v>
      </c>
      <c r="B423" s="46" t="s">
        <v>271</v>
      </c>
      <c r="C423" s="39" t="s">
        <v>767</v>
      </c>
      <c r="D423" s="102">
        <v>379340654</v>
      </c>
      <c r="E423" s="102">
        <v>9198642893</v>
      </c>
      <c r="F423" s="39" t="s">
        <v>256</v>
      </c>
      <c r="G423" s="81">
        <f>35444+(364+182)</f>
        <v>35990</v>
      </c>
      <c r="H423" s="50" t="str">
        <f t="shared" si="18"/>
        <v>Jul</v>
      </c>
      <c r="I423" s="51">
        <f t="shared" ca="1" si="19"/>
        <v>18</v>
      </c>
      <c r="J423" s="52" t="s">
        <v>276</v>
      </c>
      <c r="K423" s="53">
        <v>36890</v>
      </c>
      <c r="L423" s="54">
        <v>1</v>
      </c>
      <c r="M423" s="59">
        <f t="shared" si="20"/>
        <v>36890</v>
      </c>
      <c r="N423" s="100"/>
      <c r="O423" s="45"/>
      <c r="P423" s="39"/>
      <c r="Q423" s="39"/>
      <c r="R423" s="39"/>
      <c r="S423" s="39"/>
      <c r="T423" s="39"/>
      <c r="U423" s="39"/>
      <c r="V423" s="39"/>
      <c r="W423" s="39"/>
      <c r="X423" s="39"/>
      <c r="Y423" s="39"/>
      <c r="Z423" s="39"/>
      <c r="AA423" s="39"/>
      <c r="AB423" s="39"/>
      <c r="AC423" s="39"/>
      <c r="AD423" s="39"/>
      <c r="AE423" s="39"/>
      <c r="AF423" s="39"/>
      <c r="AG423" s="39"/>
      <c r="AH423" s="39"/>
    </row>
    <row r="424" spans="1:34" s="84" customFormat="1">
      <c r="A424" s="39" t="s">
        <v>492</v>
      </c>
      <c r="B424" s="46" t="s">
        <v>271</v>
      </c>
      <c r="C424" s="39" t="s">
        <v>465</v>
      </c>
      <c r="D424" s="102">
        <v>332289257</v>
      </c>
      <c r="E424" s="102">
        <v>9198367725</v>
      </c>
      <c r="F424" s="39" t="s">
        <v>247</v>
      </c>
      <c r="G424" s="81">
        <f>35446+(364+182)</f>
        <v>35992</v>
      </c>
      <c r="H424" s="50" t="str">
        <f t="shared" si="18"/>
        <v>Jul</v>
      </c>
      <c r="I424" s="51">
        <f t="shared" ca="1" si="19"/>
        <v>18</v>
      </c>
      <c r="J424" s="52"/>
      <c r="K424" s="53">
        <v>68260</v>
      </c>
      <c r="L424" s="54">
        <v>5</v>
      </c>
      <c r="M424" s="59">
        <f t="shared" si="20"/>
        <v>68260</v>
      </c>
      <c r="N424" s="100"/>
      <c r="O424" s="45"/>
      <c r="P424" s="39"/>
      <c r="Q424" s="39"/>
      <c r="R424" s="39"/>
      <c r="S424" s="39"/>
      <c r="T424" s="39"/>
      <c r="U424" s="39"/>
      <c r="V424" s="39"/>
      <c r="W424" s="39"/>
      <c r="X424" s="39"/>
      <c r="Y424" s="39"/>
      <c r="Z424" s="39"/>
      <c r="AA424" s="39"/>
      <c r="AB424" s="39"/>
      <c r="AC424" s="39"/>
      <c r="AD424" s="39"/>
      <c r="AE424" s="39"/>
      <c r="AF424" s="39"/>
      <c r="AG424" s="39"/>
      <c r="AH424" s="39"/>
    </row>
    <row r="425" spans="1:34" s="84" customFormat="1">
      <c r="A425" s="39" t="s">
        <v>537</v>
      </c>
      <c r="B425" s="46" t="s">
        <v>271</v>
      </c>
      <c r="C425" s="39" t="s">
        <v>465</v>
      </c>
      <c r="D425" s="102">
        <v>280304785</v>
      </c>
      <c r="E425" s="102">
        <v>2525918708</v>
      </c>
      <c r="F425" s="39" t="s">
        <v>256</v>
      </c>
      <c r="G425" s="81">
        <f>35450+(364+182)</f>
        <v>35996</v>
      </c>
      <c r="H425" s="50" t="str">
        <f t="shared" si="18"/>
        <v>Jul</v>
      </c>
      <c r="I425" s="51">
        <f t="shared" ca="1" si="19"/>
        <v>18</v>
      </c>
      <c r="J425" s="52" t="s">
        <v>257</v>
      </c>
      <c r="K425" s="53">
        <v>40340</v>
      </c>
      <c r="L425" s="54">
        <v>2</v>
      </c>
      <c r="M425" s="59">
        <f t="shared" si="20"/>
        <v>40340</v>
      </c>
      <c r="N425" s="100"/>
      <c r="O425" s="45"/>
      <c r="P425" s="39"/>
      <c r="Q425" s="39"/>
      <c r="R425" s="39"/>
      <c r="S425" s="39"/>
      <c r="T425" s="39"/>
      <c r="U425" s="39"/>
      <c r="V425" s="39"/>
      <c r="W425" s="39"/>
      <c r="X425" s="39"/>
      <c r="Y425" s="39"/>
      <c r="Z425" s="39"/>
      <c r="AA425" s="39"/>
      <c r="AB425" s="39"/>
      <c r="AC425" s="39"/>
      <c r="AD425" s="39"/>
      <c r="AE425" s="39"/>
      <c r="AF425" s="39"/>
      <c r="AG425" s="39"/>
      <c r="AH425" s="39"/>
    </row>
    <row r="426" spans="1:34" s="84" customFormat="1">
      <c r="A426" s="39" t="s">
        <v>614</v>
      </c>
      <c r="B426" s="46" t="s">
        <v>285</v>
      </c>
      <c r="C426" s="39" t="s">
        <v>465</v>
      </c>
      <c r="D426" s="102">
        <v>542653222</v>
      </c>
      <c r="E426" s="102">
        <v>9193708610</v>
      </c>
      <c r="F426" s="39" t="s">
        <v>247</v>
      </c>
      <c r="G426" s="81">
        <f>35451+(364+182)</f>
        <v>35997</v>
      </c>
      <c r="H426" s="50" t="str">
        <f t="shared" si="18"/>
        <v>Jul</v>
      </c>
      <c r="I426" s="51">
        <f t="shared" ca="1" si="19"/>
        <v>18</v>
      </c>
      <c r="J426" s="52"/>
      <c r="K426" s="53">
        <v>72520</v>
      </c>
      <c r="L426" s="54">
        <v>3</v>
      </c>
      <c r="M426" s="59">
        <f t="shared" si="20"/>
        <v>72520</v>
      </c>
      <c r="N426" s="100"/>
      <c r="O426" s="45"/>
      <c r="P426" s="39"/>
      <c r="Q426" s="39"/>
      <c r="R426" s="39"/>
      <c r="S426" s="39"/>
      <c r="T426" s="39"/>
      <c r="U426" s="39"/>
      <c r="V426" s="39"/>
      <c r="W426" s="39"/>
      <c r="X426" s="39"/>
      <c r="Y426" s="39"/>
      <c r="Z426" s="39"/>
      <c r="AA426" s="39"/>
      <c r="AB426" s="39"/>
      <c r="AC426" s="39"/>
      <c r="AD426" s="39"/>
      <c r="AE426" s="39"/>
      <c r="AF426" s="39"/>
      <c r="AG426" s="39"/>
      <c r="AH426" s="39"/>
    </row>
    <row r="427" spans="1:34" s="84" customFormat="1">
      <c r="A427" s="39" t="s">
        <v>393</v>
      </c>
      <c r="B427" s="46" t="s">
        <v>266</v>
      </c>
      <c r="C427" s="39" t="s">
        <v>391</v>
      </c>
      <c r="D427" s="102">
        <v>707882019</v>
      </c>
      <c r="E427" s="102">
        <v>2523373445</v>
      </c>
      <c r="F427" s="39" t="s">
        <v>247</v>
      </c>
      <c r="G427" s="81">
        <f>35796+(364+182)</f>
        <v>36342</v>
      </c>
      <c r="H427" s="50" t="str">
        <f t="shared" si="18"/>
        <v>Jul</v>
      </c>
      <c r="I427" s="51">
        <f t="shared" ca="1" si="19"/>
        <v>17</v>
      </c>
      <c r="J427" s="52"/>
      <c r="K427" s="53">
        <v>86970</v>
      </c>
      <c r="L427" s="54">
        <v>4</v>
      </c>
      <c r="M427" s="59">
        <f t="shared" si="20"/>
        <v>86970</v>
      </c>
      <c r="N427" s="100"/>
      <c r="O427" s="45"/>
      <c r="P427" s="39"/>
      <c r="Q427" s="39"/>
      <c r="R427" s="39"/>
      <c r="S427" s="39"/>
      <c r="T427" s="39"/>
      <c r="U427" s="39"/>
      <c r="V427" s="39"/>
      <c r="W427" s="39"/>
      <c r="X427" s="39"/>
      <c r="Y427" s="39"/>
      <c r="Z427" s="39"/>
      <c r="AA427" s="39"/>
      <c r="AB427" s="39"/>
      <c r="AC427" s="39"/>
      <c r="AD427" s="39"/>
      <c r="AE427" s="39"/>
      <c r="AF427" s="39"/>
      <c r="AG427" s="39"/>
      <c r="AH427" s="39"/>
    </row>
    <row r="428" spans="1:34" s="84" customFormat="1">
      <c r="A428" s="39" t="s">
        <v>572</v>
      </c>
      <c r="B428" s="46" t="s">
        <v>266</v>
      </c>
      <c r="C428" s="39" t="s">
        <v>465</v>
      </c>
      <c r="D428" s="102">
        <v>596641549</v>
      </c>
      <c r="E428" s="102">
        <v>9196194175</v>
      </c>
      <c r="F428" s="39" t="s">
        <v>247</v>
      </c>
      <c r="G428" s="81">
        <f>35804+(364+182)</f>
        <v>36350</v>
      </c>
      <c r="H428" s="50" t="str">
        <f t="shared" si="18"/>
        <v>Jul</v>
      </c>
      <c r="I428" s="51">
        <f t="shared" ca="1" si="19"/>
        <v>17</v>
      </c>
      <c r="J428" s="52"/>
      <c r="K428" s="53">
        <v>27380</v>
      </c>
      <c r="L428" s="54">
        <v>3</v>
      </c>
      <c r="M428" s="59">
        <f t="shared" si="20"/>
        <v>27380</v>
      </c>
      <c r="N428" s="100"/>
      <c r="O428" s="45"/>
      <c r="P428" s="39"/>
      <c r="Q428" s="39"/>
      <c r="R428" s="39"/>
      <c r="S428" s="39"/>
      <c r="T428" s="39"/>
      <c r="U428" s="39"/>
      <c r="V428" s="39"/>
      <c r="W428" s="39"/>
      <c r="X428" s="39"/>
      <c r="Y428" s="39"/>
      <c r="Z428" s="39"/>
      <c r="AA428" s="39"/>
      <c r="AB428" s="39"/>
      <c r="AC428" s="39"/>
      <c r="AD428" s="39"/>
      <c r="AE428" s="39"/>
      <c r="AF428" s="39"/>
      <c r="AG428" s="39"/>
      <c r="AH428" s="39"/>
    </row>
    <row r="429" spans="1:34" s="84" customFormat="1">
      <c r="A429" s="39" t="s">
        <v>408</v>
      </c>
      <c r="B429" s="46" t="s">
        <v>271</v>
      </c>
      <c r="C429" s="39" t="s">
        <v>391</v>
      </c>
      <c r="D429" s="102">
        <v>907491320</v>
      </c>
      <c r="E429" s="102">
        <v>2525724528</v>
      </c>
      <c r="F429" s="39" t="s">
        <v>261</v>
      </c>
      <c r="G429" s="81">
        <f>35811+(364+182)</f>
        <v>36357</v>
      </c>
      <c r="H429" s="50" t="str">
        <f t="shared" si="18"/>
        <v>Jul</v>
      </c>
      <c r="I429" s="51">
        <f t="shared" ca="1" si="19"/>
        <v>17</v>
      </c>
      <c r="J429" s="52" t="s">
        <v>276</v>
      </c>
      <c r="K429" s="53">
        <v>42905</v>
      </c>
      <c r="L429" s="54">
        <v>1</v>
      </c>
      <c r="M429" s="59">
        <f t="shared" si="20"/>
        <v>42905</v>
      </c>
      <c r="N429" s="100"/>
      <c r="O429" s="45"/>
      <c r="P429" s="39"/>
      <c r="Q429" s="39"/>
      <c r="R429" s="39"/>
      <c r="S429" s="39"/>
      <c r="T429" s="39"/>
      <c r="U429" s="39"/>
      <c r="V429" s="39"/>
      <c r="W429" s="39"/>
      <c r="X429" s="39"/>
      <c r="Y429" s="39"/>
      <c r="Z429" s="39"/>
      <c r="AA429" s="39"/>
      <c r="AB429" s="39"/>
      <c r="AC429" s="39"/>
      <c r="AD429" s="39"/>
      <c r="AE429" s="39"/>
      <c r="AF429" s="39"/>
      <c r="AG429" s="39"/>
      <c r="AH429" s="39"/>
    </row>
    <row r="430" spans="1:34" s="84" customFormat="1">
      <c r="A430" s="39" t="s">
        <v>562</v>
      </c>
      <c r="B430" s="46" t="s">
        <v>285</v>
      </c>
      <c r="C430" s="39" t="s">
        <v>465</v>
      </c>
      <c r="D430" s="102">
        <v>110547055</v>
      </c>
      <c r="E430" s="102">
        <v>2526966637</v>
      </c>
      <c r="F430" s="39" t="s">
        <v>261</v>
      </c>
      <c r="G430" s="81">
        <f>35814+(364+182)</f>
        <v>36360</v>
      </c>
      <c r="H430" s="50" t="str">
        <f t="shared" si="18"/>
        <v>Jul</v>
      </c>
      <c r="I430" s="51">
        <f t="shared" ca="1" si="19"/>
        <v>17</v>
      </c>
      <c r="J430" s="52" t="s">
        <v>283</v>
      </c>
      <c r="K430" s="53">
        <v>11065</v>
      </c>
      <c r="L430" s="54">
        <v>1</v>
      </c>
      <c r="M430" s="59">
        <f t="shared" si="20"/>
        <v>11065</v>
      </c>
      <c r="N430" s="100"/>
      <c r="O430" s="45"/>
      <c r="P430" s="39"/>
      <c r="Q430" s="39"/>
      <c r="R430" s="39"/>
      <c r="S430" s="39"/>
      <c r="T430" s="39"/>
      <c r="U430" s="39"/>
      <c r="V430" s="39"/>
      <c r="W430" s="39"/>
      <c r="X430" s="39"/>
      <c r="Y430" s="39"/>
      <c r="Z430" s="39"/>
      <c r="AA430" s="39"/>
      <c r="AB430" s="39"/>
      <c r="AC430" s="39"/>
      <c r="AD430" s="39"/>
      <c r="AE430" s="39"/>
      <c r="AF430" s="39"/>
      <c r="AG430" s="39"/>
      <c r="AH430" s="39"/>
    </row>
    <row r="431" spans="1:34" s="84" customFormat="1">
      <c r="A431" s="39" t="s">
        <v>913</v>
      </c>
      <c r="B431" s="46" t="s">
        <v>245</v>
      </c>
      <c r="C431" s="39" t="s">
        <v>856</v>
      </c>
      <c r="D431" s="102">
        <v>288741910</v>
      </c>
      <c r="E431" s="102">
        <v>2522842668</v>
      </c>
      <c r="F431" s="39" t="s">
        <v>256</v>
      </c>
      <c r="G431" s="81">
        <f>35814+(364+182)</f>
        <v>36360</v>
      </c>
      <c r="H431" s="50" t="str">
        <f t="shared" si="18"/>
        <v>Jul</v>
      </c>
      <c r="I431" s="51">
        <f t="shared" ca="1" si="19"/>
        <v>17</v>
      </c>
      <c r="J431" s="52" t="s">
        <v>283</v>
      </c>
      <c r="K431" s="53">
        <v>67020</v>
      </c>
      <c r="L431" s="54">
        <v>1</v>
      </c>
      <c r="M431" s="59">
        <f t="shared" si="20"/>
        <v>67020</v>
      </c>
      <c r="N431" s="100"/>
      <c r="O431" s="45"/>
      <c r="P431" s="39"/>
      <c r="Q431" s="39"/>
      <c r="R431" s="39"/>
      <c r="S431" s="39"/>
      <c r="T431" s="39"/>
      <c r="U431" s="39"/>
      <c r="V431" s="39"/>
      <c r="W431" s="39"/>
      <c r="X431" s="39"/>
      <c r="Y431" s="39"/>
      <c r="Z431" s="39"/>
      <c r="AA431" s="39"/>
      <c r="AB431" s="39"/>
      <c r="AC431" s="39"/>
      <c r="AD431" s="39"/>
      <c r="AE431" s="39"/>
      <c r="AF431" s="39"/>
      <c r="AG431" s="39"/>
      <c r="AH431" s="39"/>
    </row>
    <row r="432" spans="1:34" s="84" customFormat="1">
      <c r="A432" s="39" t="s">
        <v>997</v>
      </c>
      <c r="B432" s="46" t="s">
        <v>251</v>
      </c>
      <c r="C432" s="39" t="s">
        <v>930</v>
      </c>
      <c r="D432" s="102">
        <v>900160539</v>
      </c>
      <c r="E432" s="102">
        <v>2522749909</v>
      </c>
      <c r="F432" s="39" t="s">
        <v>261</v>
      </c>
      <c r="G432" s="81">
        <f>35819+(364+182)</f>
        <v>36365</v>
      </c>
      <c r="H432" s="50" t="str">
        <f t="shared" si="18"/>
        <v>Jul</v>
      </c>
      <c r="I432" s="51">
        <f t="shared" ca="1" si="19"/>
        <v>17</v>
      </c>
      <c r="J432" s="52" t="s">
        <v>267</v>
      </c>
      <c r="K432" s="53">
        <v>19825</v>
      </c>
      <c r="L432" s="54">
        <v>2</v>
      </c>
      <c r="M432" s="59">
        <f t="shared" si="20"/>
        <v>19825</v>
      </c>
      <c r="N432" s="100"/>
      <c r="O432" s="45"/>
      <c r="P432" s="39"/>
      <c r="Q432" s="39"/>
      <c r="R432" s="39"/>
      <c r="S432" s="39"/>
      <c r="T432" s="39"/>
      <c r="U432" s="39"/>
      <c r="V432" s="39"/>
      <c r="W432" s="39"/>
      <c r="X432" s="39"/>
      <c r="Y432" s="39"/>
      <c r="Z432" s="39"/>
      <c r="AA432" s="39"/>
      <c r="AB432" s="39"/>
      <c r="AC432" s="39"/>
      <c r="AD432" s="39"/>
      <c r="AE432" s="39"/>
      <c r="AF432" s="39"/>
      <c r="AG432" s="39"/>
      <c r="AH432" s="39"/>
    </row>
    <row r="433" spans="1:34" s="84" customFormat="1">
      <c r="A433" s="39" t="s">
        <v>667</v>
      </c>
      <c r="B433" s="46" t="s">
        <v>280</v>
      </c>
      <c r="C433" s="39" t="s">
        <v>626</v>
      </c>
      <c r="D433" s="102">
        <v>357081517</v>
      </c>
      <c r="E433" s="102">
        <v>2527660273</v>
      </c>
      <c r="F433" s="39" t="s">
        <v>261</v>
      </c>
      <c r="G433" s="81">
        <f>35825+(364+182)</f>
        <v>36371</v>
      </c>
      <c r="H433" s="50" t="str">
        <f t="shared" si="18"/>
        <v>Jul</v>
      </c>
      <c r="I433" s="51">
        <f t="shared" ca="1" si="19"/>
        <v>17</v>
      </c>
      <c r="J433" s="52" t="s">
        <v>283</v>
      </c>
      <c r="K433" s="53">
        <v>26790</v>
      </c>
      <c r="L433" s="54">
        <v>2</v>
      </c>
      <c r="M433" s="59">
        <f t="shared" si="20"/>
        <v>26790</v>
      </c>
      <c r="N433" s="100"/>
      <c r="O433" s="45"/>
      <c r="P433" s="39"/>
      <c r="Q433" s="39"/>
      <c r="R433" s="39"/>
      <c r="S433" s="39"/>
      <c r="T433" s="39"/>
      <c r="U433" s="39"/>
      <c r="V433" s="39"/>
      <c r="W433" s="39"/>
      <c r="X433" s="39"/>
      <c r="Y433" s="39"/>
      <c r="Z433" s="39"/>
      <c r="AA433" s="39"/>
      <c r="AB433" s="39"/>
      <c r="AC433" s="39"/>
      <c r="AD433" s="39"/>
      <c r="AE433" s="39"/>
      <c r="AF433" s="39"/>
      <c r="AG433" s="39"/>
      <c r="AH433" s="39"/>
    </row>
    <row r="434" spans="1:34" s="84" customFormat="1">
      <c r="A434" s="39" t="s">
        <v>534</v>
      </c>
      <c r="B434" s="46" t="s">
        <v>285</v>
      </c>
      <c r="C434" s="39" t="s">
        <v>465</v>
      </c>
      <c r="D434" s="102">
        <v>130619578</v>
      </c>
      <c r="E434" s="102">
        <v>9195057530</v>
      </c>
      <c r="F434" s="39" t="s">
        <v>247</v>
      </c>
      <c r="G434" s="81">
        <f>36172+(364+182)</f>
        <v>36718</v>
      </c>
      <c r="H434" s="50" t="str">
        <f t="shared" si="18"/>
        <v>Jul</v>
      </c>
      <c r="I434" s="51">
        <f t="shared" ca="1" si="19"/>
        <v>16</v>
      </c>
      <c r="J434" s="52"/>
      <c r="K434" s="53">
        <v>89520</v>
      </c>
      <c r="L434" s="54">
        <v>5</v>
      </c>
      <c r="M434" s="59">
        <f t="shared" si="20"/>
        <v>89520</v>
      </c>
      <c r="N434" s="100"/>
      <c r="O434" s="45"/>
      <c r="P434" s="39"/>
      <c r="Q434" s="39"/>
      <c r="R434" s="39"/>
      <c r="S434" s="39"/>
      <c r="T434" s="39"/>
      <c r="U434" s="39"/>
      <c r="V434" s="39"/>
      <c r="W434" s="39"/>
      <c r="X434" s="39"/>
      <c r="Y434" s="39"/>
      <c r="Z434" s="39"/>
      <c r="AA434" s="39"/>
      <c r="AB434" s="39"/>
      <c r="AC434" s="39"/>
      <c r="AD434" s="39"/>
      <c r="AE434" s="39"/>
      <c r="AF434" s="39"/>
      <c r="AG434" s="39"/>
      <c r="AH434" s="39"/>
    </row>
    <row r="435" spans="1:34" s="84" customFormat="1">
      <c r="A435" s="39" t="s">
        <v>545</v>
      </c>
      <c r="B435" s="46" t="s">
        <v>285</v>
      </c>
      <c r="C435" s="39" t="s">
        <v>465</v>
      </c>
      <c r="D435" s="102">
        <v>251824309</v>
      </c>
      <c r="E435" s="102">
        <v>9197950668</v>
      </c>
      <c r="F435" s="39" t="s">
        <v>247</v>
      </c>
      <c r="G435" s="81">
        <f>36183+(364+182)</f>
        <v>36729</v>
      </c>
      <c r="H435" s="50" t="str">
        <f t="shared" si="18"/>
        <v>Jul</v>
      </c>
      <c r="I435" s="51">
        <f t="shared" ca="1" si="19"/>
        <v>16</v>
      </c>
      <c r="J435" s="52"/>
      <c r="K435" s="53">
        <v>45420</v>
      </c>
      <c r="L435" s="54">
        <v>1</v>
      </c>
      <c r="M435" s="59">
        <f t="shared" si="20"/>
        <v>45420</v>
      </c>
      <c r="N435" s="100"/>
      <c r="O435" s="45"/>
      <c r="P435" s="39"/>
      <c r="Q435" s="39"/>
      <c r="R435" s="39"/>
      <c r="S435" s="39"/>
      <c r="T435" s="39"/>
      <c r="U435" s="39"/>
      <c r="V435" s="39"/>
      <c r="W435" s="39"/>
      <c r="X435" s="39"/>
      <c r="Y435" s="39"/>
      <c r="Z435" s="39"/>
      <c r="AA435" s="39"/>
      <c r="AB435" s="39"/>
      <c r="AC435" s="39"/>
      <c r="AD435" s="39"/>
      <c r="AE435" s="39"/>
      <c r="AF435" s="39"/>
      <c r="AG435" s="39"/>
      <c r="AH435" s="39"/>
    </row>
    <row r="436" spans="1:34" s="84" customFormat="1">
      <c r="A436" s="39" t="s">
        <v>1027</v>
      </c>
      <c r="B436" s="46" t="s">
        <v>245</v>
      </c>
      <c r="C436" s="39" t="s">
        <v>1025</v>
      </c>
      <c r="D436" s="102">
        <v>797985708</v>
      </c>
      <c r="E436" s="102">
        <v>9193578185</v>
      </c>
      <c r="F436" s="39" t="s">
        <v>256</v>
      </c>
      <c r="G436" s="81">
        <f>36527+(364+182)</f>
        <v>37073</v>
      </c>
      <c r="H436" s="50" t="str">
        <f t="shared" si="18"/>
        <v>Jul</v>
      </c>
      <c r="I436" s="51">
        <f t="shared" ca="1" si="19"/>
        <v>15</v>
      </c>
      <c r="J436" s="52" t="s">
        <v>276</v>
      </c>
      <c r="K436" s="53">
        <v>40680</v>
      </c>
      <c r="L436" s="54">
        <v>5</v>
      </c>
      <c r="M436" s="59">
        <f t="shared" si="20"/>
        <v>40680</v>
      </c>
      <c r="N436" s="100"/>
      <c r="O436" s="45"/>
      <c r="P436" s="39"/>
      <c r="Q436" s="39"/>
      <c r="R436" s="39"/>
      <c r="S436" s="39"/>
      <c r="T436" s="39"/>
      <c r="U436" s="39"/>
      <c r="V436" s="39"/>
      <c r="W436" s="39"/>
      <c r="X436" s="39"/>
      <c r="Y436" s="39"/>
      <c r="Z436" s="39"/>
      <c r="AA436" s="39"/>
      <c r="AB436" s="39"/>
      <c r="AC436" s="39"/>
      <c r="AD436" s="39"/>
      <c r="AE436" s="39"/>
      <c r="AF436" s="39"/>
      <c r="AG436" s="39"/>
      <c r="AH436" s="39"/>
    </row>
    <row r="437" spans="1:34" s="84" customFormat="1">
      <c r="A437" s="39" t="s">
        <v>926</v>
      </c>
      <c r="B437" s="46" t="s">
        <v>251</v>
      </c>
      <c r="C437" s="39" t="s">
        <v>856</v>
      </c>
      <c r="D437" s="102">
        <v>368385341</v>
      </c>
      <c r="E437" s="102">
        <v>9195526537</v>
      </c>
      <c r="F437" s="39" t="s">
        <v>247</v>
      </c>
      <c r="G437" s="81">
        <f>36536+(364+182)</f>
        <v>37082</v>
      </c>
      <c r="H437" s="50" t="str">
        <f t="shared" si="18"/>
        <v>Jul</v>
      </c>
      <c r="I437" s="51">
        <f t="shared" ca="1" si="19"/>
        <v>15</v>
      </c>
      <c r="J437" s="52"/>
      <c r="K437" s="53">
        <v>46780</v>
      </c>
      <c r="L437" s="54">
        <v>2</v>
      </c>
      <c r="M437" s="59">
        <f t="shared" si="20"/>
        <v>46780</v>
      </c>
      <c r="N437" s="100"/>
      <c r="O437" s="45"/>
      <c r="P437" s="39"/>
      <c r="Q437" s="39"/>
      <c r="R437" s="39"/>
      <c r="S437" s="39"/>
      <c r="T437" s="39"/>
      <c r="U437" s="39"/>
      <c r="V437" s="39"/>
      <c r="W437" s="39"/>
      <c r="X437" s="39"/>
      <c r="Y437" s="39"/>
      <c r="Z437" s="39"/>
      <c r="AA437" s="39"/>
      <c r="AB437" s="39"/>
      <c r="AC437" s="39"/>
      <c r="AD437" s="39"/>
      <c r="AE437" s="39"/>
      <c r="AF437" s="39"/>
      <c r="AG437" s="39"/>
      <c r="AH437" s="39"/>
    </row>
    <row r="438" spans="1:34" s="84" customFormat="1">
      <c r="A438" s="39" t="s">
        <v>975</v>
      </c>
      <c r="B438" s="46" t="s">
        <v>271</v>
      </c>
      <c r="C438" s="39" t="s">
        <v>930</v>
      </c>
      <c r="D438" s="102">
        <v>916944119</v>
      </c>
      <c r="E438" s="102">
        <v>2524907564</v>
      </c>
      <c r="F438" s="39" t="s">
        <v>247</v>
      </c>
      <c r="G438" s="108">
        <f>36553+(364+182)</f>
        <v>37099</v>
      </c>
      <c r="H438" s="50" t="str">
        <f t="shared" si="18"/>
        <v>Jul</v>
      </c>
      <c r="I438" s="51">
        <f t="shared" ca="1" si="19"/>
        <v>15</v>
      </c>
      <c r="J438" s="52"/>
      <c r="K438" s="53">
        <v>28270</v>
      </c>
      <c r="L438" s="54">
        <v>5</v>
      </c>
      <c r="M438" s="59">
        <f t="shared" si="20"/>
        <v>28270</v>
      </c>
      <c r="N438" s="100"/>
      <c r="O438" s="45"/>
      <c r="P438" s="39"/>
      <c r="Q438" s="39"/>
      <c r="R438" s="39"/>
      <c r="S438" s="39"/>
      <c r="T438" s="39"/>
      <c r="U438" s="39"/>
      <c r="V438" s="39"/>
      <c r="W438" s="39"/>
      <c r="X438" s="39"/>
      <c r="Y438" s="39"/>
      <c r="Z438" s="39"/>
      <c r="AA438" s="39"/>
      <c r="AB438" s="39"/>
      <c r="AC438" s="39"/>
      <c r="AD438" s="39"/>
      <c r="AE438" s="39"/>
      <c r="AF438" s="39"/>
      <c r="AG438" s="39"/>
      <c r="AH438" s="39"/>
    </row>
    <row r="439" spans="1:34" s="84" customFormat="1">
      <c r="A439" s="39" t="s">
        <v>1005</v>
      </c>
      <c r="B439" s="46" t="s">
        <v>266</v>
      </c>
      <c r="C439" s="39" t="s">
        <v>930</v>
      </c>
      <c r="D439" s="102">
        <v>626648632</v>
      </c>
      <c r="E439" s="102">
        <v>2526412482</v>
      </c>
      <c r="F439" s="39" t="s">
        <v>247</v>
      </c>
      <c r="G439" s="81">
        <f>36907+(364+182)</f>
        <v>37453</v>
      </c>
      <c r="H439" s="50" t="str">
        <f t="shared" si="18"/>
        <v>Jul</v>
      </c>
      <c r="I439" s="51">
        <f t="shared" ca="1" si="19"/>
        <v>14</v>
      </c>
      <c r="J439" s="52"/>
      <c r="K439" s="53">
        <v>49090</v>
      </c>
      <c r="L439" s="54">
        <v>4</v>
      </c>
      <c r="M439" s="59">
        <f t="shared" si="20"/>
        <v>49090</v>
      </c>
      <c r="N439" s="100"/>
      <c r="O439" s="45"/>
      <c r="P439" s="39"/>
      <c r="Q439" s="39"/>
      <c r="R439" s="39"/>
      <c r="S439" s="39"/>
      <c r="T439" s="39"/>
      <c r="U439" s="39"/>
      <c r="V439" s="39"/>
      <c r="W439" s="39"/>
      <c r="X439" s="39"/>
      <c r="Y439" s="39"/>
      <c r="Z439" s="39"/>
      <c r="AA439" s="39"/>
      <c r="AB439" s="39"/>
      <c r="AC439" s="39"/>
      <c r="AD439" s="39"/>
      <c r="AE439" s="39"/>
      <c r="AF439" s="39"/>
      <c r="AG439" s="39"/>
      <c r="AH439" s="39"/>
    </row>
    <row r="440" spans="1:34" s="84" customFormat="1">
      <c r="A440" s="39" t="s">
        <v>689</v>
      </c>
      <c r="B440" s="46" t="s">
        <v>285</v>
      </c>
      <c r="C440" s="39" t="s">
        <v>678</v>
      </c>
      <c r="D440" s="102">
        <v>167646549</v>
      </c>
      <c r="E440" s="102">
        <v>9197187041</v>
      </c>
      <c r="F440" s="39" t="s">
        <v>247</v>
      </c>
      <c r="G440" s="81">
        <f>37257+(364+182)</f>
        <v>37803</v>
      </c>
      <c r="H440" s="50" t="str">
        <f t="shared" si="18"/>
        <v>Jul</v>
      </c>
      <c r="I440" s="51">
        <f t="shared" ca="1" si="19"/>
        <v>13</v>
      </c>
      <c r="J440" s="52"/>
      <c r="K440" s="53">
        <v>78100</v>
      </c>
      <c r="L440" s="54">
        <v>3</v>
      </c>
      <c r="M440" s="59">
        <f t="shared" si="20"/>
        <v>78100</v>
      </c>
      <c r="N440" s="100"/>
      <c r="O440" s="45"/>
      <c r="P440" s="39"/>
      <c r="Q440" s="39"/>
      <c r="R440" s="39"/>
      <c r="S440" s="39"/>
      <c r="T440" s="39"/>
      <c r="U440" s="39"/>
      <c r="V440" s="39"/>
      <c r="W440" s="39"/>
      <c r="X440" s="39"/>
      <c r="Y440" s="39"/>
      <c r="Z440" s="39"/>
      <c r="AA440" s="39"/>
      <c r="AB440" s="39"/>
      <c r="AC440" s="39"/>
      <c r="AD440" s="39"/>
      <c r="AE440" s="39"/>
      <c r="AF440" s="39"/>
      <c r="AG440" s="39"/>
      <c r="AH440" s="39"/>
    </row>
    <row r="441" spans="1:34" s="84" customFormat="1">
      <c r="A441" s="39" t="s">
        <v>946</v>
      </c>
      <c r="B441" s="46" t="s">
        <v>285</v>
      </c>
      <c r="C441" s="39" t="s">
        <v>930</v>
      </c>
      <c r="D441" s="102">
        <v>177324163</v>
      </c>
      <c r="E441" s="102">
        <v>2527091949</v>
      </c>
      <c r="F441" s="39" t="s">
        <v>256</v>
      </c>
      <c r="G441" s="81">
        <f>37264+(364+182)</f>
        <v>37810</v>
      </c>
      <c r="H441" s="50" t="str">
        <f t="shared" si="18"/>
        <v>Jul</v>
      </c>
      <c r="I441" s="51">
        <f t="shared" ca="1" si="19"/>
        <v>13</v>
      </c>
      <c r="J441" s="52" t="s">
        <v>283</v>
      </c>
      <c r="K441" s="53">
        <v>48010</v>
      </c>
      <c r="L441" s="54">
        <v>3</v>
      </c>
      <c r="M441" s="59">
        <f t="shared" si="20"/>
        <v>48010</v>
      </c>
      <c r="N441" s="100"/>
      <c r="O441" s="45"/>
      <c r="P441" s="39"/>
      <c r="Q441" s="39"/>
      <c r="R441" s="39"/>
      <c r="S441" s="39"/>
      <c r="T441" s="39"/>
      <c r="U441" s="39"/>
      <c r="V441" s="39"/>
      <c r="W441" s="39"/>
      <c r="X441" s="39"/>
      <c r="Y441" s="39"/>
      <c r="Z441" s="39"/>
      <c r="AA441" s="39"/>
      <c r="AB441" s="39"/>
      <c r="AC441" s="39"/>
      <c r="AD441" s="39"/>
      <c r="AE441" s="39"/>
      <c r="AF441" s="39"/>
      <c r="AG441" s="39"/>
      <c r="AH441" s="39"/>
    </row>
    <row r="442" spans="1:34" s="84" customFormat="1">
      <c r="A442" s="39" t="s">
        <v>881</v>
      </c>
      <c r="B442" s="46" t="s">
        <v>280</v>
      </c>
      <c r="C442" s="39" t="s">
        <v>856</v>
      </c>
      <c r="D442" s="102">
        <v>614562070</v>
      </c>
      <c r="E442" s="102">
        <v>9192485673</v>
      </c>
      <c r="F442" s="39" t="s">
        <v>261</v>
      </c>
      <c r="G442" s="81">
        <f>37269+(364+182)</f>
        <v>37815</v>
      </c>
      <c r="H442" s="50" t="str">
        <f t="shared" si="18"/>
        <v>Jul</v>
      </c>
      <c r="I442" s="51">
        <f t="shared" ca="1" si="19"/>
        <v>13</v>
      </c>
      <c r="J442" s="52" t="s">
        <v>257</v>
      </c>
      <c r="K442" s="53">
        <v>48740</v>
      </c>
      <c r="L442" s="54">
        <v>1</v>
      </c>
      <c r="M442" s="59">
        <f t="shared" si="20"/>
        <v>48740</v>
      </c>
      <c r="N442" s="100"/>
      <c r="O442" s="45"/>
      <c r="P442" s="39"/>
      <c r="Q442" s="39"/>
      <c r="R442" s="39"/>
      <c r="S442" s="39"/>
      <c r="T442" s="39"/>
      <c r="U442" s="39"/>
      <c r="V442" s="39"/>
      <c r="W442" s="39"/>
      <c r="X442" s="39"/>
      <c r="Y442" s="39"/>
      <c r="Z442" s="39"/>
      <c r="AA442" s="39"/>
      <c r="AB442" s="39"/>
      <c r="AC442" s="39"/>
      <c r="AD442" s="39"/>
      <c r="AE442" s="39"/>
      <c r="AF442" s="39"/>
      <c r="AG442" s="39"/>
      <c r="AH442" s="39"/>
    </row>
    <row r="443" spans="1:34" s="84" customFormat="1">
      <c r="A443" s="39" t="s">
        <v>493</v>
      </c>
      <c r="B443" s="46" t="s">
        <v>266</v>
      </c>
      <c r="C443" s="39" t="s">
        <v>465</v>
      </c>
      <c r="D443" s="102">
        <v>143534593</v>
      </c>
      <c r="E443" s="102">
        <v>2527172882</v>
      </c>
      <c r="F443" s="39" t="s">
        <v>247</v>
      </c>
      <c r="G443" s="81">
        <f>37274+(364+182)</f>
        <v>37820</v>
      </c>
      <c r="H443" s="50" t="str">
        <f t="shared" si="18"/>
        <v>Jul</v>
      </c>
      <c r="I443" s="51">
        <f t="shared" ca="1" si="19"/>
        <v>13</v>
      </c>
      <c r="J443" s="52"/>
      <c r="K443" s="53">
        <v>75420</v>
      </c>
      <c r="L443" s="54">
        <v>1</v>
      </c>
      <c r="M443" s="59">
        <f t="shared" si="20"/>
        <v>75420</v>
      </c>
      <c r="N443" s="100"/>
      <c r="O443" s="45"/>
      <c r="P443" s="39"/>
      <c r="Q443" s="39"/>
      <c r="R443" s="39"/>
      <c r="S443" s="39"/>
      <c r="T443" s="39"/>
      <c r="U443" s="39"/>
      <c r="V443" s="39"/>
      <c r="W443" s="39"/>
      <c r="X443" s="39"/>
      <c r="Y443" s="39"/>
      <c r="Z443" s="39"/>
      <c r="AA443" s="39"/>
      <c r="AB443" s="39"/>
      <c r="AC443" s="39"/>
      <c r="AD443" s="39"/>
      <c r="AE443" s="39"/>
      <c r="AF443" s="39"/>
      <c r="AG443" s="39"/>
      <c r="AH443" s="39"/>
    </row>
    <row r="444" spans="1:34" s="84" customFormat="1">
      <c r="A444" s="39" t="s">
        <v>683</v>
      </c>
      <c r="B444" s="46" t="s">
        <v>266</v>
      </c>
      <c r="C444" s="39" t="s">
        <v>678</v>
      </c>
      <c r="D444" s="102">
        <v>917195248</v>
      </c>
      <c r="E444" s="102">
        <v>9194605984</v>
      </c>
      <c r="F444" s="39" t="s">
        <v>252</v>
      </c>
      <c r="G444" s="81">
        <f>37281+(364+182)</f>
        <v>37827</v>
      </c>
      <c r="H444" s="50" t="str">
        <f t="shared" si="18"/>
        <v>Jul</v>
      </c>
      <c r="I444" s="51">
        <f t="shared" ca="1" si="19"/>
        <v>13</v>
      </c>
      <c r="J444" s="52"/>
      <c r="K444" s="53">
        <v>11044</v>
      </c>
      <c r="L444" s="54">
        <v>2</v>
      </c>
      <c r="M444" s="59">
        <f t="shared" si="20"/>
        <v>11044</v>
      </c>
      <c r="N444" s="100"/>
      <c r="O444" s="45"/>
      <c r="P444" s="39"/>
      <c r="Q444" s="39"/>
      <c r="R444" s="39"/>
      <c r="S444" s="39"/>
      <c r="T444" s="39"/>
      <c r="U444" s="39"/>
      <c r="V444" s="39"/>
      <c r="W444" s="39"/>
      <c r="X444" s="39"/>
      <c r="Y444" s="39"/>
      <c r="Z444" s="39"/>
      <c r="AA444" s="39"/>
      <c r="AB444" s="39"/>
      <c r="AC444" s="39"/>
      <c r="AD444" s="39"/>
      <c r="AE444" s="39"/>
      <c r="AF444" s="39"/>
      <c r="AG444" s="39"/>
      <c r="AH444" s="39"/>
    </row>
    <row r="445" spans="1:34" s="84" customFormat="1">
      <c r="A445" s="39" t="s">
        <v>833</v>
      </c>
      <c r="B445" s="46" t="s">
        <v>285</v>
      </c>
      <c r="C445" s="39" t="s">
        <v>767</v>
      </c>
      <c r="D445" s="102">
        <v>115404531</v>
      </c>
      <c r="E445" s="102">
        <v>2522636321</v>
      </c>
      <c r="F445" s="39" t="s">
        <v>261</v>
      </c>
      <c r="G445" s="108">
        <f>37627+(364+182)</f>
        <v>38173</v>
      </c>
      <c r="H445" s="50" t="str">
        <f t="shared" si="18"/>
        <v>Jul</v>
      </c>
      <c r="I445" s="51">
        <f t="shared" ca="1" si="19"/>
        <v>12</v>
      </c>
      <c r="J445" s="52" t="s">
        <v>283</v>
      </c>
      <c r="K445" s="53">
        <v>32900</v>
      </c>
      <c r="L445" s="54">
        <v>2</v>
      </c>
      <c r="M445" s="59">
        <f t="shared" si="20"/>
        <v>32900</v>
      </c>
      <c r="N445" s="100"/>
      <c r="O445" s="45"/>
      <c r="P445" s="39"/>
      <c r="Q445" s="39"/>
      <c r="R445" s="39"/>
      <c r="S445" s="39"/>
      <c r="T445" s="39"/>
      <c r="U445" s="39"/>
      <c r="V445" s="39"/>
      <c r="W445" s="39"/>
      <c r="X445" s="39"/>
      <c r="Y445" s="39"/>
      <c r="Z445" s="39"/>
      <c r="AA445" s="39"/>
      <c r="AB445" s="39"/>
      <c r="AC445" s="39"/>
      <c r="AD445" s="39"/>
      <c r="AE445" s="39"/>
      <c r="AF445" s="39"/>
      <c r="AG445" s="39"/>
      <c r="AH445" s="39"/>
    </row>
    <row r="446" spans="1:34" s="84" customFormat="1">
      <c r="A446" s="39" t="s">
        <v>496</v>
      </c>
      <c r="B446" s="46" t="s">
        <v>245</v>
      </c>
      <c r="C446" s="39" t="s">
        <v>465</v>
      </c>
      <c r="D446" s="102">
        <v>470935648</v>
      </c>
      <c r="E446" s="102">
        <v>9192053579</v>
      </c>
      <c r="F446" s="39" t="s">
        <v>247</v>
      </c>
      <c r="G446" s="81">
        <f>37991+(364+182)</f>
        <v>38537</v>
      </c>
      <c r="H446" s="50" t="str">
        <f t="shared" si="18"/>
        <v>Jul</v>
      </c>
      <c r="I446" s="51">
        <f t="shared" ca="1" si="19"/>
        <v>11</v>
      </c>
      <c r="J446" s="52"/>
      <c r="K446" s="53">
        <v>39680</v>
      </c>
      <c r="L446" s="54">
        <v>1</v>
      </c>
      <c r="M446" s="59">
        <f t="shared" si="20"/>
        <v>39680</v>
      </c>
      <c r="N446" s="100"/>
      <c r="O446" s="45"/>
      <c r="P446" s="39"/>
      <c r="Q446" s="39"/>
      <c r="R446" s="39"/>
      <c r="S446" s="39"/>
      <c r="T446" s="39"/>
      <c r="U446" s="39"/>
      <c r="V446" s="39"/>
      <c r="W446" s="39"/>
      <c r="X446" s="39"/>
      <c r="Y446" s="39"/>
      <c r="Z446" s="39"/>
      <c r="AA446" s="39"/>
      <c r="AB446" s="39"/>
      <c r="AC446" s="39"/>
      <c r="AD446" s="39"/>
      <c r="AE446" s="39"/>
      <c r="AF446" s="39"/>
      <c r="AG446" s="39"/>
      <c r="AH446" s="39"/>
    </row>
    <row r="447" spans="1:34" s="84" customFormat="1">
      <c r="A447" s="39" t="s">
        <v>923</v>
      </c>
      <c r="B447" s="46" t="s">
        <v>285</v>
      </c>
      <c r="C447" s="39" t="s">
        <v>856</v>
      </c>
      <c r="D447" s="102">
        <v>647131956</v>
      </c>
      <c r="E447" s="102">
        <v>2521240785</v>
      </c>
      <c r="F447" s="39" t="s">
        <v>256</v>
      </c>
      <c r="G447" s="81">
        <f>38356+(364+182)</f>
        <v>38902</v>
      </c>
      <c r="H447" s="50" t="str">
        <f t="shared" si="18"/>
        <v>Jul</v>
      </c>
      <c r="I447" s="51">
        <f t="shared" ca="1" si="19"/>
        <v>10</v>
      </c>
      <c r="J447" s="52" t="s">
        <v>257</v>
      </c>
      <c r="K447" s="53">
        <v>73560</v>
      </c>
      <c r="L447" s="54">
        <v>3</v>
      </c>
      <c r="M447" s="59">
        <f t="shared" si="20"/>
        <v>73560</v>
      </c>
      <c r="N447" s="100"/>
      <c r="O447" s="45"/>
      <c r="P447" s="39"/>
      <c r="Q447" s="39"/>
      <c r="R447" s="39"/>
      <c r="S447" s="39"/>
      <c r="T447" s="39"/>
      <c r="U447" s="39"/>
      <c r="V447" s="39"/>
      <c r="W447" s="39"/>
      <c r="X447" s="39"/>
      <c r="Y447" s="39"/>
      <c r="Z447" s="39"/>
      <c r="AA447" s="39"/>
      <c r="AB447" s="39"/>
      <c r="AC447" s="39"/>
      <c r="AD447" s="39"/>
      <c r="AE447" s="39"/>
      <c r="AF447" s="39"/>
      <c r="AG447" s="39"/>
      <c r="AH447" s="39"/>
    </row>
    <row r="448" spans="1:34" s="84" customFormat="1">
      <c r="A448" s="39" t="s">
        <v>511</v>
      </c>
      <c r="B448" s="46" t="s">
        <v>251</v>
      </c>
      <c r="C448" s="39" t="s">
        <v>465</v>
      </c>
      <c r="D448" s="102">
        <v>240272873</v>
      </c>
      <c r="E448" s="102">
        <v>9198912054</v>
      </c>
      <c r="F448" s="39" t="s">
        <v>247</v>
      </c>
      <c r="G448" s="81">
        <f>38366+(364+182)</f>
        <v>38912</v>
      </c>
      <c r="H448" s="50" t="str">
        <f t="shared" si="18"/>
        <v>Jul</v>
      </c>
      <c r="I448" s="51">
        <f t="shared" ca="1" si="19"/>
        <v>10</v>
      </c>
      <c r="J448" s="52"/>
      <c r="K448" s="53">
        <v>80330</v>
      </c>
      <c r="L448" s="54">
        <v>4</v>
      </c>
      <c r="M448" s="59">
        <f t="shared" si="20"/>
        <v>80330</v>
      </c>
      <c r="N448" s="100"/>
      <c r="O448" s="45"/>
      <c r="P448" s="39"/>
      <c r="Q448" s="39"/>
      <c r="R448" s="39"/>
      <c r="S448" s="39"/>
      <c r="T448" s="39"/>
      <c r="U448" s="39"/>
      <c r="V448" s="39"/>
      <c r="W448" s="39"/>
      <c r="X448" s="39"/>
      <c r="Y448" s="39"/>
      <c r="Z448" s="39"/>
      <c r="AA448" s="39"/>
      <c r="AB448" s="39"/>
      <c r="AC448" s="39"/>
      <c r="AD448" s="39"/>
      <c r="AE448" s="39"/>
      <c r="AF448" s="39"/>
      <c r="AG448" s="39"/>
      <c r="AH448" s="39"/>
    </row>
    <row r="449" spans="1:34" s="84" customFormat="1">
      <c r="A449" s="39" t="s">
        <v>723</v>
      </c>
      <c r="B449" s="46" t="s">
        <v>285</v>
      </c>
      <c r="C449" s="39" t="s">
        <v>705</v>
      </c>
      <c r="D449" s="102">
        <v>619465100</v>
      </c>
      <c r="E449" s="102">
        <v>9194629606</v>
      </c>
      <c r="F449" s="39" t="s">
        <v>256</v>
      </c>
      <c r="G449" s="81">
        <f>38370+(364+182)</f>
        <v>38916</v>
      </c>
      <c r="H449" s="50" t="str">
        <f t="shared" si="18"/>
        <v>Jul</v>
      </c>
      <c r="I449" s="51">
        <f t="shared" ca="1" si="19"/>
        <v>10</v>
      </c>
      <c r="J449" s="52" t="s">
        <v>262</v>
      </c>
      <c r="K449" s="53">
        <v>27560</v>
      </c>
      <c r="L449" s="54">
        <v>2</v>
      </c>
      <c r="M449" s="59">
        <f t="shared" si="20"/>
        <v>27560</v>
      </c>
      <c r="N449" s="100"/>
      <c r="O449" s="45"/>
      <c r="P449" s="39"/>
      <c r="Q449" s="39"/>
      <c r="R449" s="39"/>
      <c r="S449" s="39"/>
      <c r="T449" s="39"/>
      <c r="U449" s="39"/>
      <c r="V449" s="39"/>
      <c r="W449" s="39"/>
      <c r="X449" s="39"/>
      <c r="Y449" s="39"/>
      <c r="Z449" s="39"/>
      <c r="AA449" s="39"/>
      <c r="AB449" s="39"/>
      <c r="AC449" s="39"/>
      <c r="AD449" s="39"/>
      <c r="AE449" s="39"/>
      <c r="AF449" s="39"/>
      <c r="AG449" s="39"/>
      <c r="AH449" s="39"/>
    </row>
    <row r="450" spans="1:34" s="84" customFormat="1">
      <c r="A450" s="39" t="s">
        <v>656</v>
      </c>
      <c r="B450" s="46" t="s">
        <v>271</v>
      </c>
      <c r="C450" s="39" t="s">
        <v>626</v>
      </c>
      <c r="D450" s="102">
        <v>400260342</v>
      </c>
      <c r="E450" s="102">
        <v>9196798743</v>
      </c>
      <c r="F450" s="39" t="s">
        <v>247</v>
      </c>
      <c r="G450" s="81">
        <f>38737+(364+182)</f>
        <v>39283</v>
      </c>
      <c r="H450" s="50" t="str">
        <f t="shared" si="18"/>
        <v>Jul</v>
      </c>
      <c r="I450" s="51">
        <f t="shared" ca="1" si="19"/>
        <v>9</v>
      </c>
      <c r="J450" s="52"/>
      <c r="K450" s="53">
        <v>74470</v>
      </c>
      <c r="L450" s="54">
        <v>3</v>
      </c>
      <c r="M450" s="59">
        <f t="shared" si="20"/>
        <v>74470</v>
      </c>
      <c r="N450" s="100"/>
      <c r="O450" s="45"/>
      <c r="P450" s="39"/>
      <c r="Q450" s="39"/>
      <c r="R450" s="39"/>
      <c r="S450" s="39"/>
      <c r="T450" s="39"/>
      <c r="U450" s="39"/>
      <c r="V450" s="39"/>
      <c r="W450" s="39"/>
      <c r="X450" s="39"/>
      <c r="Y450" s="39"/>
      <c r="Z450" s="39"/>
      <c r="AA450" s="39"/>
      <c r="AB450" s="39"/>
      <c r="AC450" s="39"/>
      <c r="AD450" s="39"/>
      <c r="AE450" s="39"/>
      <c r="AF450" s="39"/>
      <c r="AG450" s="39"/>
      <c r="AH450" s="39"/>
    </row>
    <row r="451" spans="1:34" s="84" customFormat="1">
      <c r="A451" s="39" t="s">
        <v>940</v>
      </c>
      <c r="B451" s="46" t="s">
        <v>285</v>
      </c>
      <c r="C451" s="39" t="s">
        <v>930</v>
      </c>
      <c r="D451" s="102">
        <v>771110153</v>
      </c>
      <c r="E451" s="102">
        <v>9196799516</v>
      </c>
      <c r="F451" s="39" t="s">
        <v>256</v>
      </c>
      <c r="G451" s="81">
        <f>38737+(364+182)</f>
        <v>39283</v>
      </c>
      <c r="H451" s="50" t="str">
        <f t="shared" ref="H451:H514" si="21">CHOOSE(MONTH(G451),"Jan","Feb","Mar","Apr","May","Jun","Jul","Aug","Sep","Oct","Nov","Dec")</f>
        <v>Jul</v>
      </c>
      <c r="I451" s="51">
        <f t="shared" ref="I451:I514" ca="1" si="22">DATEDIF(G451,TODAY(),"Y")</f>
        <v>9</v>
      </c>
      <c r="J451" s="52" t="s">
        <v>257</v>
      </c>
      <c r="K451" s="53">
        <v>24980</v>
      </c>
      <c r="L451" s="54">
        <v>3</v>
      </c>
      <c r="M451" s="59">
        <f t="shared" ref="M451:M514" si="23">ROUND(K451*P449+K451,0)</f>
        <v>24980</v>
      </c>
      <c r="N451" s="100"/>
      <c r="O451" s="45"/>
      <c r="P451" s="39"/>
      <c r="Q451" s="39"/>
      <c r="R451" s="39"/>
      <c r="S451" s="39"/>
      <c r="T451" s="39"/>
      <c r="U451" s="39"/>
      <c r="V451" s="39"/>
      <c r="W451" s="39"/>
      <c r="X451" s="39"/>
      <c r="Y451" s="39"/>
      <c r="Z451" s="39"/>
      <c r="AA451" s="39"/>
      <c r="AB451" s="39"/>
      <c r="AC451" s="39"/>
      <c r="AD451" s="39"/>
      <c r="AE451" s="39"/>
      <c r="AF451" s="39"/>
      <c r="AG451" s="39"/>
      <c r="AH451" s="39"/>
    </row>
    <row r="452" spans="1:34" s="84" customFormat="1">
      <c r="A452" s="39" t="s">
        <v>729</v>
      </c>
      <c r="B452" s="46" t="s">
        <v>245</v>
      </c>
      <c r="C452" s="39" t="s">
        <v>705</v>
      </c>
      <c r="D452" s="102">
        <v>847051774</v>
      </c>
      <c r="E452" s="102">
        <v>2522881600</v>
      </c>
      <c r="F452" s="39" t="s">
        <v>256</v>
      </c>
      <c r="G452" s="81">
        <f>39111+(364+182)</f>
        <v>39657</v>
      </c>
      <c r="H452" s="50" t="str">
        <f t="shared" si="21"/>
        <v>Jul</v>
      </c>
      <c r="I452" s="51">
        <f t="shared" ca="1" si="22"/>
        <v>8</v>
      </c>
      <c r="J452" s="52" t="s">
        <v>276</v>
      </c>
      <c r="K452" s="53">
        <v>80880</v>
      </c>
      <c r="L452" s="54">
        <v>1</v>
      </c>
      <c r="M452" s="59">
        <f t="shared" si="23"/>
        <v>80880</v>
      </c>
      <c r="N452" s="100"/>
      <c r="O452" s="45"/>
      <c r="P452" s="39"/>
      <c r="Q452" s="39"/>
      <c r="R452" s="39"/>
      <c r="S452" s="39"/>
      <c r="T452" s="39"/>
      <c r="U452" s="39"/>
      <c r="V452" s="39"/>
      <c r="W452" s="39"/>
      <c r="X452" s="39"/>
      <c r="Y452" s="39"/>
      <c r="Z452" s="39"/>
      <c r="AA452" s="39"/>
      <c r="AB452" s="39"/>
      <c r="AC452" s="39"/>
      <c r="AD452" s="39"/>
      <c r="AE452" s="39"/>
      <c r="AF452" s="39"/>
      <c r="AG452" s="39"/>
      <c r="AH452" s="39"/>
    </row>
    <row r="453" spans="1:34" s="84" customFormat="1">
      <c r="A453" s="39" t="s">
        <v>1021</v>
      </c>
      <c r="B453" s="46" t="s">
        <v>271</v>
      </c>
      <c r="C453" s="39" t="s">
        <v>930</v>
      </c>
      <c r="D453" s="102">
        <v>964255290</v>
      </c>
      <c r="E453" s="102">
        <v>9197446192</v>
      </c>
      <c r="F453" s="39" t="s">
        <v>256</v>
      </c>
      <c r="G453" s="81">
        <f>39472+(364+182)</f>
        <v>40018</v>
      </c>
      <c r="H453" s="50" t="str">
        <f t="shared" si="21"/>
        <v>Jul</v>
      </c>
      <c r="I453" s="51">
        <f t="shared" ca="1" si="22"/>
        <v>7</v>
      </c>
      <c r="J453" s="52" t="s">
        <v>283</v>
      </c>
      <c r="K453" s="53">
        <v>34990</v>
      </c>
      <c r="L453" s="54">
        <v>3</v>
      </c>
      <c r="M453" s="59">
        <f t="shared" si="23"/>
        <v>34990</v>
      </c>
      <c r="N453" s="100"/>
      <c r="O453" s="45"/>
      <c r="P453" s="39"/>
      <c r="Q453" s="39"/>
      <c r="R453" s="39"/>
      <c r="S453" s="39"/>
      <c r="T453" s="39"/>
      <c r="U453" s="39"/>
      <c r="V453" s="39"/>
      <c r="W453" s="39"/>
      <c r="X453" s="39"/>
      <c r="Y453" s="39"/>
      <c r="Z453" s="39"/>
      <c r="AA453" s="39"/>
      <c r="AB453" s="39"/>
      <c r="AC453" s="39"/>
      <c r="AD453" s="39"/>
      <c r="AE453" s="39"/>
      <c r="AF453" s="39"/>
      <c r="AG453" s="39"/>
      <c r="AH453" s="39"/>
    </row>
    <row r="454" spans="1:34" s="84" customFormat="1">
      <c r="A454" s="39" t="s">
        <v>639</v>
      </c>
      <c r="B454" s="46" t="s">
        <v>271</v>
      </c>
      <c r="C454" s="39" t="s">
        <v>626</v>
      </c>
      <c r="D454" s="102">
        <v>168791562</v>
      </c>
      <c r="E454" s="102">
        <v>9194161772</v>
      </c>
      <c r="F454" s="39" t="s">
        <v>256</v>
      </c>
      <c r="G454" s="81">
        <f>39815+(364+182)</f>
        <v>40361</v>
      </c>
      <c r="H454" s="50" t="str">
        <f t="shared" si="21"/>
        <v>Jul</v>
      </c>
      <c r="I454" s="51">
        <f t="shared" ca="1" si="22"/>
        <v>6</v>
      </c>
      <c r="J454" s="52" t="s">
        <v>267</v>
      </c>
      <c r="K454" s="53">
        <v>75780</v>
      </c>
      <c r="L454" s="54">
        <v>2</v>
      </c>
      <c r="M454" s="59">
        <f t="shared" si="23"/>
        <v>75780</v>
      </c>
      <c r="N454" s="100"/>
      <c r="O454" s="45"/>
      <c r="P454" s="39"/>
      <c r="Q454" s="39"/>
      <c r="R454" s="39"/>
      <c r="S454" s="39"/>
      <c r="T454" s="39"/>
      <c r="U454" s="39"/>
      <c r="V454" s="39"/>
      <c r="W454" s="39"/>
      <c r="X454" s="39"/>
      <c r="Y454" s="39"/>
      <c r="Z454" s="39"/>
      <c r="AA454" s="39"/>
      <c r="AB454" s="39"/>
      <c r="AC454" s="39"/>
      <c r="AD454" s="39"/>
      <c r="AE454" s="39"/>
      <c r="AF454" s="39"/>
      <c r="AG454" s="39"/>
      <c r="AH454" s="39"/>
    </row>
    <row r="455" spans="1:34" s="84" customFormat="1">
      <c r="A455" s="39" t="s">
        <v>710</v>
      </c>
      <c r="B455" s="46" t="s">
        <v>251</v>
      </c>
      <c r="C455" s="39" t="s">
        <v>705</v>
      </c>
      <c r="D455" s="102">
        <v>551132018</v>
      </c>
      <c r="E455" s="102">
        <v>2525796953</v>
      </c>
      <c r="F455" s="39" t="s">
        <v>256</v>
      </c>
      <c r="G455" s="81">
        <f>39824+(364+182)</f>
        <v>40370</v>
      </c>
      <c r="H455" s="50" t="str">
        <f t="shared" si="21"/>
        <v>Jul</v>
      </c>
      <c r="I455" s="51">
        <f t="shared" ca="1" si="22"/>
        <v>6</v>
      </c>
      <c r="J455" s="52" t="s">
        <v>257</v>
      </c>
      <c r="K455" s="53">
        <v>66840</v>
      </c>
      <c r="L455" s="54">
        <v>4</v>
      </c>
      <c r="M455" s="59">
        <f t="shared" si="23"/>
        <v>66840</v>
      </c>
      <c r="N455" s="100"/>
      <c r="O455" s="45"/>
      <c r="P455" s="39"/>
      <c r="Q455" s="39"/>
      <c r="R455" s="39"/>
      <c r="S455" s="39"/>
      <c r="T455" s="39"/>
      <c r="U455" s="39"/>
      <c r="V455" s="39"/>
      <c r="W455" s="39"/>
      <c r="X455" s="39"/>
      <c r="Y455" s="39"/>
      <c r="Z455" s="39"/>
      <c r="AA455" s="39"/>
      <c r="AB455" s="39"/>
      <c r="AC455" s="39"/>
      <c r="AD455" s="39"/>
      <c r="AE455" s="39"/>
      <c r="AF455" s="39"/>
      <c r="AG455" s="39"/>
      <c r="AH455" s="39"/>
    </row>
    <row r="456" spans="1:34" s="84" customFormat="1">
      <c r="A456" s="39" t="s">
        <v>697</v>
      </c>
      <c r="B456" s="46" t="s">
        <v>271</v>
      </c>
      <c r="C456" s="39" t="s">
        <v>678</v>
      </c>
      <c r="D456" s="102">
        <v>397835298</v>
      </c>
      <c r="E456" s="102">
        <v>9196795200</v>
      </c>
      <c r="F456" s="39" t="s">
        <v>247</v>
      </c>
      <c r="G456" s="81">
        <f>39826+(364+182)</f>
        <v>40372</v>
      </c>
      <c r="H456" s="50" t="str">
        <f t="shared" si="21"/>
        <v>Jul</v>
      </c>
      <c r="I456" s="51">
        <f t="shared" ca="1" si="22"/>
        <v>6</v>
      </c>
      <c r="J456" s="52"/>
      <c r="K456" s="53">
        <v>75100</v>
      </c>
      <c r="L456" s="54">
        <v>4</v>
      </c>
      <c r="M456" s="59">
        <f t="shared" si="23"/>
        <v>75100</v>
      </c>
      <c r="N456" s="100"/>
      <c r="O456" s="45"/>
      <c r="P456" s="39"/>
      <c r="Q456" s="39"/>
      <c r="R456" s="39"/>
      <c r="S456" s="39"/>
      <c r="T456" s="39"/>
      <c r="U456" s="39"/>
      <c r="V456" s="39"/>
      <c r="W456" s="39"/>
      <c r="X456" s="39"/>
      <c r="Y456" s="39"/>
      <c r="Z456" s="39"/>
      <c r="AA456" s="39"/>
      <c r="AB456" s="39"/>
      <c r="AC456" s="39"/>
      <c r="AD456" s="39"/>
      <c r="AE456" s="39"/>
      <c r="AF456" s="39"/>
      <c r="AG456" s="39"/>
      <c r="AH456" s="39"/>
    </row>
    <row r="457" spans="1:34" s="84" customFormat="1">
      <c r="A457" s="39" t="s">
        <v>1035</v>
      </c>
      <c r="B457" s="46" t="s">
        <v>251</v>
      </c>
      <c r="C457" s="39" t="s">
        <v>1031</v>
      </c>
      <c r="D457" s="102">
        <v>383616821</v>
      </c>
      <c r="E457" s="102">
        <v>2524989537</v>
      </c>
      <c r="F457" s="39" t="s">
        <v>256</v>
      </c>
      <c r="G457" s="81">
        <f>39838+(364+182)</f>
        <v>40384</v>
      </c>
      <c r="H457" s="50" t="str">
        <f t="shared" si="21"/>
        <v>Jul</v>
      </c>
      <c r="I457" s="51">
        <f t="shared" ca="1" si="22"/>
        <v>6</v>
      </c>
      <c r="J457" s="52" t="s">
        <v>257</v>
      </c>
      <c r="K457" s="53">
        <v>46680</v>
      </c>
      <c r="L457" s="54">
        <v>1</v>
      </c>
      <c r="M457" s="59">
        <f t="shared" si="23"/>
        <v>46680</v>
      </c>
      <c r="N457" s="100"/>
      <c r="O457" s="45"/>
      <c r="P457" s="39"/>
      <c r="Q457" s="39"/>
      <c r="R457" s="39"/>
      <c r="S457" s="39"/>
      <c r="T457" s="39"/>
      <c r="U457" s="39"/>
      <c r="V457" s="39"/>
      <c r="W457" s="39"/>
      <c r="X457" s="39"/>
      <c r="Y457" s="39"/>
      <c r="Z457" s="39"/>
      <c r="AA457" s="39"/>
      <c r="AB457" s="39"/>
      <c r="AC457" s="39"/>
      <c r="AD457" s="39"/>
      <c r="AE457" s="39"/>
      <c r="AF457" s="39"/>
      <c r="AG457" s="39"/>
      <c r="AH457" s="39"/>
    </row>
    <row r="458" spans="1:34" s="84" customFormat="1">
      <c r="A458" s="39" t="s">
        <v>847</v>
      </c>
      <c r="B458" s="46" t="s">
        <v>271</v>
      </c>
      <c r="C458" s="39" t="s">
        <v>767</v>
      </c>
      <c r="D458" s="102">
        <v>456809622</v>
      </c>
      <c r="E458" s="102">
        <v>2523046338</v>
      </c>
      <c r="F458" s="39" t="s">
        <v>256</v>
      </c>
      <c r="G458" s="81">
        <f>32552+(364+182)</f>
        <v>33098</v>
      </c>
      <c r="H458" s="50" t="str">
        <f t="shared" si="21"/>
        <v>Aug</v>
      </c>
      <c r="I458" s="51">
        <f t="shared" ca="1" si="22"/>
        <v>26</v>
      </c>
      <c r="J458" s="52" t="s">
        <v>257</v>
      </c>
      <c r="K458" s="53">
        <v>48080</v>
      </c>
      <c r="L458" s="54">
        <v>2</v>
      </c>
      <c r="M458" s="59">
        <f t="shared" si="23"/>
        <v>48080</v>
      </c>
      <c r="N458" s="100"/>
      <c r="O458" s="45"/>
      <c r="P458" s="39"/>
      <c r="Q458" s="39"/>
      <c r="R458" s="39"/>
      <c r="S458" s="39"/>
      <c r="T458" s="39"/>
      <c r="U458" s="39"/>
      <c r="V458" s="39"/>
      <c r="W458" s="39"/>
      <c r="X458" s="39"/>
      <c r="Y458" s="39"/>
      <c r="Z458" s="39"/>
      <c r="AA458" s="39"/>
      <c r="AB458" s="39"/>
      <c r="AC458" s="39"/>
      <c r="AD458" s="39"/>
      <c r="AE458" s="39"/>
      <c r="AF458" s="39"/>
      <c r="AG458" s="39"/>
      <c r="AH458" s="39"/>
    </row>
    <row r="459" spans="1:34" s="84" customFormat="1">
      <c r="A459" s="39" t="s">
        <v>754</v>
      </c>
      <c r="B459" s="46" t="s">
        <v>285</v>
      </c>
      <c r="C459" s="39" t="s">
        <v>750</v>
      </c>
      <c r="D459" s="102">
        <v>852430023</v>
      </c>
      <c r="E459" s="102">
        <v>9195506190</v>
      </c>
      <c r="F459" s="39" t="s">
        <v>261</v>
      </c>
      <c r="G459" s="81">
        <f>32566+(364+182)</f>
        <v>33112</v>
      </c>
      <c r="H459" s="50" t="str">
        <f t="shared" si="21"/>
        <v>Aug</v>
      </c>
      <c r="I459" s="51">
        <f t="shared" ca="1" si="22"/>
        <v>26</v>
      </c>
      <c r="J459" s="52" t="s">
        <v>267</v>
      </c>
      <c r="K459" s="53">
        <v>24815</v>
      </c>
      <c r="L459" s="54">
        <v>1</v>
      </c>
      <c r="M459" s="59">
        <f t="shared" si="23"/>
        <v>24815</v>
      </c>
      <c r="N459" s="100"/>
      <c r="O459" s="45"/>
      <c r="P459" s="39"/>
      <c r="Q459" s="39"/>
      <c r="R459" s="39"/>
      <c r="S459" s="39"/>
      <c r="T459" s="39"/>
      <c r="U459" s="39"/>
      <c r="V459" s="39"/>
      <c r="W459" s="39"/>
      <c r="X459" s="39"/>
      <c r="Y459" s="39"/>
      <c r="Z459" s="39"/>
      <c r="AA459" s="39"/>
      <c r="AB459" s="39"/>
      <c r="AC459" s="39"/>
      <c r="AD459" s="39"/>
      <c r="AE459" s="39"/>
      <c r="AF459" s="39"/>
      <c r="AG459" s="39"/>
      <c r="AH459" s="39"/>
    </row>
    <row r="460" spans="1:34" s="84" customFormat="1">
      <c r="A460" s="39" t="s">
        <v>762</v>
      </c>
      <c r="B460" s="46" t="s">
        <v>271</v>
      </c>
      <c r="C460" s="39" t="s">
        <v>750</v>
      </c>
      <c r="D460" s="102">
        <v>134557291</v>
      </c>
      <c r="E460" s="102">
        <v>2525536623</v>
      </c>
      <c r="F460" s="39" t="s">
        <v>256</v>
      </c>
      <c r="G460" s="81">
        <f>32567+(364+182)</f>
        <v>33113</v>
      </c>
      <c r="H460" s="50" t="str">
        <f t="shared" si="21"/>
        <v>Aug</v>
      </c>
      <c r="I460" s="51">
        <f t="shared" ca="1" si="22"/>
        <v>26</v>
      </c>
      <c r="J460" s="52" t="s">
        <v>257</v>
      </c>
      <c r="K460" s="53">
        <v>32600</v>
      </c>
      <c r="L460" s="54">
        <v>5</v>
      </c>
      <c r="M460" s="59">
        <f t="shared" si="23"/>
        <v>32600</v>
      </c>
      <c r="N460" s="100"/>
      <c r="O460" s="45"/>
      <c r="P460" s="39"/>
      <c r="Q460" s="39"/>
      <c r="R460" s="39"/>
      <c r="S460" s="39"/>
      <c r="T460" s="39"/>
      <c r="U460" s="39"/>
      <c r="V460" s="39"/>
      <c r="W460" s="39"/>
      <c r="X460" s="39"/>
      <c r="Y460" s="39"/>
      <c r="Z460" s="39"/>
      <c r="AA460" s="39"/>
      <c r="AB460" s="39"/>
      <c r="AC460" s="39"/>
      <c r="AD460" s="39"/>
      <c r="AE460" s="39"/>
      <c r="AF460" s="39"/>
      <c r="AG460" s="39"/>
      <c r="AH460" s="39"/>
    </row>
    <row r="461" spans="1:34" s="84" customFormat="1">
      <c r="A461" s="39" t="s">
        <v>907</v>
      </c>
      <c r="B461" s="46" t="s">
        <v>251</v>
      </c>
      <c r="C461" s="39" t="s">
        <v>856</v>
      </c>
      <c r="D461" s="102">
        <v>593584018</v>
      </c>
      <c r="E461" s="102">
        <v>9194626281</v>
      </c>
      <c r="F461" s="39" t="s">
        <v>256</v>
      </c>
      <c r="G461" s="81">
        <f>32908+(364+182)</f>
        <v>33454</v>
      </c>
      <c r="H461" s="50" t="str">
        <f t="shared" si="21"/>
        <v>Aug</v>
      </c>
      <c r="I461" s="51">
        <f t="shared" ca="1" si="22"/>
        <v>25</v>
      </c>
      <c r="J461" s="52" t="s">
        <v>257</v>
      </c>
      <c r="K461" s="53">
        <v>67920</v>
      </c>
      <c r="L461" s="54">
        <v>4</v>
      </c>
      <c r="M461" s="59">
        <f t="shared" si="23"/>
        <v>67920</v>
      </c>
      <c r="N461" s="100"/>
      <c r="O461" s="45"/>
      <c r="P461" s="39"/>
      <c r="Q461" s="39"/>
      <c r="R461" s="39"/>
      <c r="S461" s="39"/>
      <c r="T461" s="39"/>
      <c r="U461" s="39"/>
      <c r="V461" s="39"/>
      <c r="W461" s="39"/>
      <c r="X461" s="39"/>
      <c r="Y461" s="39"/>
      <c r="Z461" s="39"/>
      <c r="AA461" s="39"/>
      <c r="AB461" s="39"/>
      <c r="AC461" s="39"/>
      <c r="AD461" s="39"/>
      <c r="AE461" s="39"/>
      <c r="AF461" s="39"/>
      <c r="AG461" s="39"/>
      <c r="AH461" s="39"/>
    </row>
    <row r="462" spans="1:34" s="84" customFormat="1">
      <c r="A462" s="39" t="s">
        <v>725</v>
      </c>
      <c r="B462" s="46" t="s">
        <v>285</v>
      </c>
      <c r="C462" s="39" t="s">
        <v>705</v>
      </c>
      <c r="D462" s="102">
        <v>959568761</v>
      </c>
      <c r="E462" s="102">
        <v>9194744493</v>
      </c>
      <c r="F462" s="39" t="s">
        <v>256</v>
      </c>
      <c r="G462" s="81">
        <f>32911+(364+182)</f>
        <v>33457</v>
      </c>
      <c r="H462" s="50" t="str">
        <f t="shared" si="21"/>
        <v>Aug</v>
      </c>
      <c r="I462" s="51">
        <f t="shared" ca="1" si="22"/>
        <v>25</v>
      </c>
      <c r="J462" s="52" t="s">
        <v>267</v>
      </c>
      <c r="K462" s="53">
        <v>61470</v>
      </c>
      <c r="L462" s="54">
        <v>5</v>
      </c>
      <c r="M462" s="59">
        <f t="shared" si="23"/>
        <v>61470</v>
      </c>
      <c r="N462" s="100"/>
      <c r="O462" s="45"/>
      <c r="P462" s="39"/>
      <c r="Q462" s="39"/>
      <c r="R462" s="39"/>
      <c r="S462" s="39"/>
      <c r="T462" s="39"/>
      <c r="U462" s="39"/>
      <c r="V462" s="39"/>
      <c r="W462" s="39"/>
      <c r="X462" s="39"/>
      <c r="Y462" s="39"/>
      <c r="Z462" s="39"/>
      <c r="AA462" s="39"/>
      <c r="AB462" s="39"/>
      <c r="AC462" s="39"/>
      <c r="AD462" s="39"/>
      <c r="AE462" s="39"/>
      <c r="AF462" s="39"/>
      <c r="AG462" s="39"/>
      <c r="AH462" s="39"/>
    </row>
    <row r="463" spans="1:34" s="84" customFormat="1">
      <c r="A463" s="39" t="s">
        <v>764</v>
      </c>
      <c r="B463" s="46" t="s">
        <v>271</v>
      </c>
      <c r="C463" s="39" t="s">
        <v>750</v>
      </c>
      <c r="D463" s="102">
        <v>904790184</v>
      </c>
      <c r="E463" s="102">
        <v>9191876990</v>
      </c>
      <c r="F463" s="39" t="s">
        <v>256</v>
      </c>
      <c r="G463" s="81">
        <f>32914+(364+182)</f>
        <v>33460</v>
      </c>
      <c r="H463" s="50" t="str">
        <f t="shared" si="21"/>
        <v>Aug</v>
      </c>
      <c r="I463" s="51">
        <f t="shared" ca="1" si="22"/>
        <v>25</v>
      </c>
      <c r="J463" s="52" t="s">
        <v>283</v>
      </c>
      <c r="K463" s="53">
        <v>77720</v>
      </c>
      <c r="L463" s="54">
        <v>3</v>
      </c>
      <c r="M463" s="59">
        <f t="shared" si="23"/>
        <v>77720</v>
      </c>
      <c r="N463" s="100"/>
      <c r="O463" s="45"/>
      <c r="P463" s="39"/>
      <c r="Q463" s="39"/>
      <c r="R463" s="39"/>
      <c r="S463" s="39"/>
      <c r="T463" s="39"/>
      <c r="U463" s="39"/>
      <c r="V463" s="39"/>
      <c r="W463" s="39"/>
      <c r="X463" s="39"/>
      <c r="Y463" s="39"/>
      <c r="Z463" s="39"/>
      <c r="AA463" s="39"/>
      <c r="AB463" s="39"/>
      <c r="AC463" s="39"/>
      <c r="AD463" s="39"/>
      <c r="AE463" s="39"/>
      <c r="AF463" s="39"/>
      <c r="AG463" s="39"/>
      <c r="AH463" s="39"/>
    </row>
    <row r="464" spans="1:34" s="84" customFormat="1">
      <c r="A464" s="39" t="s">
        <v>852</v>
      </c>
      <c r="B464" s="46" t="s">
        <v>271</v>
      </c>
      <c r="C464" s="39" t="s">
        <v>767</v>
      </c>
      <c r="D464" s="102">
        <v>503036433</v>
      </c>
      <c r="E464" s="102">
        <v>9192453666</v>
      </c>
      <c r="F464" s="39" t="s">
        <v>256</v>
      </c>
      <c r="G464" s="81">
        <f>32914+(364+182)</f>
        <v>33460</v>
      </c>
      <c r="H464" s="50" t="str">
        <f t="shared" si="21"/>
        <v>Aug</v>
      </c>
      <c r="I464" s="51">
        <f t="shared" ca="1" si="22"/>
        <v>25</v>
      </c>
      <c r="J464" s="52" t="s">
        <v>267</v>
      </c>
      <c r="K464" s="53">
        <v>77740</v>
      </c>
      <c r="L464" s="54">
        <v>1</v>
      </c>
      <c r="M464" s="59">
        <f t="shared" si="23"/>
        <v>77740</v>
      </c>
      <c r="N464" s="100"/>
      <c r="O464" s="45"/>
      <c r="P464" s="39"/>
      <c r="Q464" s="39"/>
      <c r="R464" s="39"/>
      <c r="S464" s="39"/>
      <c r="T464" s="39"/>
      <c r="U464" s="39"/>
      <c r="V464" s="39"/>
      <c r="W464" s="39"/>
      <c r="X464" s="39"/>
      <c r="Y464" s="39"/>
      <c r="Z464" s="39"/>
      <c r="AA464" s="39"/>
      <c r="AB464" s="39"/>
      <c r="AC464" s="39"/>
      <c r="AD464" s="39"/>
      <c r="AE464" s="39"/>
      <c r="AF464" s="39"/>
      <c r="AG464" s="39"/>
      <c r="AH464" s="39"/>
    </row>
    <row r="465" spans="1:34" s="84" customFormat="1">
      <c r="A465" s="39" t="s">
        <v>325</v>
      </c>
      <c r="B465" s="46" t="s">
        <v>285</v>
      </c>
      <c r="C465" s="39" t="s">
        <v>312</v>
      </c>
      <c r="D465" s="102">
        <v>768215237</v>
      </c>
      <c r="E465" s="102">
        <v>9195993367</v>
      </c>
      <c r="F465" s="39" t="s">
        <v>261</v>
      </c>
      <c r="G465" s="81">
        <f>32926+(364+182)</f>
        <v>33472</v>
      </c>
      <c r="H465" s="50" t="str">
        <f t="shared" si="21"/>
        <v>Aug</v>
      </c>
      <c r="I465" s="51">
        <f t="shared" ca="1" si="22"/>
        <v>25</v>
      </c>
      <c r="J465" s="52" t="s">
        <v>262</v>
      </c>
      <c r="K465" s="53">
        <v>13800</v>
      </c>
      <c r="L465" s="54">
        <v>3</v>
      </c>
      <c r="M465" s="59">
        <f t="shared" si="23"/>
        <v>13800</v>
      </c>
      <c r="N465" s="100"/>
      <c r="O465" s="45"/>
      <c r="P465" s="39"/>
      <c r="Q465" s="39"/>
      <c r="R465" s="39"/>
      <c r="S465" s="39"/>
      <c r="T465" s="39"/>
      <c r="U465" s="39"/>
      <c r="V465" s="39"/>
      <c r="W465" s="39"/>
      <c r="X465" s="39"/>
      <c r="Y465" s="39"/>
      <c r="Z465" s="39"/>
      <c r="AA465" s="39"/>
      <c r="AB465" s="39"/>
      <c r="AC465" s="39"/>
      <c r="AD465" s="39"/>
      <c r="AE465" s="39"/>
      <c r="AF465" s="39"/>
      <c r="AG465" s="39"/>
      <c r="AH465" s="39"/>
    </row>
    <row r="466" spans="1:34">
      <c r="A466" s="45" t="s">
        <v>1060</v>
      </c>
      <c r="B466" s="46" t="s">
        <v>271</v>
      </c>
      <c r="C466" s="45" t="s">
        <v>272</v>
      </c>
      <c r="D466" s="106">
        <v>535539723</v>
      </c>
      <c r="E466" s="106">
        <v>2523492633</v>
      </c>
      <c r="F466" s="45" t="s">
        <v>261</v>
      </c>
      <c r="G466" s="105">
        <f>32928+(364+182)</f>
        <v>33474</v>
      </c>
      <c r="H466" s="50" t="str">
        <f t="shared" si="21"/>
        <v>Aug</v>
      </c>
      <c r="I466" s="51">
        <f t="shared" ca="1" si="22"/>
        <v>25</v>
      </c>
      <c r="J466" s="52" t="s">
        <v>262</v>
      </c>
      <c r="K466" s="53">
        <v>30445</v>
      </c>
      <c r="L466" s="54">
        <v>1</v>
      </c>
      <c r="M466" s="59">
        <f t="shared" si="23"/>
        <v>30445</v>
      </c>
      <c r="O466" s="104"/>
    </row>
    <row r="467" spans="1:34">
      <c r="A467" s="39" t="s">
        <v>561</v>
      </c>
      <c r="B467" s="46" t="s">
        <v>271</v>
      </c>
      <c r="C467" s="39" t="s">
        <v>465</v>
      </c>
      <c r="D467" s="102">
        <v>910964196</v>
      </c>
      <c r="E467" s="102">
        <v>9194361873</v>
      </c>
      <c r="F467" s="39" t="s">
        <v>247</v>
      </c>
      <c r="G467" s="81">
        <f>33273+(364+182)</f>
        <v>33819</v>
      </c>
      <c r="H467" s="50" t="str">
        <f t="shared" si="21"/>
        <v>Aug</v>
      </c>
      <c r="I467" s="51">
        <f t="shared" ca="1" si="22"/>
        <v>24</v>
      </c>
      <c r="J467" s="52"/>
      <c r="K467" s="53">
        <v>49530</v>
      </c>
      <c r="L467" s="54">
        <v>2</v>
      </c>
      <c r="M467" s="59">
        <f t="shared" si="23"/>
        <v>49530</v>
      </c>
    </row>
    <row r="468" spans="1:34">
      <c r="A468" s="39" t="s">
        <v>1013</v>
      </c>
      <c r="B468" s="46" t="s">
        <v>245</v>
      </c>
      <c r="C468" s="39" t="s">
        <v>930</v>
      </c>
      <c r="D468" s="102">
        <v>610340294</v>
      </c>
      <c r="E468" s="102">
        <v>9198443818</v>
      </c>
      <c r="F468" s="39" t="s">
        <v>247</v>
      </c>
      <c r="G468" s="81">
        <f>33274+(364+182)</f>
        <v>33820</v>
      </c>
      <c r="H468" s="50" t="str">
        <f t="shared" si="21"/>
        <v>Aug</v>
      </c>
      <c r="I468" s="51">
        <f t="shared" ca="1" si="22"/>
        <v>24</v>
      </c>
      <c r="J468" s="52"/>
      <c r="K468" s="53">
        <v>70300</v>
      </c>
      <c r="L468" s="54">
        <v>3</v>
      </c>
      <c r="M468" s="59">
        <f t="shared" si="23"/>
        <v>70300</v>
      </c>
    </row>
    <row r="469" spans="1:34">
      <c r="A469" s="39" t="s">
        <v>398</v>
      </c>
      <c r="B469" s="46" t="s">
        <v>285</v>
      </c>
      <c r="C469" s="39" t="s">
        <v>391</v>
      </c>
      <c r="D469" s="102">
        <v>685953695</v>
      </c>
      <c r="E469" s="102">
        <v>9196756847</v>
      </c>
      <c r="F469" s="39" t="s">
        <v>256</v>
      </c>
      <c r="G469" s="81">
        <f>33277+(364+182)</f>
        <v>33823</v>
      </c>
      <c r="H469" s="50" t="str">
        <f t="shared" si="21"/>
        <v>Aug</v>
      </c>
      <c r="I469" s="51">
        <f t="shared" ca="1" si="22"/>
        <v>24</v>
      </c>
      <c r="J469" s="52" t="s">
        <v>283</v>
      </c>
      <c r="K469" s="53">
        <v>82760</v>
      </c>
      <c r="L469" s="54">
        <v>4</v>
      </c>
      <c r="M469" s="59">
        <f t="shared" si="23"/>
        <v>82760</v>
      </c>
    </row>
    <row r="470" spans="1:34">
      <c r="A470" s="39" t="s">
        <v>293</v>
      </c>
      <c r="B470" s="46" t="s">
        <v>285</v>
      </c>
      <c r="C470" s="39" t="s">
        <v>272</v>
      </c>
      <c r="D470" s="102">
        <v>608796012</v>
      </c>
      <c r="E470" s="102">
        <v>9194075460</v>
      </c>
      <c r="F470" s="39" t="s">
        <v>256</v>
      </c>
      <c r="G470" s="81">
        <f>33285+(364+182)</f>
        <v>33831</v>
      </c>
      <c r="H470" s="50" t="str">
        <f t="shared" si="21"/>
        <v>Aug</v>
      </c>
      <c r="I470" s="51">
        <f t="shared" ca="1" si="22"/>
        <v>24</v>
      </c>
      <c r="J470" s="52" t="s">
        <v>257</v>
      </c>
      <c r="K470" s="53">
        <v>79760</v>
      </c>
      <c r="L470" s="54">
        <v>5</v>
      </c>
      <c r="M470" s="59">
        <f t="shared" si="23"/>
        <v>79760</v>
      </c>
    </row>
    <row r="471" spans="1:34">
      <c r="A471" s="39" t="s">
        <v>619</v>
      </c>
      <c r="B471" s="46" t="s">
        <v>280</v>
      </c>
      <c r="C471" s="39" t="s">
        <v>618</v>
      </c>
      <c r="D471" s="102">
        <v>742946482</v>
      </c>
      <c r="E471" s="102">
        <v>9197077326</v>
      </c>
      <c r="F471" s="39" t="s">
        <v>256</v>
      </c>
      <c r="G471" s="81">
        <f>33286+(364+182)</f>
        <v>33832</v>
      </c>
      <c r="H471" s="50" t="str">
        <f t="shared" si="21"/>
        <v>Aug</v>
      </c>
      <c r="I471" s="51">
        <f t="shared" ca="1" si="22"/>
        <v>24</v>
      </c>
      <c r="J471" s="52" t="s">
        <v>257</v>
      </c>
      <c r="K471" s="53">
        <v>39160</v>
      </c>
      <c r="L471" s="54">
        <v>3</v>
      </c>
      <c r="M471" s="59">
        <f t="shared" si="23"/>
        <v>39160</v>
      </c>
    </row>
    <row r="472" spans="1:34">
      <c r="A472" s="45" t="s">
        <v>250</v>
      </c>
      <c r="B472" s="46" t="s">
        <v>251</v>
      </c>
      <c r="C472" s="45" t="s">
        <v>246</v>
      </c>
      <c r="D472" s="106">
        <v>411526157</v>
      </c>
      <c r="E472" s="106">
        <v>9195818082</v>
      </c>
      <c r="F472" s="45" t="s">
        <v>252</v>
      </c>
      <c r="G472" s="105">
        <f>33300+(364+182)</f>
        <v>33846</v>
      </c>
      <c r="H472" s="50" t="str">
        <f t="shared" si="21"/>
        <v>Aug</v>
      </c>
      <c r="I472" s="51">
        <f t="shared" ca="1" si="22"/>
        <v>24</v>
      </c>
      <c r="J472" s="52"/>
      <c r="K472" s="53">
        <v>35680</v>
      </c>
      <c r="L472" s="54">
        <v>2</v>
      </c>
      <c r="M472" s="59">
        <f t="shared" si="23"/>
        <v>35680</v>
      </c>
      <c r="O472" s="104"/>
    </row>
    <row r="473" spans="1:34">
      <c r="A473" s="39" t="s">
        <v>357</v>
      </c>
      <c r="B473" s="46" t="s">
        <v>285</v>
      </c>
      <c r="C473" s="39" t="s">
        <v>312</v>
      </c>
      <c r="D473" s="102">
        <v>870106287</v>
      </c>
      <c r="E473" s="102">
        <v>2528611970</v>
      </c>
      <c r="F473" s="39" t="s">
        <v>261</v>
      </c>
      <c r="G473" s="81">
        <f>34002+(364+182)</f>
        <v>34548</v>
      </c>
      <c r="H473" s="50" t="str">
        <f t="shared" si="21"/>
        <v>Aug</v>
      </c>
      <c r="I473" s="51">
        <f t="shared" ca="1" si="22"/>
        <v>22</v>
      </c>
      <c r="J473" s="52" t="s">
        <v>276</v>
      </c>
      <c r="K473" s="53">
        <v>38920</v>
      </c>
      <c r="L473" s="54">
        <v>4</v>
      </c>
      <c r="M473" s="59">
        <f t="shared" si="23"/>
        <v>38920</v>
      </c>
    </row>
    <row r="474" spans="1:34">
      <c r="A474" s="39" t="s">
        <v>452</v>
      </c>
      <c r="B474" s="46" t="s">
        <v>285</v>
      </c>
      <c r="C474" s="39" t="s">
        <v>417</v>
      </c>
      <c r="D474" s="102">
        <v>661397587</v>
      </c>
      <c r="E474" s="102">
        <v>9196126835</v>
      </c>
      <c r="F474" s="39" t="s">
        <v>247</v>
      </c>
      <c r="G474" s="81">
        <f>34366+(364+182)</f>
        <v>34912</v>
      </c>
      <c r="H474" s="50" t="str">
        <f t="shared" si="21"/>
        <v>Aug</v>
      </c>
      <c r="I474" s="51">
        <f t="shared" ca="1" si="22"/>
        <v>21</v>
      </c>
      <c r="J474" s="52"/>
      <c r="K474" s="53">
        <v>40560</v>
      </c>
      <c r="L474" s="54">
        <v>5</v>
      </c>
      <c r="M474" s="59">
        <f t="shared" si="23"/>
        <v>40560</v>
      </c>
    </row>
    <row r="475" spans="1:34">
      <c r="A475" s="39" t="s">
        <v>802</v>
      </c>
      <c r="B475" s="46" t="s">
        <v>280</v>
      </c>
      <c r="C475" s="39" t="s">
        <v>767</v>
      </c>
      <c r="D475" s="102">
        <v>445693854</v>
      </c>
      <c r="E475" s="102">
        <v>9192891217</v>
      </c>
      <c r="F475" s="39" t="s">
        <v>247</v>
      </c>
      <c r="G475" s="81">
        <f>34369+(364+182)</f>
        <v>34915</v>
      </c>
      <c r="H475" s="50" t="str">
        <f t="shared" si="21"/>
        <v>Aug</v>
      </c>
      <c r="I475" s="51">
        <f t="shared" ca="1" si="22"/>
        <v>21</v>
      </c>
      <c r="J475" s="52"/>
      <c r="K475" s="53">
        <v>76870</v>
      </c>
      <c r="L475" s="54">
        <v>5</v>
      </c>
      <c r="M475" s="59">
        <f t="shared" si="23"/>
        <v>76870</v>
      </c>
    </row>
    <row r="476" spans="1:34">
      <c r="A476" s="39" t="s">
        <v>992</v>
      </c>
      <c r="B476" s="46" t="s">
        <v>280</v>
      </c>
      <c r="C476" s="39" t="s">
        <v>930</v>
      </c>
      <c r="D476" s="102">
        <v>749768847</v>
      </c>
      <c r="E476" s="102">
        <v>2528552110</v>
      </c>
      <c r="F476" s="39" t="s">
        <v>247</v>
      </c>
      <c r="G476" s="81">
        <f>34734+(364+182)</f>
        <v>35280</v>
      </c>
      <c r="H476" s="50" t="str">
        <f t="shared" si="21"/>
        <v>Aug</v>
      </c>
      <c r="I476" s="51">
        <f t="shared" ca="1" si="22"/>
        <v>20</v>
      </c>
      <c r="J476" s="52"/>
      <c r="K476" s="53">
        <v>41770</v>
      </c>
      <c r="L476" s="54">
        <v>5</v>
      </c>
      <c r="M476" s="59">
        <f t="shared" si="23"/>
        <v>41770</v>
      </c>
    </row>
    <row r="477" spans="1:34">
      <c r="A477" s="39" t="s">
        <v>628</v>
      </c>
      <c r="B477" s="46" t="s">
        <v>251</v>
      </c>
      <c r="C477" s="39" t="s">
        <v>626</v>
      </c>
      <c r="D477" s="102">
        <v>634954970</v>
      </c>
      <c r="E477" s="102">
        <v>9194900864</v>
      </c>
      <c r="F477" s="39" t="s">
        <v>256</v>
      </c>
      <c r="G477" s="81">
        <f>34736+(364+182)</f>
        <v>35282</v>
      </c>
      <c r="H477" s="50" t="str">
        <f t="shared" si="21"/>
        <v>Aug</v>
      </c>
      <c r="I477" s="51">
        <f t="shared" ca="1" si="22"/>
        <v>20</v>
      </c>
      <c r="J477" s="52" t="s">
        <v>257</v>
      </c>
      <c r="K477" s="53">
        <v>57560</v>
      </c>
      <c r="L477" s="54">
        <v>4</v>
      </c>
      <c r="M477" s="59">
        <f t="shared" si="23"/>
        <v>57560</v>
      </c>
    </row>
    <row r="478" spans="1:34">
      <c r="A478" s="39" t="s">
        <v>829</v>
      </c>
      <c r="B478" s="46" t="s">
        <v>245</v>
      </c>
      <c r="C478" s="39" t="s">
        <v>767</v>
      </c>
      <c r="D478" s="102">
        <v>174159111</v>
      </c>
      <c r="E478" s="102">
        <v>9191675237</v>
      </c>
      <c r="F478" s="39" t="s">
        <v>256</v>
      </c>
      <c r="G478" s="81">
        <f>34740+(364+182)</f>
        <v>35286</v>
      </c>
      <c r="H478" s="50" t="str">
        <f t="shared" si="21"/>
        <v>Aug</v>
      </c>
      <c r="I478" s="51">
        <f t="shared" ca="1" si="22"/>
        <v>20</v>
      </c>
      <c r="J478" s="52" t="s">
        <v>262</v>
      </c>
      <c r="K478" s="53">
        <v>72700</v>
      </c>
      <c r="L478" s="54">
        <v>5</v>
      </c>
      <c r="M478" s="59">
        <f t="shared" si="23"/>
        <v>72700</v>
      </c>
    </row>
    <row r="479" spans="1:34">
      <c r="A479" s="39" t="s">
        <v>932</v>
      </c>
      <c r="B479" s="46" t="s">
        <v>266</v>
      </c>
      <c r="C479" s="39" t="s">
        <v>930</v>
      </c>
      <c r="D479" s="102">
        <v>758001890</v>
      </c>
      <c r="E479" s="102">
        <v>2521202348</v>
      </c>
      <c r="F479" s="39" t="s">
        <v>261</v>
      </c>
      <c r="G479" s="81">
        <f>34751+(364+182)</f>
        <v>35297</v>
      </c>
      <c r="H479" s="50" t="str">
        <f t="shared" si="21"/>
        <v>Aug</v>
      </c>
      <c r="I479" s="51">
        <f t="shared" ca="1" si="22"/>
        <v>20</v>
      </c>
      <c r="J479" s="52" t="s">
        <v>283</v>
      </c>
      <c r="K479" s="53">
        <v>38105</v>
      </c>
      <c r="L479" s="54">
        <v>2</v>
      </c>
      <c r="M479" s="59">
        <f t="shared" si="23"/>
        <v>38105</v>
      </c>
    </row>
    <row r="480" spans="1:34">
      <c r="A480" s="39" t="s">
        <v>824</v>
      </c>
      <c r="B480" s="46" t="s">
        <v>285</v>
      </c>
      <c r="C480" s="39" t="s">
        <v>767</v>
      </c>
      <c r="D480" s="102">
        <v>556327593</v>
      </c>
      <c r="E480" s="102">
        <v>2523324762</v>
      </c>
      <c r="F480" s="39" t="s">
        <v>247</v>
      </c>
      <c r="G480" s="81">
        <f>34755+(364+182)</f>
        <v>35301</v>
      </c>
      <c r="H480" s="50" t="str">
        <f t="shared" si="21"/>
        <v>Aug</v>
      </c>
      <c r="I480" s="51">
        <f t="shared" ca="1" si="22"/>
        <v>20</v>
      </c>
      <c r="J480" s="52"/>
      <c r="K480" s="53">
        <v>60070</v>
      </c>
      <c r="L480" s="54">
        <v>2</v>
      </c>
      <c r="M480" s="59">
        <f t="shared" si="23"/>
        <v>60070</v>
      </c>
    </row>
    <row r="481" spans="1:17">
      <c r="A481" s="39" t="s">
        <v>1022</v>
      </c>
      <c r="B481" s="46" t="s">
        <v>251</v>
      </c>
      <c r="C481" s="39" t="s">
        <v>930</v>
      </c>
      <c r="D481" s="102">
        <v>799754905</v>
      </c>
      <c r="E481" s="102">
        <v>2526757210</v>
      </c>
      <c r="F481" s="39" t="s">
        <v>256</v>
      </c>
      <c r="G481" s="81">
        <f>34761+(364+182)</f>
        <v>35307</v>
      </c>
      <c r="H481" s="50" t="str">
        <f t="shared" si="21"/>
        <v>Aug</v>
      </c>
      <c r="I481" s="51">
        <f t="shared" ca="1" si="22"/>
        <v>20</v>
      </c>
      <c r="J481" s="52" t="s">
        <v>257</v>
      </c>
      <c r="K481" s="53">
        <v>31690</v>
      </c>
      <c r="L481" s="54">
        <v>4</v>
      </c>
      <c r="M481" s="59">
        <f t="shared" si="23"/>
        <v>31690</v>
      </c>
    </row>
    <row r="482" spans="1:17">
      <c r="A482" s="39" t="s">
        <v>369</v>
      </c>
      <c r="B482" s="46" t="s">
        <v>245</v>
      </c>
      <c r="C482" s="39" t="s">
        <v>312</v>
      </c>
      <c r="D482" s="102">
        <v>415228597</v>
      </c>
      <c r="E482" s="102">
        <v>9196252690</v>
      </c>
      <c r="F482" s="39" t="s">
        <v>256</v>
      </c>
      <c r="G482" s="81">
        <f>35121+(364+182)</f>
        <v>35667</v>
      </c>
      <c r="H482" s="50" t="str">
        <f t="shared" si="21"/>
        <v>Aug</v>
      </c>
      <c r="I482" s="51">
        <f t="shared" ca="1" si="22"/>
        <v>19</v>
      </c>
      <c r="J482" s="52" t="s">
        <v>257</v>
      </c>
      <c r="K482" s="53">
        <v>40920</v>
      </c>
      <c r="L482" s="54">
        <v>4</v>
      </c>
      <c r="M482" s="59">
        <f t="shared" si="23"/>
        <v>40920</v>
      </c>
    </row>
    <row r="483" spans="1:17">
      <c r="A483" s="39" t="s">
        <v>404</v>
      </c>
      <c r="B483" s="46" t="s">
        <v>285</v>
      </c>
      <c r="C483" s="39" t="s">
        <v>391</v>
      </c>
      <c r="D483" s="102">
        <v>195245117</v>
      </c>
      <c r="E483" s="102">
        <v>9193451072</v>
      </c>
      <c r="F483" s="39" t="s">
        <v>252</v>
      </c>
      <c r="G483" s="81">
        <f>35127+(364+182)</f>
        <v>35673</v>
      </c>
      <c r="H483" s="50" t="str">
        <f t="shared" si="21"/>
        <v>Aug</v>
      </c>
      <c r="I483" s="51">
        <f t="shared" ca="1" si="22"/>
        <v>19</v>
      </c>
      <c r="J483" s="52"/>
      <c r="K483" s="53">
        <v>12676</v>
      </c>
      <c r="L483" s="54">
        <v>2</v>
      </c>
      <c r="M483" s="59">
        <f t="shared" si="23"/>
        <v>12676</v>
      </c>
    </row>
    <row r="484" spans="1:17">
      <c r="A484" s="39" t="s">
        <v>601</v>
      </c>
      <c r="B484" s="46" t="s">
        <v>271</v>
      </c>
      <c r="C484" s="39" t="s">
        <v>465</v>
      </c>
      <c r="D484" s="102">
        <v>470719383</v>
      </c>
      <c r="E484" s="102">
        <v>9197848542</v>
      </c>
      <c r="F484" s="39" t="s">
        <v>256</v>
      </c>
      <c r="G484" s="81">
        <f>35463+(364+182)</f>
        <v>36009</v>
      </c>
      <c r="H484" s="50" t="str">
        <f t="shared" si="21"/>
        <v>Aug</v>
      </c>
      <c r="I484" s="51">
        <f t="shared" ca="1" si="22"/>
        <v>18</v>
      </c>
      <c r="J484" s="52" t="s">
        <v>257</v>
      </c>
      <c r="K484" s="53">
        <v>75120</v>
      </c>
      <c r="L484" s="54">
        <v>5</v>
      </c>
      <c r="M484" s="59">
        <f t="shared" si="23"/>
        <v>75120</v>
      </c>
    </row>
    <row r="485" spans="1:17">
      <c r="A485" s="39" t="s">
        <v>567</v>
      </c>
      <c r="B485" s="46" t="s">
        <v>280</v>
      </c>
      <c r="C485" s="39" t="s">
        <v>465</v>
      </c>
      <c r="D485" s="102">
        <v>596008829</v>
      </c>
      <c r="E485" s="102">
        <v>9198721709</v>
      </c>
      <c r="F485" s="39" t="s">
        <v>247</v>
      </c>
      <c r="G485" s="81">
        <f>35465+(364+182)</f>
        <v>36011</v>
      </c>
      <c r="H485" s="50" t="str">
        <f t="shared" si="21"/>
        <v>Aug</v>
      </c>
      <c r="I485" s="51">
        <f t="shared" ca="1" si="22"/>
        <v>18</v>
      </c>
      <c r="J485" s="52"/>
      <c r="K485" s="53">
        <v>45050</v>
      </c>
      <c r="L485" s="54">
        <v>1</v>
      </c>
      <c r="M485" s="59">
        <f t="shared" si="23"/>
        <v>45050</v>
      </c>
    </row>
    <row r="486" spans="1:17">
      <c r="A486" s="39" t="s">
        <v>902</v>
      </c>
      <c r="B486" s="46" t="s">
        <v>271</v>
      </c>
      <c r="C486" s="39" t="s">
        <v>856</v>
      </c>
      <c r="D486" s="102">
        <v>644489557</v>
      </c>
      <c r="E486" s="102">
        <v>2526532463</v>
      </c>
      <c r="F486" s="39" t="s">
        <v>256</v>
      </c>
      <c r="G486" s="81">
        <f>35466+(364+182)</f>
        <v>36012</v>
      </c>
      <c r="H486" s="50" t="str">
        <f t="shared" si="21"/>
        <v>Aug</v>
      </c>
      <c r="I486" s="51">
        <f t="shared" ca="1" si="22"/>
        <v>18</v>
      </c>
      <c r="J486" s="52" t="s">
        <v>262</v>
      </c>
      <c r="K486" s="53">
        <v>78950</v>
      </c>
      <c r="L486" s="54">
        <v>1</v>
      </c>
      <c r="M486" s="59">
        <f t="shared" si="23"/>
        <v>78950</v>
      </c>
    </row>
    <row r="487" spans="1:17">
      <c r="A487" s="39" t="s">
        <v>943</v>
      </c>
      <c r="B487" s="46" t="s">
        <v>285</v>
      </c>
      <c r="C487" s="39" t="s">
        <v>930</v>
      </c>
      <c r="D487" s="102">
        <v>249416723</v>
      </c>
      <c r="E487" s="102">
        <v>2521628807</v>
      </c>
      <c r="F487" s="39" t="s">
        <v>256</v>
      </c>
      <c r="G487" s="81">
        <f>35479+(364+182)</f>
        <v>36025</v>
      </c>
      <c r="H487" s="50" t="str">
        <f t="shared" si="21"/>
        <v>Aug</v>
      </c>
      <c r="I487" s="51">
        <f t="shared" ca="1" si="22"/>
        <v>18</v>
      </c>
      <c r="J487" s="52" t="s">
        <v>262</v>
      </c>
      <c r="K487" s="53">
        <v>64470</v>
      </c>
      <c r="L487" s="54">
        <v>5</v>
      </c>
      <c r="M487" s="59">
        <f t="shared" si="23"/>
        <v>64470</v>
      </c>
    </row>
    <row r="488" spans="1:17">
      <c r="A488" s="39" t="s">
        <v>768</v>
      </c>
      <c r="B488" s="46" t="s">
        <v>285</v>
      </c>
      <c r="C488" s="39" t="s">
        <v>767</v>
      </c>
      <c r="D488" s="102">
        <v>699386024</v>
      </c>
      <c r="E488" s="102">
        <v>2525842116</v>
      </c>
      <c r="F488" s="39" t="s">
        <v>252</v>
      </c>
      <c r="G488" s="81">
        <f>35482+(364+182)</f>
        <v>36028</v>
      </c>
      <c r="H488" s="50" t="str">
        <f t="shared" si="21"/>
        <v>Aug</v>
      </c>
      <c r="I488" s="51">
        <f t="shared" ca="1" si="22"/>
        <v>18</v>
      </c>
      <c r="J488" s="52"/>
      <c r="K488" s="53">
        <v>16688</v>
      </c>
      <c r="L488" s="54">
        <v>3</v>
      </c>
      <c r="M488" s="59">
        <f t="shared" si="23"/>
        <v>16688</v>
      </c>
    </row>
    <row r="489" spans="1:17">
      <c r="A489" s="39" t="s">
        <v>317</v>
      </c>
      <c r="B489" s="46" t="s">
        <v>280</v>
      </c>
      <c r="C489" s="39" t="s">
        <v>312</v>
      </c>
      <c r="D489" s="102">
        <v>163292583</v>
      </c>
      <c r="E489" s="102">
        <v>2522005810</v>
      </c>
      <c r="F489" s="39" t="s">
        <v>247</v>
      </c>
      <c r="G489" s="81">
        <f>35492+(364+182)</f>
        <v>36038</v>
      </c>
      <c r="H489" s="50" t="str">
        <f t="shared" si="21"/>
        <v>Aug</v>
      </c>
      <c r="I489" s="51">
        <f t="shared" ca="1" si="22"/>
        <v>18</v>
      </c>
      <c r="J489" s="52"/>
      <c r="K489" s="53">
        <v>30340</v>
      </c>
      <c r="L489" s="54">
        <v>3</v>
      </c>
      <c r="M489" s="59">
        <f t="shared" si="23"/>
        <v>30340</v>
      </c>
    </row>
    <row r="490" spans="1:17">
      <c r="A490" s="39" t="s">
        <v>766</v>
      </c>
      <c r="B490" s="46" t="s">
        <v>266</v>
      </c>
      <c r="C490" s="39" t="s">
        <v>767</v>
      </c>
      <c r="D490" s="102">
        <v>239847790</v>
      </c>
      <c r="E490" s="102">
        <v>2524045531</v>
      </c>
      <c r="F490" s="39" t="s">
        <v>247</v>
      </c>
      <c r="G490" s="81">
        <f>35829+(364+182)</f>
        <v>36375</v>
      </c>
      <c r="H490" s="50" t="str">
        <f t="shared" si="21"/>
        <v>Aug</v>
      </c>
      <c r="I490" s="51">
        <f t="shared" ca="1" si="22"/>
        <v>17</v>
      </c>
      <c r="J490" s="52"/>
      <c r="K490" s="53">
        <v>71300</v>
      </c>
      <c r="L490" s="54">
        <v>5</v>
      </c>
      <c r="M490" s="59">
        <f t="shared" si="23"/>
        <v>71300</v>
      </c>
      <c r="P490" s="75"/>
      <c r="Q490" s="75"/>
    </row>
    <row r="491" spans="1:17">
      <c r="A491" s="39" t="s">
        <v>812</v>
      </c>
      <c r="B491" s="46" t="s">
        <v>271</v>
      </c>
      <c r="C491" s="39" t="s">
        <v>767</v>
      </c>
      <c r="D491" s="102">
        <v>358017400</v>
      </c>
      <c r="E491" s="102">
        <v>2523265407</v>
      </c>
      <c r="F491" s="39" t="s">
        <v>252</v>
      </c>
      <c r="G491" s="81">
        <f>35834+(364+182)</f>
        <v>36380</v>
      </c>
      <c r="H491" s="50" t="str">
        <f t="shared" si="21"/>
        <v>Aug</v>
      </c>
      <c r="I491" s="51">
        <f t="shared" ca="1" si="22"/>
        <v>17</v>
      </c>
      <c r="J491" s="52"/>
      <c r="K491" s="53">
        <v>36052</v>
      </c>
      <c r="L491" s="54">
        <v>5</v>
      </c>
      <c r="M491" s="59">
        <f t="shared" si="23"/>
        <v>36052</v>
      </c>
    </row>
    <row r="492" spans="1:17">
      <c r="A492" s="39" t="s">
        <v>650</v>
      </c>
      <c r="B492" s="46" t="s">
        <v>251</v>
      </c>
      <c r="C492" s="39" t="s">
        <v>626</v>
      </c>
      <c r="D492" s="102">
        <v>662974752</v>
      </c>
      <c r="E492" s="102">
        <v>2526040465</v>
      </c>
      <c r="F492" s="39" t="s">
        <v>256</v>
      </c>
      <c r="G492" s="81">
        <f>35846+(364+182)</f>
        <v>36392</v>
      </c>
      <c r="H492" s="50" t="str">
        <f t="shared" si="21"/>
        <v>Aug</v>
      </c>
      <c r="I492" s="51">
        <f t="shared" ca="1" si="22"/>
        <v>17</v>
      </c>
      <c r="J492" s="52" t="s">
        <v>283</v>
      </c>
      <c r="K492" s="53">
        <v>51410</v>
      </c>
      <c r="L492" s="54">
        <v>4</v>
      </c>
      <c r="M492" s="59">
        <f t="shared" si="23"/>
        <v>51410</v>
      </c>
    </row>
    <row r="493" spans="1:17">
      <c r="A493" s="39" t="s">
        <v>842</v>
      </c>
      <c r="B493" s="46" t="s">
        <v>271</v>
      </c>
      <c r="C493" s="39" t="s">
        <v>767</v>
      </c>
      <c r="D493" s="102">
        <v>867100310</v>
      </c>
      <c r="E493" s="102">
        <v>9191376854</v>
      </c>
      <c r="F493" s="39" t="s">
        <v>256</v>
      </c>
      <c r="G493" s="81">
        <f>35847+(364+182)</f>
        <v>36393</v>
      </c>
      <c r="H493" s="50" t="str">
        <f t="shared" si="21"/>
        <v>Aug</v>
      </c>
      <c r="I493" s="51">
        <f t="shared" ca="1" si="22"/>
        <v>17</v>
      </c>
      <c r="J493" s="52" t="s">
        <v>283</v>
      </c>
      <c r="K493" s="53">
        <v>65910</v>
      </c>
      <c r="L493" s="54">
        <v>5</v>
      </c>
      <c r="M493" s="59">
        <f t="shared" si="23"/>
        <v>65910</v>
      </c>
    </row>
    <row r="494" spans="1:17">
      <c r="A494" s="39" t="s">
        <v>291</v>
      </c>
      <c r="B494" s="46" t="s">
        <v>266</v>
      </c>
      <c r="C494" s="39" t="s">
        <v>272</v>
      </c>
      <c r="D494" s="102">
        <v>456946966</v>
      </c>
      <c r="E494" s="102">
        <v>9194680033</v>
      </c>
      <c r="F494" s="39" t="s">
        <v>256</v>
      </c>
      <c r="G494" s="81">
        <f>36218+(364+182)</f>
        <v>36764</v>
      </c>
      <c r="H494" s="50" t="str">
        <f t="shared" si="21"/>
        <v>Aug</v>
      </c>
      <c r="I494" s="51">
        <f t="shared" ca="1" si="22"/>
        <v>16</v>
      </c>
      <c r="J494" s="52" t="s">
        <v>276</v>
      </c>
      <c r="K494" s="53">
        <v>74840</v>
      </c>
      <c r="L494" s="54">
        <v>4</v>
      </c>
      <c r="M494" s="59">
        <f t="shared" si="23"/>
        <v>74840</v>
      </c>
    </row>
    <row r="495" spans="1:17">
      <c r="A495" s="39" t="s">
        <v>617</v>
      </c>
      <c r="B495" s="46" t="s">
        <v>245</v>
      </c>
      <c r="C495" s="39" t="s">
        <v>618</v>
      </c>
      <c r="D495" s="102">
        <v>292006053</v>
      </c>
      <c r="E495" s="102">
        <v>9197045091</v>
      </c>
      <c r="F495" s="39" t="s">
        <v>247</v>
      </c>
      <c r="G495" s="81">
        <f>36219+(364+182)</f>
        <v>36765</v>
      </c>
      <c r="H495" s="50" t="str">
        <f t="shared" si="21"/>
        <v>Aug</v>
      </c>
      <c r="I495" s="51">
        <f t="shared" ca="1" si="22"/>
        <v>16</v>
      </c>
      <c r="J495" s="52"/>
      <c r="K495" s="53">
        <v>74500</v>
      </c>
      <c r="L495" s="54">
        <v>4</v>
      </c>
      <c r="M495" s="59">
        <f t="shared" si="23"/>
        <v>74500</v>
      </c>
    </row>
    <row r="496" spans="1:17">
      <c r="A496" s="39" t="s">
        <v>402</v>
      </c>
      <c r="B496" s="46" t="s">
        <v>271</v>
      </c>
      <c r="C496" s="39" t="s">
        <v>391</v>
      </c>
      <c r="D496" s="102">
        <v>469591073</v>
      </c>
      <c r="E496" s="102">
        <v>2523327522</v>
      </c>
      <c r="F496" s="39" t="s">
        <v>256</v>
      </c>
      <c r="G496" s="81">
        <f>36567+(364+182)</f>
        <v>37113</v>
      </c>
      <c r="H496" s="50" t="str">
        <f t="shared" si="21"/>
        <v>Aug</v>
      </c>
      <c r="I496" s="51">
        <f t="shared" ca="1" si="22"/>
        <v>15</v>
      </c>
      <c r="J496" s="52" t="s">
        <v>267</v>
      </c>
      <c r="K496" s="53">
        <v>61150</v>
      </c>
      <c r="L496" s="54">
        <v>4</v>
      </c>
      <c r="M496" s="59">
        <f t="shared" si="23"/>
        <v>61150</v>
      </c>
    </row>
    <row r="497" spans="1:17">
      <c r="A497" s="39" t="s">
        <v>709</v>
      </c>
      <c r="B497" s="46" t="s">
        <v>245</v>
      </c>
      <c r="C497" s="39" t="s">
        <v>705</v>
      </c>
      <c r="D497" s="102">
        <v>972791650</v>
      </c>
      <c r="E497" s="102">
        <v>2525236892</v>
      </c>
      <c r="F497" s="39" t="s">
        <v>261</v>
      </c>
      <c r="G497" s="81">
        <f>36924+(364+182)</f>
        <v>37470</v>
      </c>
      <c r="H497" s="50" t="str">
        <f t="shared" si="21"/>
        <v>Aug</v>
      </c>
      <c r="I497" s="51">
        <f t="shared" ca="1" si="22"/>
        <v>14</v>
      </c>
      <c r="J497" s="52" t="s">
        <v>257</v>
      </c>
      <c r="K497" s="53">
        <v>33810</v>
      </c>
      <c r="L497" s="54">
        <v>5</v>
      </c>
      <c r="M497" s="59">
        <f t="shared" si="23"/>
        <v>33810</v>
      </c>
    </row>
    <row r="498" spans="1:17">
      <c r="A498" s="39" t="s">
        <v>991</v>
      </c>
      <c r="B498" s="46" t="s">
        <v>251</v>
      </c>
      <c r="C498" s="39" t="s">
        <v>930</v>
      </c>
      <c r="D498" s="102">
        <v>120361975</v>
      </c>
      <c r="E498" s="102">
        <v>2521789943</v>
      </c>
      <c r="F498" s="39" t="s">
        <v>256</v>
      </c>
      <c r="G498" s="81">
        <f>36949+(364+182)</f>
        <v>37495</v>
      </c>
      <c r="H498" s="50" t="str">
        <f t="shared" si="21"/>
        <v>Aug</v>
      </c>
      <c r="I498" s="51">
        <f t="shared" ca="1" si="22"/>
        <v>14</v>
      </c>
      <c r="J498" s="52" t="s">
        <v>276</v>
      </c>
      <c r="K498" s="53">
        <v>60300</v>
      </c>
      <c r="L498" s="54">
        <v>2</v>
      </c>
      <c r="M498" s="59">
        <f t="shared" si="23"/>
        <v>60300</v>
      </c>
    </row>
    <row r="499" spans="1:17">
      <c r="A499" s="39" t="s">
        <v>821</v>
      </c>
      <c r="B499" s="46" t="s">
        <v>280</v>
      </c>
      <c r="C499" s="39" t="s">
        <v>767</v>
      </c>
      <c r="D499" s="102">
        <v>886332647</v>
      </c>
      <c r="E499" s="102">
        <v>2526698101</v>
      </c>
      <c r="F499" s="39" t="s">
        <v>256</v>
      </c>
      <c r="G499" s="81">
        <f>37302+(364+182)</f>
        <v>37848</v>
      </c>
      <c r="H499" s="50" t="str">
        <f t="shared" si="21"/>
        <v>Aug</v>
      </c>
      <c r="I499" s="51">
        <f t="shared" ca="1" si="22"/>
        <v>13</v>
      </c>
      <c r="J499" s="52" t="s">
        <v>262</v>
      </c>
      <c r="K499" s="53">
        <v>76910</v>
      </c>
      <c r="L499" s="54">
        <v>2</v>
      </c>
      <c r="M499" s="59">
        <f t="shared" si="23"/>
        <v>76910</v>
      </c>
      <c r="P499" s="75"/>
      <c r="Q499" s="75"/>
    </row>
    <row r="500" spans="1:17">
      <c r="A500" s="39" t="s">
        <v>711</v>
      </c>
      <c r="B500" s="46" t="s">
        <v>271</v>
      </c>
      <c r="C500" s="39" t="s">
        <v>705</v>
      </c>
      <c r="D500" s="102">
        <v>972086665</v>
      </c>
      <c r="E500" s="102">
        <v>2526007063</v>
      </c>
      <c r="F500" s="39" t="s">
        <v>256</v>
      </c>
      <c r="G500" s="81">
        <f>37681+(364+182)</f>
        <v>38227</v>
      </c>
      <c r="H500" s="50" t="str">
        <f t="shared" si="21"/>
        <v>Aug</v>
      </c>
      <c r="I500" s="51">
        <f t="shared" ca="1" si="22"/>
        <v>12</v>
      </c>
      <c r="J500" s="52" t="s">
        <v>283</v>
      </c>
      <c r="K500" s="53">
        <v>86200</v>
      </c>
      <c r="L500" s="54">
        <v>3</v>
      </c>
      <c r="M500" s="59">
        <f t="shared" si="23"/>
        <v>86200</v>
      </c>
    </row>
    <row r="501" spans="1:17">
      <c r="A501" s="39" t="s">
        <v>410</v>
      </c>
      <c r="B501" s="46" t="s">
        <v>285</v>
      </c>
      <c r="C501" s="39" t="s">
        <v>411</v>
      </c>
      <c r="D501" s="102">
        <v>850210766</v>
      </c>
      <c r="E501" s="102">
        <v>2527838614</v>
      </c>
      <c r="F501" s="39" t="s">
        <v>256</v>
      </c>
      <c r="G501" s="81">
        <f>38041+(364+182)</f>
        <v>38587</v>
      </c>
      <c r="H501" s="50" t="str">
        <f t="shared" si="21"/>
        <v>Aug</v>
      </c>
      <c r="I501" s="51">
        <f t="shared" ca="1" si="22"/>
        <v>11</v>
      </c>
      <c r="J501" s="52" t="s">
        <v>257</v>
      </c>
      <c r="K501" s="53">
        <v>47350</v>
      </c>
      <c r="L501" s="54">
        <v>5</v>
      </c>
      <c r="M501" s="59">
        <f t="shared" si="23"/>
        <v>47350</v>
      </c>
    </row>
    <row r="502" spans="1:17">
      <c r="A502" s="39" t="s">
        <v>721</v>
      </c>
      <c r="B502" s="46" t="s">
        <v>251</v>
      </c>
      <c r="C502" s="39" t="s">
        <v>705</v>
      </c>
      <c r="D502" s="102">
        <v>120479503</v>
      </c>
      <c r="E502" s="102">
        <v>9196069116</v>
      </c>
      <c r="F502" s="39" t="s">
        <v>261</v>
      </c>
      <c r="G502" s="81">
        <f>38753+(364+182)</f>
        <v>39299</v>
      </c>
      <c r="H502" s="50" t="str">
        <f t="shared" si="21"/>
        <v>Aug</v>
      </c>
      <c r="I502" s="51">
        <f t="shared" ca="1" si="22"/>
        <v>9</v>
      </c>
      <c r="J502" s="52" t="s">
        <v>276</v>
      </c>
      <c r="K502" s="53">
        <v>47760</v>
      </c>
      <c r="L502" s="54">
        <v>3</v>
      </c>
      <c r="M502" s="59">
        <f t="shared" si="23"/>
        <v>47760</v>
      </c>
    </row>
    <row r="503" spans="1:17">
      <c r="A503" s="39" t="s">
        <v>539</v>
      </c>
      <c r="B503" s="46" t="s">
        <v>266</v>
      </c>
      <c r="C503" s="39" t="s">
        <v>465</v>
      </c>
      <c r="D503" s="102">
        <v>858800513</v>
      </c>
      <c r="E503" s="102">
        <v>9193547588</v>
      </c>
      <c r="F503" s="39" t="s">
        <v>256</v>
      </c>
      <c r="G503" s="81">
        <f>38766+(364+182)</f>
        <v>39312</v>
      </c>
      <c r="H503" s="50" t="str">
        <f t="shared" si="21"/>
        <v>Aug</v>
      </c>
      <c r="I503" s="51">
        <f t="shared" ca="1" si="22"/>
        <v>9</v>
      </c>
      <c r="J503" s="52" t="s">
        <v>262</v>
      </c>
      <c r="K503" s="53">
        <v>71030</v>
      </c>
      <c r="L503" s="54">
        <v>3</v>
      </c>
      <c r="M503" s="59">
        <f t="shared" si="23"/>
        <v>71030</v>
      </c>
    </row>
    <row r="504" spans="1:17">
      <c r="A504" s="39" t="s">
        <v>732</v>
      </c>
      <c r="B504" s="46" t="s">
        <v>266</v>
      </c>
      <c r="C504" s="39" t="s">
        <v>705</v>
      </c>
      <c r="D504" s="102">
        <v>443238477</v>
      </c>
      <c r="E504" s="102">
        <v>9198624601</v>
      </c>
      <c r="F504" s="39" t="s">
        <v>256</v>
      </c>
      <c r="G504" s="81">
        <f>39132+(364+182)</f>
        <v>39678</v>
      </c>
      <c r="H504" s="50" t="str">
        <f t="shared" si="21"/>
        <v>Aug</v>
      </c>
      <c r="I504" s="51">
        <f t="shared" ca="1" si="22"/>
        <v>8</v>
      </c>
      <c r="J504" s="52" t="s">
        <v>283</v>
      </c>
      <c r="K504" s="53">
        <v>80090</v>
      </c>
      <c r="L504" s="54">
        <v>2</v>
      </c>
      <c r="M504" s="59">
        <f t="shared" si="23"/>
        <v>80090</v>
      </c>
    </row>
    <row r="505" spans="1:17">
      <c r="A505" s="39" t="s">
        <v>1001</v>
      </c>
      <c r="B505" s="46" t="s">
        <v>280</v>
      </c>
      <c r="C505" s="39" t="s">
        <v>930</v>
      </c>
      <c r="D505" s="102">
        <v>651999482</v>
      </c>
      <c r="E505" s="102">
        <v>2523014821</v>
      </c>
      <c r="F505" s="39" t="s">
        <v>256</v>
      </c>
      <c r="G505" s="81">
        <f>39133+(364+182)</f>
        <v>39679</v>
      </c>
      <c r="H505" s="50" t="str">
        <f t="shared" si="21"/>
        <v>Aug</v>
      </c>
      <c r="I505" s="51">
        <f t="shared" ca="1" si="22"/>
        <v>8</v>
      </c>
      <c r="J505" s="52" t="s">
        <v>257</v>
      </c>
      <c r="K505" s="53">
        <v>22820</v>
      </c>
      <c r="L505" s="54">
        <v>5</v>
      </c>
      <c r="M505" s="59">
        <f t="shared" si="23"/>
        <v>22820</v>
      </c>
    </row>
    <row r="506" spans="1:17">
      <c r="A506" s="39" t="s">
        <v>449</v>
      </c>
      <c r="B506" s="46" t="s">
        <v>251</v>
      </c>
      <c r="C506" s="39" t="s">
        <v>417</v>
      </c>
      <c r="D506" s="102">
        <v>281005046</v>
      </c>
      <c r="E506" s="102">
        <v>2527051004</v>
      </c>
      <c r="F506" s="39" t="s">
        <v>247</v>
      </c>
      <c r="G506" s="81">
        <f>39508+(364+182)</f>
        <v>40054</v>
      </c>
      <c r="H506" s="50" t="str">
        <f t="shared" si="21"/>
        <v>Aug</v>
      </c>
      <c r="I506" s="51">
        <f t="shared" ca="1" si="22"/>
        <v>7</v>
      </c>
      <c r="J506" s="52"/>
      <c r="K506" s="53">
        <v>56920</v>
      </c>
      <c r="L506" s="54">
        <v>4</v>
      </c>
      <c r="M506" s="59">
        <f t="shared" si="23"/>
        <v>56920</v>
      </c>
    </row>
    <row r="507" spans="1:17">
      <c r="A507" s="39" t="s">
        <v>706</v>
      </c>
      <c r="B507" s="46" t="s">
        <v>266</v>
      </c>
      <c r="C507" s="39" t="s">
        <v>705</v>
      </c>
      <c r="D507" s="102">
        <v>851400058</v>
      </c>
      <c r="E507" s="102">
        <v>9196012031</v>
      </c>
      <c r="F507" s="39" t="s">
        <v>261</v>
      </c>
      <c r="G507" s="103">
        <f>39847+(364+182)</f>
        <v>40393</v>
      </c>
      <c r="H507" s="50" t="str">
        <f t="shared" si="21"/>
        <v>Aug</v>
      </c>
      <c r="I507" s="51">
        <f t="shared" ca="1" si="22"/>
        <v>6</v>
      </c>
      <c r="J507" s="52" t="s">
        <v>257</v>
      </c>
      <c r="K507" s="53">
        <v>16925</v>
      </c>
      <c r="L507" s="54">
        <v>1</v>
      </c>
      <c r="M507" s="59">
        <f t="shared" si="23"/>
        <v>16925</v>
      </c>
    </row>
    <row r="508" spans="1:17">
      <c r="A508" s="39" t="s">
        <v>424</v>
      </c>
      <c r="B508" s="46" t="s">
        <v>271</v>
      </c>
      <c r="C508" s="39" t="s">
        <v>417</v>
      </c>
      <c r="D508" s="102">
        <v>518690148</v>
      </c>
      <c r="E508" s="102">
        <v>2526500529</v>
      </c>
      <c r="F508" s="39" t="s">
        <v>256</v>
      </c>
      <c r="G508" s="81">
        <f>39853+(364+182)</f>
        <v>40399</v>
      </c>
      <c r="H508" s="50" t="str">
        <f t="shared" si="21"/>
        <v>Aug</v>
      </c>
      <c r="I508" s="51">
        <f t="shared" ca="1" si="22"/>
        <v>6</v>
      </c>
      <c r="J508" s="52" t="s">
        <v>267</v>
      </c>
      <c r="K508" s="53">
        <v>32640</v>
      </c>
      <c r="L508" s="54">
        <v>4</v>
      </c>
      <c r="M508" s="59">
        <f t="shared" si="23"/>
        <v>32640</v>
      </c>
    </row>
    <row r="509" spans="1:17">
      <c r="A509" s="39" t="s">
        <v>413</v>
      </c>
      <c r="B509" s="46" t="s">
        <v>245</v>
      </c>
      <c r="C509" s="39" t="s">
        <v>411</v>
      </c>
      <c r="D509" s="102">
        <v>914041569</v>
      </c>
      <c r="E509" s="102">
        <v>9196082608</v>
      </c>
      <c r="F509" s="39" t="s">
        <v>256</v>
      </c>
      <c r="G509" s="103">
        <f>39854+(364+182)</f>
        <v>40400</v>
      </c>
      <c r="H509" s="50" t="str">
        <f t="shared" si="21"/>
        <v>Aug</v>
      </c>
      <c r="I509" s="51">
        <f t="shared" ca="1" si="22"/>
        <v>6</v>
      </c>
      <c r="J509" s="52" t="s">
        <v>283</v>
      </c>
      <c r="K509" s="53">
        <v>79150</v>
      </c>
      <c r="L509" s="54">
        <v>2</v>
      </c>
      <c r="M509" s="59">
        <f t="shared" si="23"/>
        <v>79150</v>
      </c>
    </row>
    <row r="510" spans="1:17">
      <c r="A510" s="39" t="s">
        <v>741</v>
      </c>
      <c r="B510" s="46" t="s">
        <v>245</v>
      </c>
      <c r="C510" s="39" t="s">
        <v>705</v>
      </c>
      <c r="D510" s="102">
        <v>623823805</v>
      </c>
      <c r="E510" s="102">
        <v>9192602559</v>
      </c>
      <c r="F510" s="39" t="s">
        <v>252</v>
      </c>
      <c r="G510" s="109">
        <f>39857+(364+182)</f>
        <v>40403</v>
      </c>
      <c r="H510" s="50" t="str">
        <f t="shared" si="21"/>
        <v>Aug</v>
      </c>
      <c r="I510" s="51">
        <f t="shared" ca="1" si="22"/>
        <v>6</v>
      </c>
      <c r="J510" s="52"/>
      <c r="K510" s="53">
        <v>15056</v>
      </c>
      <c r="L510" s="54">
        <v>5</v>
      </c>
      <c r="M510" s="59">
        <f t="shared" si="23"/>
        <v>15056</v>
      </c>
    </row>
    <row r="511" spans="1:17">
      <c r="A511" s="39" t="s">
        <v>851</v>
      </c>
      <c r="B511" s="46" t="s">
        <v>271</v>
      </c>
      <c r="C511" s="39" t="s">
        <v>767</v>
      </c>
      <c r="D511" s="102">
        <v>278129861</v>
      </c>
      <c r="E511" s="102">
        <v>9198561246</v>
      </c>
      <c r="F511" s="39" t="s">
        <v>247</v>
      </c>
      <c r="G511" s="103">
        <f>39858+(364+182)</f>
        <v>40404</v>
      </c>
      <c r="H511" s="50" t="str">
        <f t="shared" si="21"/>
        <v>Aug</v>
      </c>
      <c r="I511" s="51">
        <f t="shared" ca="1" si="22"/>
        <v>6</v>
      </c>
      <c r="J511" s="52"/>
      <c r="K511" s="53">
        <v>39550</v>
      </c>
      <c r="L511" s="54">
        <v>5</v>
      </c>
      <c r="M511" s="59">
        <f t="shared" si="23"/>
        <v>39550</v>
      </c>
    </row>
    <row r="512" spans="1:17">
      <c r="A512" s="39" t="s">
        <v>781</v>
      </c>
      <c r="B512" s="46" t="s">
        <v>245</v>
      </c>
      <c r="C512" s="39" t="s">
        <v>767</v>
      </c>
      <c r="D512" s="102">
        <v>502200672</v>
      </c>
      <c r="E512" s="102">
        <v>2527925201</v>
      </c>
      <c r="F512" s="39" t="s">
        <v>247</v>
      </c>
      <c r="G512" s="103">
        <f>39864+(364+182)</f>
        <v>40410</v>
      </c>
      <c r="H512" s="50" t="str">
        <f t="shared" si="21"/>
        <v>Aug</v>
      </c>
      <c r="I512" s="51">
        <f t="shared" ca="1" si="22"/>
        <v>6</v>
      </c>
      <c r="J512" s="52"/>
      <c r="K512" s="53">
        <v>57680</v>
      </c>
      <c r="L512" s="54">
        <v>4</v>
      </c>
      <c r="M512" s="59">
        <f t="shared" si="23"/>
        <v>57680</v>
      </c>
    </row>
    <row r="513" spans="1:15">
      <c r="A513" s="39" t="s">
        <v>846</v>
      </c>
      <c r="B513" s="46" t="s">
        <v>245</v>
      </c>
      <c r="C513" s="39" t="s">
        <v>767</v>
      </c>
      <c r="D513" s="102">
        <v>570756015</v>
      </c>
      <c r="E513" s="102">
        <v>2522238535</v>
      </c>
      <c r="F513" s="39" t="s">
        <v>261</v>
      </c>
      <c r="G513" s="103">
        <f>39875+(364+182)</f>
        <v>40421</v>
      </c>
      <c r="H513" s="50" t="str">
        <f t="shared" si="21"/>
        <v>Aug</v>
      </c>
      <c r="I513" s="51">
        <f t="shared" ca="1" si="22"/>
        <v>6</v>
      </c>
      <c r="J513" s="52" t="s">
        <v>262</v>
      </c>
      <c r="K513" s="53">
        <v>49355</v>
      </c>
      <c r="L513" s="54">
        <v>5</v>
      </c>
      <c r="M513" s="59">
        <f t="shared" si="23"/>
        <v>49355</v>
      </c>
    </row>
    <row r="514" spans="1:15">
      <c r="A514" s="39" t="s">
        <v>441</v>
      </c>
      <c r="B514" s="46" t="s">
        <v>271</v>
      </c>
      <c r="C514" s="39" t="s">
        <v>417</v>
      </c>
      <c r="D514" s="102">
        <v>113699123</v>
      </c>
      <c r="E514" s="102">
        <v>2526563683</v>
      </c>
      <c r="F514" s="39" t="s">
        <v>256</v>
      </c>
      <c r="G514" s="81">
        <f>32571+(364+182)</f>
        <v>33117</v>
      </c>
      <c r="H514" s="50" t="str">
        <f t="shared" si="21"/>
        <v>Sep</v>
      </c>
      <c r="I514" s="51">
        <f t="shared" ca="1" si="22"/>
        <v>26</v>
      </c>
      <c r="J514" s="52" t="s">
        <v>267</v>
      </c>
      <c r="K514" s="53">
        <v>35360</v>
      </c>
      <c r="L514" s="54">
        <v>5</v>
      </c>
      <c r="M514" s="59">
        <f t="shared" si="23"/>
        <v>35360</v>
      </c>
    </row>
    <row r="515" spans="1:15">
      <c r="A515" s="39" t="s">
        <v>791</v>
      </c>
      <c r="B515" s="46" t="s">
        <v>285</v>
      </c>
      <c r="C515" s="39" t="s">
        <v>767</v>
      </c>
      <c r="D515" s="102">
        <v>528258211</v>
      </c>
      <c r="E515" s="102">
        <v>9194727385</v>
      </c>
      <c r="F515" s="39" t="s">
        <v>256</v>
      </c>
      <c r="G515" s="81">
        <f>32582+(364+182)</f>
        <v>33128</v>
      </c>
      <c r="H515" s="50" t="str">
        <f t="shared" ref="H515:H578" si="24">CHOOSE(MONTH(G515),"Jan","Feb","Mar","Apr","May","Jun","Jul","Aug","Sep","Oct","Nov","Dec")</f>
        <v>Sep</v>
      </c>
      <c r="I515" s="51">
        <f t="shared" ref="I515:I578" ca="1" si="25">DATEDIF(G515,TODAY(),"Y")</f>
        <v>26</v>
      </c>
      <c r="J515" s="52" t="s">
        <v>267</v>
      </c>
      <c r="K515" s="53">
        <v>46110</v>
      </c>
      <c r="L515" s="54">
        <v>4</v>
      </c>
      <c r="M515" s="59">
        <f t="shared" ref="M515:M578" si="26">ROUND(K515*P513+K515,0)</f>
        <v>46110</v>
      </c>
    </row>
    <row r="516" spans="1:15">
      <c r="A516" s="39" t="s">
        <v>953</v>
      </c>
      <c r="B516" s="46" t="s">
        <v>285</v>
      </c>
      <c r="C516" s="39" t="s">
        <v>930</v>
      </c>
      <c r="D516" s="102">
        <v>904497673</v>
      </c>
      <c r="E516" s="102">
        <v>2521277028</v>
      </c>
      <c r="F516" s="39" t="s">
        <v>247</v>
      </c>
      <c r="G516" s="81">
        <f>32598+(364+182)</f>
        <v>33144</v>
      </c>
      <c r="H516" s="50" t="str">
        <f t="shared" si="24"/>
        <v>Sep</v>
      </c>
      <c r="I516" s="51">
        <f t="shared" ca="1" si="25"/>
        <v>26</v>
      </c>
      <c r="J516" s="52"/>
      <c r="K516" s="53">
        <v>23340</v>
      </c>
      <c r="L516" s="54">
        <v>4</v>
      </c>
      <c r="M516" s="59">
        <f t="shared" si="26"/>
        <v>23340</v>
      </c>
    </row>
    <row r="517" spans="1:15">
      <c r="A517" s="45" t="s">
        <v>279</v>
      </c>
      <c r="B517" s="46" t="s">
        <v>280</v>
      </c>
      <c r="C517" s="45" t="s">
        <v>272</v>
      </c>
      <c r="D517" s="106">
        <v>415076748</v>
      </c>
      <c r="E517" s="106">
        <v>9195230846</v>
      </c>
      <c r="F517" s="45" t="s">
        <v>252</v>
      </c>
      <c r="G517" s="105">
        <f>32936+(364+182)</f>
        <v>33482</v>
      </c>
      <c r="H517" s="50" t="str">
        <f t="shared" si="24"/>
        <v>Sep</v>
      </c>
      <c r="I517" s="51">
        <f t="shared" ca="1" si="25"/>
        <v>25</v>
      </c>
      <c r="J517" s="52" t="s">
        <v>257</v>
      </c>
      <c r="K517" s="53">
        <v>29070</v>
      </c>
      <c r="L517" s="54">
        <v>3</v>
      </c>
      <c r="M517" s="59">
        <f t="shared" si="26"/>
        <v>29070</v>
      </c>
      <c r="O517" s="104"/>
    </row>
    <row r="518" spans="1:15">
      <c r="A518" s="39" t="s">
        <v>957</v>
      </c>
      <c r="B518" s="46" t="s">
        <v>285</v>
      </c>
      <c r="C518" s="39" t="s">
        <v>930</v>
      </c>
      <c r="D518" s="102">
        <v>970466937</v>
      </c>
      <c r="E518" s="102">
        <v>9192042331</v>
      </c>
      <c r="F518" s="39" t="s">
        <v>247</v>
      </c>
      <c r="G518" s="81">
        <f>32949+(364+182)</f>
        <v>33495</v>
      </c>
      <c r="H518" s="50" t="str">
        <f t="shared" si="24"/>
        <v>Sep</v>
      </c>
      <c r="I518" s="51">
        <f t="shared" ca="1" si="25"/>
        <v>25</v>
      </c>
      <c r="J518" s="52"/>
      <c r="K518" s="53">
        <v>62480</v>
      </c>
      <c r="L518" s="54">
        <v>5</v>
      </c>
      <c r="M518" s="59">
        <f t="shared" si="26"/>
        <v>62480</v>
      </c>
    </row>
    <row r="519" spans="1:15">
      <c r="A519" s="39" t="s">
        <v>704</v>
      </c>
      <c r="B519" s="46" t="s">
        <v>271</v>
      </c>
      <c r="C519" s="39" t="s">
        <v>705</v>
      </c>
      <c r="D519" s="102">
        <v>290385638</v>
      </c>
      <c r="E519" s="102">
        <v>9194518022</v>
      </c>
      <c r="F519" s="39" t="s">
        <v>261</v>
      </c>
      <c r="G519" s="81">
        <f>32956+(364+182)</f>
        <v>33502</v>
      </c>
      <c r="H519" s="50" t="str">
        <f t="shared" si="24"/>
        <v>Sep</v>
      </c>
      <c r="I519" s="51">
        <f t="shared" ca="1" si="25"/>
        <v>25</v>
      </c>
      <c r="J519" s="52" t="s">
        <v>262</v>
      </c>
      <c r="K519" s="53">
        <v>35045</v>
      </c>
      <c r="L519" s="54">
        <v>4</v>
      </c>
      <c r="M519" s="59">
        <f t="shared" si="26"/>
        <v>35045</v>
      </c>
    </row>
    <row r="520" spans="1:15">
      <c r="A520" s="39" t="s">
        <v>983</v>
      </c>
      <c r="B520" s="46" t="s">
        <v>271</v>
      </c>
      <c r="C520" s="39" t="s">
        <v>930</v>
      </c>
      <c r="D520" s="102">
        <v>111616346</v>
      </c>
      <c r="E520" s="102">
        <v>2525717431</v>
      </c>
      <c r="F520" s="39" t="s">
        <v>247</v>
      </c>
      <c r="G520" s="81">
        <f>32960+(364+182)</f>
        <v>33506</v>
      </c>
      <c r="H520" s="50" t="str">
        <f t="shared" si="24"/>
        <v>Sep</v>
      </c>
      <c r="I520" s="51">
        <f t="shared" ca="1" si="25"/>
        <v>25</v>
      </c>
      <c r="J520" s="52"/>
      <c r="K520" s="53">
        <v>61134</v>
      </c>
      <c r="L520" s="54">
        <v>4</v>
      </c>
      <c r="M520" s="59">
        <f t="shared" si="26"/>
        <v>61134</v>
      </c>
    </row>
    <row r="521" spans="1:15">
      <c r="A521" s="39" t="s">
        <v>796</v>
      </c>
      <c r="B521" s="46" t="s">
        <v>271</v>
      </c>
      <c r="C521" s="39" t="s">
        <v>767</v>
      </c>
      <c r="D521" s="102">
        <v>561530671</v>
      </c>
      <c r="E521" s="102">
        <v>9192999652</v>
      </c>
      <c r="F521" s="39" t="s">
        <v>256</v>
      </c>
      <c r="G521" s="81">
        <f>32964+(364+182)</f>
        <v>33510</v>
      </c>
      <c r="H521" s="50" t="str">
        <f t="shared" si="24"/>
        <v>Sep</v>
      </c>
      <c r="I521" s="51">
        <f t="shared" ca="1" si="25"/>
        <v>25</v>
      </c>
      <c r="J521" s="52" t="s">
        <v>262</v>
      </c>
      <c r="K521" s="53">
        <v>54500</v>
      </c>
      <c r="L521" s="54">
        <v>5</v>
      </c>
      <c r="M521" s="59">
        <f t="shared" si="26"/>
        <v>54500</v>
      </c>
    </row>
    <row r="522" spans="1:15">
      <c r="A522" s="39" t="s">
        <v>925</v>
      </c>
      <c r="B522" s="46" t="s">
        <v>271</v>
      </c>
      <c r="C522" s="39" t="s">
        <v>856</v>
      </c>
      <c r="D522" s="102">
        <v>627977314</v>
      </c>
      <c r="E522" s="102">
        <v>2521525844</v>
      </c>
      <c r="F522" s="39" t="s">
        <v>256</v>
      </c>
      <c r="G522" s="81">
        <f>33306+(364+182)</f>
        <v>33852</v>
      </c>
      <c r="H522" s="50" t="str">
        <f t="shared" si="24"/>
        <v>Sep</v>
      </c>
      <c r="I522" s="51">
        <f t="shared" ca="1" si="25"/>
        <v>24</v>
      </c>
      <c r="J522" s="52" t="s">
        <v>276</v>
      </c>
      <c r="K522" s="53">
        <v>86240</v>
      </c>
      <c r="L522" s="54">
        <v>1</v>
      </c>
      <c r="M522" s="59">
        <f t="shared" si="26"/>
        <v>86240</v>
      </c>
    </row>
    <row r="523" spans="1:15">
      <c r="A523" s="39" t="s">
        <v>421</v>
      </c>
      <c r="B523" s="46" t="s">
        <v>280</v>
      </c>
      <c r="C523" s="39" t="s">
        <v>417</v>
      </c>
      <c r="D523" s="102">
        <v>291841866</v>
      </c>
      <c r="E523" s="102">
        <v>9191534053</v>
      </c>
      <c r="F523" s="39" t="s">
        <v>256</v>
      </c>
      <c r="G523" s="81">
        <f>33326+(364+182)</f>
        <v>33872</v>
      </c>
      <c r="H523" s="50" t="str">
        <f t="shared" si="24"/>
        <v>Sep</v>
      </c>
      <c r="I523" s="51">
        <f t="shared" ca="1" si="25"/>
        <v>24</v>
      </c>
      <c r="J523" s="52" t="s">
        <v>257</v>
      </c>
      <c r="K523" s="53">
        <v>64510</v>
      </c>
      <c r="L523" s="54">
        <v>3</v>
      </c>
      <c r="M523" s="59">
        <f t="shared" si="26"/>
        <v>64510</v>
      </c>
    </row>
    <row r="524" spans="1:15">
      <c r="A524" s="39" t="s">
        <v>451</v>
      </c>
      <c r="B524" s="46" t="s">
        <v>271</v>
      </c>
      <c r="C524" s="39" t="s">
        <v>417</v>
      </c>
      <c r="D524" s="102">
        <v>603301910</v>
      </c>
      <c r="E524" s="102">
        <v>9196514650</v>
      </c>
      <c r="F524" s="39" t="s">
        <v>256</v>
      </c>
      <c r="G524" s="81">
        <f>33667+(364+182)</f>
        <v>34213</v>
      </c>
      <c r="H524" s="50" t="str">
        <f t="shared" si="24"/>
        <v>Sep</v>
      </c>
      <c r="I524" s="51">
        <f t="shared" ca="1" si="25"/>
        <v>23</v>
      </c>
      <c r="J524" s="52" t="s">
        <v>257</v>
      </c>
      <c r="K524" s="53">
        <v>72900</v>
      </c>
      <c r="L524" s="54">
        <v>3</v>
      </c>
      <c r="M524" s="59">
        <f t="shared" si="26"/>
        <v>72900</v>
      </c>
    </row>
    <row r="525" spans="1:15">
      <c r="A525" s="39" t="s">
        <v>771</v>
      </c>
      <c r="B525" s="46" t="s">
        <v>271</v>
      </c>
      <c r="C525" s="39" t="s">
        <v>767</v>
      </c>
      <c r="D525" s="102">
        <v>313358310</v>
      </c>
      <c r="E525" s="102">
        <v>9195442791</v>
      </c>
      <c r="F525" s="39" t="s">
        <v>256</v>
      </c>
      <c r="G525" s="81">
        <f>33676+(364+182)</f>
        <v>34222</v>
      </c>
      <c r="H525" s="50" t="str">
        <f t="shared" si="24"/>
        <v>Sep</v>
      </c>
      <c r="I525" s="51">
        <f t="shared" ca="1" si="25"/>
        <v>23</v>
      </c>
      <c r="J525" s="52" t="s">
        <v>257</v>
      </c>
      <c r="K525" s="53">
        <v>62688</v>
      </c>
      <c r="L525" s="54">
        <v>2</v>
      </c>
      <c r="M525" s="59">
        <f t="shared" si="26"/>
        <v>62688</v>
      </c>
    </row>
    <row r="526" spans="1:15">
      <c r="A526" s="39" t="s">
        <v>584</v>
      </c>
      <c r="B526" s="46" t="s">
        <v>251</v>
      </c>
      <c r="C526" s="39" t="s">
        <v>465</v>
      </c>
      <c r="D526" s="102">
        <v>783624212</v>
      </c>
      <c r="E526" s="102">
        <v>9193164024</v>
      </c>
      <c r="F526" s="39" t="s">
        <v>261</v>
      </c>
      <c r="G526" s="81">
        <f>34037+(364+182)</f>
        <v>34583</v>
      </c>
      <c r="H526" s="50" t="str">
        <f t="shared" si="24"/>
        <v>Sep</v>
      </c>
      <c r="I526" s="51">
        <f t="shared" ca="1" si="25"/>
        <v>22</v>
      </c>
      <c r="J526" s="52" t="s">
        <v>262</v>
      </c>
      <c r="K526" s="53">
        <v>15260</v>
      </c>
      <c r="L526" s="54">
        <v>2</v>
      </c>
      <c r="M526" s="59">
        <f t="shared" si="26"/>
        <v>15260</v>
      </c>
    </row>
    <row r="527" spans="1:15">
      <c r="A527" s="39" t="s">
        <v>632</v>
      </c>
      <c r="B527" s="46" t="s">
        <v>280</v>
      </c>
      <c r="C527" s="39" t="s">
        <v>626</v>
      </c>
      <c r="D527" s="102">
        <v>991764142</v>
      </c>
      <c r="E527" s="102">
        <v>9192490678</v>
      </c>
      <c r="F527" s="39" t="s">
        <v>247</v>
      </c>
      <c r="G527" s="81">
        <f>34401+(364+182)</f>
        <v>34947</v>
      </c>
      <c r="H527" s="50" t="str">
        <f t="shared" si="24"/>
        <v>Sep</v>
      </c>
      <c r="I527" s="51">
        <f t="shared" ca="1" si="25"/>
        <v>21</v>
      </c>
      <c r="J527" s="52"/>
      <c r="K527" s="53">
        <v>81930</v>
      </c>
      <c r="L527" s="54">
        <v>5</v>
      </c>
      <c r="M527" s="59">
        <f t="shared" si="26"/>
        <v>81930</v>
      </c>
    </row>
    <row r="528" spans="1:15">
      <c r="A528" s="39" t="s">
        <v>995</v>
      </c>
      <c r="B528" s="46" t="s">
        <v>245</v>
      </c>
      <c r="C528" s="39" t="s">
        <v>930</v>
      </c>
      <c r="D528" s="102">
        <v>145495793</v>
      </c>
      <c r="E528" s="102">
        <v>2521603964</v>
      </c>
      <c r="F528" s="39" t="s">
        <v>261</v>
      </c>
      <c r="G528" s="81">
        <f>34414+(364+182)</f>
        <v>34960</v>
      </c>
      <c r="H528" s="50" t="str">
        <f t="shared" si="24"/>
        <v>Sep</v>
      </c>
      <c r="I528" s="51">
        <f t="shared" ca="1" si="25"/>
        <v>21</v>
      </c>
      <c r="J528" s="52" t="s">
        <v>276</v>
      </c>
      <c r="K528" s="53">
        <v>23000</v>
      </c>
      <c r="L528" s="54">
        <v>4</v>
      </c>
      <c r="M528" s="59">
        <f t="shared" si="26"/>
        <v>23000</v>
      </c>
    </row>
    <row r="529" spans="1:34">
      <c r="A529" s="39" t="s">
        <v>555</v>
      </c>
      <c r="B529" s="46" t="s">
        <v>285</v>
      </c>
      <c r="C529" s="39" t="s">
        <v>465</v>
      </c>
      <c r="D529" s="102">
        <v>565952209</v>
      </c>
      <c r="E529" s="102">
        <v>2522889972</v>
      </c>
      <c r="F529" s="39" t="s">
        <v>256</v>
      </c>
      <c r="G529" s="81">
        <f>34425+(364+182)</f>
        <v>34971</v>
      </c>
      <c r="H529" s="50" t="str">
        <f t="shared" si="24"/>
        <v>Sep</v>
      </c>
      <c r="I529" s="51">
        <f t="shared" ca="1" si="25"/>
        <v>21</v>
      </c>
      <c r="J529" s="52" t="s">
        <v>283</v>
      </c>
      <c r="K529" s="53">
        <v>67050</v>
      </c>
      <c r="L529" s="54">
        <v>4</v>
      </c>
      <c r="M529" s="59">
        <f t="shared" si="26"/>
        <v>67050</v>
      </c>
    </row>
    <row r="530" spans="1:34" s="84" customFormat="1">
      <c r="A530" s="39" t="s">
        <v>482</v>
      </c>
      <c r="B530" s="46" t="s">
        <v>251</v>
      </c>
      <c r="C530" s="39" t="s">
        <v>465</v>
      </c>
      <c r="D530" s="102">
        <v>682907379</v>
      </c>
      <c r="E530" s="102">
        <v>2521854525</v>
      </c>
      <c r="F530" s="39" t="s">
        <v>256</v>
      </c>
      <c r="G530" s="81">
        <f>34765+(364+182)</f>
        <v>35311</v>
      </c>
      <c r="H530" s="50" t="str">
        <f t="shared" si="24"/>
        <v>Sep</v>
      </c>
      <c r="I530" s="51">
        <f t="shared" ca="1" si="25"/>
        <v>20</v>
      </c>
      <c r="J530" s="52" t="s">
        <v>267</v>
      </c>
      <c r="K530" s="53">
        <v>39520</v>
      </c>
      <c r="L530" s="54">
        <v>5</v>
      </c>
      <c r="M530" s="59">
        <f t="shared" si="26"/>
        <v>39520</v>
      </c>
      <c r="N530" s="100"/>
      <c r="O530" s="45"/>
      <c r="P530" s="39"/>
      <c r="Q530" s="39"/>
      <c r="R530" s="39"/>
      <c r="S530" s="39"/>
      <c r="T530" s="39"/>
      <c r="U530" s="39"/>
      <c r="V530" s="39"/>
      <c r="W530" s="39"/>
      <c r="X530" s="39"/>
      <c r="Y530" s="39"/>
      <c r="Z530" s="39"/>
      <c r="AA530" s="39"/>
      <c r="AB530" s="39"/>
      <c r="AC530" s="39"/>
      <c r="AD530" s="39"/>
      <c r="AE530" s="39"/>
      <c r="AF530" s="39"/>
      <c r="AG530" s="39"/>
      <c r="AH530" s="39"/>
    </row>
    <row r="531" spans="1:34" s="84" customFormat="1">
      <c r="A531" s="39" t="s">
        <v>415</v>
      </c>
      <c r="B531" s="46" t="s">
        <v>271</v>
      </c>
      <c r="C531" s="39" t="s">
        <v>411</v>
      </c>
      <c r="D531" s="102">
        <v>999789446</v>
      </c>
      <c r="E531" s="102">
        <v>2521696804</v>
      </c>
      <c r="F531" s="39" t="s">
        <v>256</v>
      </c>
      <c r="G531" s="81">
        <f>34783+(364+182)</f>
        <v>35329</v>
      </c>
      <c r="H531" s="50" t="str">
        <f t="shared" si="24"/>
        <v>Sep</v>
      </c>
      <c r="I531" s="51">
        <f t="shared" ca="1" si="25"/>
        <v>20</v>
      </c>
      <c r="J531" s="52" t="s">
        <v>257</v>
      </c>
      <c r="K531" s="53">
        <v>66740</v>
      </c>
      <c r="L531" s="54">
        <v>2</v>
      </c>
      <c r="M531" s="59">
        <f t="shared" si="26"/>
        <v>66740</v>
      </c>
      <c r="N531" s="100"/>
      <c r="O531" s="45"/>
      <c r="P531" s="39"/>
      <c r="Q531" s="39"/>
      <c r="R531" s="39"/>
      <c r="S531" s="39"/>
      <c r="T531" s="39"/>
      <c r="U531" s="39"/>
      <c r="V531" s="39"/>
      <c r="W531" s="39"/>
      <c r="X531" s="39"/>
      <c r="Y531" s="39"/>
      <c r="Z531" s="39"/>
      <c r="AA531" s="39"/>
      <c r="AB531" s="39"/>
      <c r="AC531" s="39"/>
      <c r="AD531" s="39"/>
      <c r="AE531" s="39"/>
      <c r="AF531" s="39"/>
      <c r="AG531" s="39"/>
      <c r="AH531" s="39"/>
    </row>
    <row r="532" spans="1:34" s="84" customFormat="1">
      <c r="A532" s="39" t="s">
        <v>961</v>
      </c>
      <c r="B532" s="46" t="s">
        <v>280</v>
      </c>
      <c r="C532" s="39" t="s">
        <v>930</v>
      </c>
      <c r="D532" s="102">
        <v>733358713</v>
      </c>
      <c r="E532" s="102">
        <v>9196648050</v>
      </c>
      <c r="F532" s="39" t="s">
        <v>247</v>
      </c>
      <c r="G532" s="81">
        <f>34792+(364+182)</f>
        <v>35338</v>
      </c>
      <c r="H532" s="50" t="str">
        <f t="shared" si="24"/>
        <v>Sep</v>
      </c>
      <c r="I532" s="51">
        <f t="shared" ca="1" si="25"/>
        <v>20</v>
      </c>
      <c r="J532" s="52"/>
      <c r="K532" s="53">
        <v>87830</v>
      </c>
      <c r="L532" s="54">
        <v>2</v>
      </c>
      <c r="M532" s="59">
        <f t="shared" si="26"/>
        <v>87830</v>
      </c>
      <c r="N532" s="100"/>
      <c r="O532" s="45"/>
      <c r="P532" s="39"/>
      <c r="Q532" s="39"/>
      <c r="R532" s="39"/>
      <c r="S532" s="39"/>
      <c r="T532" s="39"/>
      <c r="U532" s="39"/>
      <c r="V532" s="39"/>
      <c r="W532" s="39"/>
      <c r="X532" s="39"/>
      <c r="Y532" s="39"/>
      <c r="Z532" s="39"/>
      <c r="AA532" s="39"/>
      <c r="AB532" s="39"/>
      <c r="AC532" s="39"/>
      <c r="AD532" s="39"/>
      <c r="AE532" s="39"/>
      <c r="AF532" s="39"/>
      <c r="AG532" s="39"/>
      <c r="AH532" s="39"/>
    </row>
    <row r="533" spans="1:34" s="84" customFormat="1">
      <c r="A533" s="39" t="s">
        <v>301</v>
      </c>
      <c r="B533" s="46" t="s">
        <v>271</v>
      </c>
      <c r="C533" s="39" t="s">
        <v>296</v>
      </c>
      <c r="D533" s="102">
        <v>243350742</v>
      </c>
      <c r="E533" s="102">
        <v>2528304204</v>
      </c>
      <c r="F533" s="39" t="s">
        <v>252</v>
      </c>
      <c r="G533" s="81">
        <f>35128+(364+182)</f>
        <v>35674</v>
      </c>
      <c r="H533" s="50" t="str">
        <f t="shared" si="24"/>
        <v>Sep</v>
      </c>
      <c r="I533" s="51">
        <f t="shared" ca="1" si="25"/>
        <v>19</v>
      </c>
      <c r="J533" s="52"/>
      <c r="K533" s="53">
        <v>20028</v>
      </c>
      <c r="L533" s="54">
        <v>4</v>
      </c>
      <c r="M533" s="59">
        <f t="shared" si="26"/>
        <v>20028</v>
      </c>
      <c r="N533" s="100"/>
      <c r="O533" s="45"/>
      <c r="P533" s="39"/>
      <c r="Q533" s="39"/>
      <c r="R533" s="39"/>
      <c r="S533" s="39"/>
      <c r="T533" s="39"/>
      <c r="U533" s="39"/>
      <c r="V533" s="39"/>
      <c r="W533" s="39"/>
      <c r="X533" s="39"/>
      <c r="Y533" s="39"/>
      <c r="Z533" s="39"/>
      <c r="AA533" s="39"/>
      <c r="AB533" s="39"/>
      <c r="AC533" s="39"/>
      <c r="AD533" s="39"/>
      <c r="AE533" s="39"/>
      <c r="AF533" s="39"/>
      <c r="AG533" s="39"/>
      <c r="AH533" s="39"/>
    </row>
    <row r="534" spans="1:34" s="84" customFormat="1">
      <c r="A534" s="39" t="s">
        <v>669</v>
      </c>
      <c r="B534" s="46" t="s">
        <v>285</v>
      </c>
      <c r="C534" s="39" t="s">
        <v>626</v>
      </c>
      <c r="D534" s="102">
        <v>479081328</v>
      </c>
      <c r="E534" s="102">
        <v>2525368383</v>
      </c>
      <c r="F534" s="39" t="s">
        <v>247</v>
      </c>
      <c r="G534" s="81">
        <f>35136+(364+182)</f>
        <v>35682</v>
      </c>
      <c r="H534" s="50" t="str">
        <f t="shared" si="24"/>
        <v>Sep</v>
      </c>
      <c r="I534" s="51">
        <f t="shared" ca="1" si="25"/>
        <v>19</v>
      </c>
      <c r="J534" s="52"/>
      <c r="K534" s="53">
        <v>63850</v>
      </c>
      <c r="L534" s="54">
        <v>2</v>
      </c>
      <c r="M534" s="59">
        <f t="shared" si="26"/>
        <v>63850</v>
      </c>
      <c r="N534" s="100"/>
      <c r="O534" s="45"/>
      <c r="P534" s="39"/>
      <c r="Q534" s="39"/>
      <c r="R534" s="39"/>
      <c r="S534" s="39"/>
      <c r="T534" s="39"/>
      <c r="U534" s="39"/>
      <c r="V534" s="39"/>
      <c r="W534" s="39"/>
      <c r="X534" s="39"/>
      <c r="Y534" s="39"/>
      <c r="Z534" s="39"/>
      <c r="AA534" s="39"/>
      <c r="AB534" s="39"/>
      <c r="AC534" s="39"/>
      <c r="AD534" s="39"/>
      <c r="AE534" s="39"/>
      <c r="AF534" s="39"/>
      <c r="AG534" s="39"/>
      <c r="AH534" s="39"/>
    </row>
    <row r="535" spans="1:34" s="84" customFormat="1">
      <c r="A535" s="39" t="s">
        <v>877</v>
      </c>
      <c r="B535" s="46" t="s">
        <v>271</v>
      </c>
      <c r="C535" s="39" t="s">
        <v>856</v>
      </c>
      <c r="D535" s="102">
        <v>863736129</v>
      </c>
      <c r="E535" s="102">
        <v>2522778445</v>
      </c>
      <c r="F535" s="39" t="s">
        <v>261</v>
      </c>
      <c r="G535" s="81">
        <f>35142+(364+182)</f>
        <v>35688</v>
      </c>
      <c r="H535" s="50" t="str">
        <f t="shared" si="24"/>
        <v>Sep</v>
      </c>
      <c r="I535" s="51">
        <f t="shared" ca="1" si="25"/>
        <v>19</v>
      </c>
      <c r="J535" s="52" t="s">
        <v>283</v>
      </c>
      <c r="K535" s="53">
        <v>42740</v>
      </c>
      <c r="L535" s="54">
        <v>2</v>
      </c>
      <c r="M535" s="59">
        <f t="shared" si="26"/>
        <v>42740</v>
      </c>
      <c r="N535" s="100"/>
      <c r="O535" s="45"/>
      <c r="P535" s="39"/>
      <c r="Q535" s="39"/>
      <c r="R535" s="39"/>
      <c r="S535" s="39"/>
      <c r="T535" s="39"/>
      <c r="U535" s="39"/>
      <c r="V535" s="39"/>
      <c r="W535" s="39"/>
      <c r="X535" s="39"/>
      <c r="Y535" s="39"/>
      <c r="Z535" s="39"/>
      <c r="AA535" s="39"/>
      <c r="AB535" s="39"/>
      <c r="AC535" s="39"/>
      <c r="AD535" s="39"/>
      <c r="AE535" s="39"/>
      <c r="AF535" s="39"/>
      <c r="AG535" s="39"/>
      <c r="AH535" s="39"/>
    </row>
    <row r="536" spans="1:34" s="84" customFormat="1">
      <c r="A536" s="39" t="s">
        <v>795</v>
      </c>
      <c r="B536" s="46" t="s">
        <v>285</v>
      </c>
      <c r="C536" s="39" t="s">
        <v>767</v>
      </c>
      <c r="D536" s="102">
        <v>965916299</v>
      </c>
      <c r="E536" s="102">
        <v>9193552027</v>
      </c>
      <c r="F536" s="39" t="s">
        <v>256</v>
      </c>
      <c r="G536" s="81">
        <f>35147+(364+182)</f>
        <v>35693</v>
      </c>
      <c r="H536" s="50" t="str">
        <f t="shared" si="24"/>
        <v>Sep</v>
      </c>
      <c r="I536" s="51">
        <f t="shared" ca="1" si="25"/>
        <v>19</v>
      </c>
      <c r="J536" s="52" t="s">
        <v>262</v>
      </c>
      <c r="K536" s="53">
        <v>24340</v>
      </c>
      <c r="L536" s="54">
        <v>4</v>
      </c>
      <c r="M536" s="59">
        <f t="shared" si="26"/>
        <v>24340</v>
      </c>
      <c r="N536" s="100"/>
      <c r="O536" s="45"/>
      <c r="P536" s="39"/>
      <c r="Q536" s="39"/>
      <c r="R536" s="39"/>
      <c r="S536" s="39"/>
      <c r="T536" s="39"/>
      <c r="U536" s="39"/>
      <c r="V536" s="39"/>
      <c r="W536" s="39"/>
      <c r="X536" s="39"/>
      <c r="Y536" s="39"/>
      <c r="Z536" s="39"/>
      <c r="AA536" s="39"/>
      <c r="AB536" s="39"/>
      <c r="AC536" s="39"/>
      <c r="AD536" s="39"/>
      <c r="AE536" s="39"/>
      <c r="AF536" s="39"/>
      <c r="AG536" s="39"/>
      <c r="AH536" s="39"/>
    </row>
    <row r="537" spans="1:34" s="84" customFormat="1">
      <c r="A537" s="39" t="s">
        <v>597</v>
      </c>
      <c r="B537" s="46" t="s">
        <v>271</v>
      </c>
      <c r="C537" s="39" t="s">
        <v>465</v>
      </c>
      <c r="D537" s="102">
        <v>676030562</v>
      </c>
      <c r="E537" s="102">
        <v>9198253211</v>
      </c>
      <c r="F537" s="39" t="s">
        <v>256</v>
      </c>
      <c r="G537" s="81">
        <f>35149+(364+182)</f>
        <v>35695</v>
      </c>
      <c r="H537" s="50" t="str">
        <f t="shared" si="24"/>
        <v>Sep</v>
      </c>
      <c r="I537" s="51">
        <f t="shared" ca="1" si="25"/>
        <v>19</v>
      </c>
      <c r="J537" s="52" t="s">
        <v>257</v>
      </c>
      <c r="K537" s="53">
        <v>60100</v>
      </c>
      <c r="L537" s="54">
        <v>1</v>
      </c>
      <c r="M537" s="59">
        <f t="shared" si="26"/>
        <v>60100</v>
      </c>
      <c r="N537" s="100"/>
      <c r="O537" s="45"/>
      <c r="P537" s="39"/>
      <c r="Q537" s="39"/>
      <c r="R537" s="39"/>
      <c r="S537" s="39"/>
      <c r="T537" s="39"/>
      <c r="U537" s="39"/>
      <c r="V537" s="39"/>
      <c r="W537" s="39"/>
      <c r="X537" s="39"/>
      <c r="Y537" s="39"/>
      <c r="Z537" s="39"/>
      <c r="AA537" s="39"/>
      <c r="AB537" s="39"/>
      <c r="AC537" s="39"/>
      <c r="AD537" s="39"/>
      <c r="AE537" s="39"/>
      <c r="AF537" s="39"/>
      <c r="AG537" s="39"/>
      <c r="AH537" s="39"/>
    </row>
    <row r="538" spans="1:34" s="84" customFormat="1">
      <c r="A538" s="39" t="s">
        <v>783</v>
      </c>
      <c r="B538" s="46" t="s">
        <v>251</v>
      </c>
      <c r="C538" s="39" t="s">
        <v>767</v>
      </c>
      <c r="D538" s="102">
        <v>698472533</v>
      </c>
      <c r="E538" s="102">
        <v>9192917217</v>
      </c>
      <c r="F538" s="39" t="s">
        <v>247</v>
      </c>
      <c r="G538" s="81">
        <f>35153+(364+182)</f>
        <v>35699</v>
      </c>
      <c r="H538" s="50" t="str">
        <f t="shared" si="24"/>
        <v>Sep</v>
      </c>
      <c r="I538" s="51">
        <f t="shared" ca="1" si="25"/>
        <v>19</v>
      </c>
      <c r="J538" s="52"/>
      <c r="K538" s="53">
        <v>36230</v>
      </c>
      <c r="L538" s="54">
        <v>2</v>
      </c>
      <c r="M538" s="59">
        <f t="shared" si="26"/>
        <v>36230</v>
      </c>
      <c r="N538" s="100"/>
      <c r="O538" s="45"/>
      <c r="P538" s="39"/>
      <c r="Q538" s="39"/>
      <c r="R538" s="39"/>
      <c r="S538" s="39"/>
      <c r="T538" s="39"/>
      <c r="U538" s="39"/>
      <c r="V538" s="39"/>
      <c r="W538" s="39"/>
      <c r="X538" s="39"/>
      <c r="Y538" s="39"/>
      <c r="Z538" s="39"/>
      <c r="AA538" s="39"/>
      <c r="AB538" s="39"/>
      <c r="AC538" s="39"/>
      <c r="AD538" s="39"/>
      <c r="AE538" s="39"/>
      <c r="AF538" s="39"/>
      <c r="AG538" s="39"/>
      <c r="AH538" s="39"/>
    </row>
    <row r="539" spans="1:34" s="84" customFormat="1">
      <c r="A539" s="39" t="s">
        <v>610</v>
      </c>
      <c r="B539" s="46" t="s">
        <v>285</v>
      </c>
      <c r="C539" s="39" t="s">
        <v>465</v>
      </c>
      <c r="D539" s="102">
        <v>597131266</v>
      </c>
      <c r="E539" s="102">
        <v>9195043141</v>
      </c>
      <c r="F539" s="39" t="s">
        <v>256</v>
      </c>
      <c r="G539" s="81">
        <f>35157+(364+182)</f>
        <v>35703</v>
      </c>
      <c r="H539" s="50" t="str">
        <f t="shared" si="24"/>
        <v>Sep</v>
      </c>
      <c r="I539" s="51">
        <f t="shared" ca="1" si="25"/>
        <v>19</v>
      </c>
      <c r="J539" s="52" t="s">
        <v>262</v>
      </c>
      <c r="K539" s="53">
        <v>66430</v>
      </c>
      <c r="L539" s="54">
        <v>2</v>
      </c>
      <c r="M539" s="59">
        <f t="shared" si="26"/>
        <v>66430</v>
      </c>
      <c r="N539" s="100"/>
      <c r="O539" s="45"/>
      <c r="P539" s="39"/>
      <c r="Q539" s="39"/>
      <c r="R539" s="39"/>
      <c r="S539" s="39"/>
      <c r="T539" s="39"/>
      <c r="U539" s="39"/>
      <c r="V539" s="39"/>
      <c r="W539" s="39"/>
      <c r="X539" s="39"/>
      <c r="Y539" s="39"/>
      <c r="Z539" s="39"/>
      <c r="AA539" s="39"/>
      <c r="AB539" s="39"/>
      <c r="AC539" s="39"/>
      <c r="AD539" s="39"/>
      <c r="AE539" s="39"/>
      <c r="AF539" s="39"/>
      <c r="AG539" s="39"/>
      <c r="AH539" s="39"/>
    </row>
    <row r="540" spans="1:34" s="84" customFormat="1">
      <c r="A540" s="39" t="s">
        <v>691</v>
      </c>
      <c r="B540" s="46" t="s">
        <v>245</v>
      </c>
      <c r="C540" s="39" t="s">
        <v>678</v>
      </c>
      <c r="D540" s="102">
        <v>550291321</v>
      </c>
      <c r="E540" s="102">
        <v>9192529195</v>
      </c>
      <c r="F540" s="39" t="s">
        <v>247</v>
      </c>
      <c r="G540" s="81">
        <f>35501+(364+182)</f>
        <v>36047</v>
      </c>
      <c r="H540" s="50" t="str">
        <f t="shared" si="24"/>
        <v>Sep</v>
      </c>
      <c r="I540" s="51">
        <f t="shared" ca="1" si="25"/>
        <v>18</v>
      </c>
      <c r="J540" s="52"/>
      <c r="K540" s="53">
        <v>72480</v>
      </c>
      <c r="L540" s="54">
        <v>2</v>
      </c>
      <c r="M540" s="59">
        <f t="shared" si="26"/>
        <v>72480</v>
      </c>
      <c r="N540" s="100"/>
      <c r="O540" s="45"/>
      <c r="P540" s="39"/>
      <c r="Q540" s="39"/>
      <c r="R540" s="39"/>
      <c r="S540" s="39"/>
      <c r="T540" s="39"/>
      <c r="U540" s="39"/>
      <c r="V540" s="39"/>
      <c r="W540" s="39"/>
      <c r="X540" s="39"/>
      <c r="Y540" s="39"/>
      <c r="Z540" s="39"/>
      <c r="AA540" s="39"/>
      <c r="AB540" s="39"/>
      <c r="AC540" s="39"/>
      <c r="AD540" s="39"/>
      <c r="AE540" s="39"/>
      <c r="AF540" s="39"/>
      <c r="AG540" s="39"/>
      <c r="AH540" s="39"/>
    </row>
    <row r="541" spans="1:34" s="84" customFormat="1">
      <c r="A541" s="39" t="s">
        <v>944</v>
      </c>
      <c r="B541" s="46" t="s">
        <v>280</v>
      </c>
      <c r="C541" s="39" t="s">
        <v>930</v>
      </c>
      <c r="D541" s="102">
        <v>658842625</v>
      </c>
      <c r="E541" s="102">
        <v>9193788281</v>
      </c>
      <c r="F541" s="39" t="s">
        <v>261</v>
      </c>
      <c r="G541" s="81">
        <f>35507+(364+182)</f>
        <v>36053</v>
      </c>
      <c r="H541" s="50" t="str">
        <f t="shared" si="24"/>
        <v>Sep</v>
      </c>
      <c r="I541" s="51">
        <f t="shared" ca="1" si="25"/>
        <v>18</v>
      </c>
      <c r="J541" s="52" t="s">
        <v>276</v>
      </c>
      <c r="K541" s="53">
        <v>46105</v>
      </c>
      <c r="L541" s="54">
        <v>5</v>
      </c>
      <c r="M541" s="59">
        <f t="shared" si="26"/>
        <v>46105</v>
      </c>
      <c r="N541" s="100"/>
      <c r="O541" s="45"/>
      <c r="P541" s="39"/>
      <c r="Q541" s="39"/>
      <c r="R541" s="39"/>
      <c r="S541" s="39"/>
      <c r="T541" s="39"/>
      <c r="U541" s="39"/>
      <c r="V541" s="39"/>
      <c r="W541" s="39"/>
      <c r="X541" s="39"/>
      <c r="Y541" s="39"/>
      <c r="Z541" s="39"/>
      <c r="AA541" s="39"/>
      <c r="AB541" s="39"/>
      <c r="AC541" s="39"/>
      <c r="AD541" s="39"/>
      <c r="AE541" s="39"/>
      <c r="AF541" s="39"/>
      <c r="AG541" s="39"/>
      <c r="AH541" s="39"/>
    </row>
    <row r="542" spans="1:34" s="84" customFormat="1">
      <c r="A542" s="39" t="s">
        <v>341</v>
      </c>
      <c r="B542" s="46" t="s">
        <v>245</v>
      </c>
      <c r="C542" s="39" t="s">
        <v>312</v>
      </c>
      <c r="D542" s="102">
        <v>126492342</v>
      </c>
      <c r="E542" s="102">
        <v>9196299247</v>
      </c>
      <c r="F542" s="39" t="s">
        <v>252</v>
      </c>
      <c r="G542" s="81">
        <f>35513+(364+182)</f>
        <v>36059</v>
      </c>
      <c r="H542" s="50" t="str">
        <f t="shared" si="24"/>
        <v>Sep</v>
      </c>
      <c r="I542" s="51">
        <f t="shared" ca="1" si="25"/>
        <v>18</v>
      </c>
      <c r="J542" s="52"/>
      <c r="K542" s="53">
        <v>18500</v>
      </c>
      <c r="L542" s="54">
        <v>5</v>
      </c>
      <c r="M542" s="59">
        <f t="shared" si="26"/>
        <v>18500</v>
      </c>
      <c r="N542" s="100"/>
      <c r="O542" s="45"/>
      <c r="P542" s="39"/>
      <c r="Q542" s="39"/>
      <c r="R542" s="39"/>
      <c r="S542" s="39"/>
      <c r="T542" s="39"/>
      <c r="U542" s="39"/>
      <c r="V542" s="39"/>
      <c r="W542" s="39"/>
      <c r="X542" s="39"/>
      <c r="Y542" s="39"/>
      <c r="Z542" s="39"/>
      <c r="AA542" s="39"/>
      <c r="AB542" s="39"/>
      <c r="AC542" s="39"/>
      <c r="AD542" s="39"/>
      <c r="AE542" s="39"/>
      <c r="AF542" s="39"/>
      <c r="AG542" s="39"/>
      <c r="AH542" s="39"/>
    </row>
    <row r="543" spans="1:34" s="84" customFormat="1">
      <c r="A543" s="39" t="s">
        <v>573</v>
      </c>
      <c r="B543" s="46" t="s">
        <v>280</v>
      </c>
      <c r="C543" s="39" t="s">
        <v>465</v>
      </c>
      <c r="D543" s="102">
        <v>993383806</v>
      </c>
      <c r="E543" s="102">
        <v>2521810581</v>
      </c>
      <c r="F543" s="39" t="s">
        <v>252</v>
      </c>
      <c r="G543" s="81">
        <f>35521+(364+182)</f>
        <v>36067</v>
      </c>
      <c r="H543" s="50" t="str">
        <f t="shared" si="24"/>
        <v>Sep</v>
      </c>
      <c r="I543" s="51">
        <f t="shared" ca="1" si="25"/>
        <v>18</v>
      </c>
      <c r="J543" s="52"/>
      <c r="K543" s="53">
        <v>37612</v>
      </c>
      <c r="L543" s="54">
        <v>4</v>
      </c>
      <c r="M543" s="59">
        <f t="shared" si="26"/>
        <v>37612</v>
      </c>
      <c r="N543" s="100"/>
      <c r="O543" s="45"/>
      <c r="P543" s="39"/>
      <c r="Q543" s="39"/>
      <c r="R543" s="39"/>
      <c r="S543" s="39"/>
      <c r="T543" s="39"/>
      <c r="U543" s="39"/>
      <c r="V543" s="39"/>
      <c r="W543" s="39"/>
      <c r="X543" s="39"/>
      <c r="Y543" s="39"/>
      <c r="Z543" s="39"/>
      <c r="AA543" s="39"/>
      <c r="AB543" s="39"/>
      <c r="AC543" s="39"/>
      <c r="AD543" s="39"/>
      <c r="AE543" s="39"/>
      <c r="AF543" s="39"/>
      <c r="AG543" s="39"/>
      <c r="AH543" s="39"/>
    </row>
    <row r="544" spans="1:34" s="84" customFormat="1">
      <c r="A544" s="39" t="s">
        <v>874</v>
      </c>
      <c r="B544" s="46" t="s">
        <v>271</v>
      </c>
      <c r="C544" s="39" t="s">
        <v>856</v>
      </c>
      <c r="D544" s="102">
        <v>548704405</v>
      </c>
      <c r="E544" s="102">
        <v>2526458440</v>
      </c>
      <c r="F544" s="39" t="s">
        <v>247</v>
      </c>
      <c r="G544" s="81">
        <f>35860+(364+182)</f>
        <v>36406</v>
      </c>
      <c r="H544" s="50" t="str">
        <f t="shared" si="24"/>
        <v>Sep</v>
      </c>
      <c r="I544" s="51">
        <f t="shared" ca="1" si="25"/>
        <v>17</v>
      </c>
      <c r="J544" s="52"/>
      <c r="K544" s="53">
        <v>60800</v>
      </c>
      <c r="L544" s="54">
        <v>4</v>
      </c>
      <c r="M544" s="59">
        <f t="shared" si="26"/>
        <v>60800</v>
      </c>
      <c r="N544" s="100"/>
      <c r="O544" s="45"/>
      <c r="P544" s="39"/>
      <c r="Q544" s="39"/>
      <c r="R544" s="39"/>
      <c r="S544" s="39"/>
      <c r="T544" s="39"/>
      <c r="U544" s="39"/>
      <c r="V544" s="39"/>
      <c r="W544" s="39"/>
      <c r="X544" s="39"/>
      <c r="Y544" s="39"/>
      <c r="Z544" s="39"/>
      <c r="AA544" s="39"/>
      <c r="AB544" s="39"/>
      <c r="AC544" s="39"/>
      <c r="AD544" s="39"/>
      <c r="AE544" s="39"/>
      <c r="AF544" s="39"/>
      <c r="AG544" s="39"/>
      <c r="AH544" s="39"/>
    </row>
    <row r="545" spans="1:34" s="84" customFormat="1">
      <c r="A545" s="39" t="s">
        <v>871</v>
      </c>
      <c r="B545" s="46" t="s">
        <v>285</v>
      </c>
      <c r="C545" s="39" t="s">
        <v>856</v>
      </c>
      <c r="D545" s="102">
        <v>489667166</v>
      </c>
      <c r="E545" s="102">
        <v>2522238881</v>
      </c>
      <c r="F545" s="39" t="s">
        <v>256</v>
      </c>
      <c r="G545" s="81">
        <f>35861+(364+182)</f>
        <v>36407</v>
      </c>
      <c r="H545" s="50" t="str">
        <f t="shared" si="24"/>
        <v>Sep</v>
      </c>
      <c r="I545" s="51">
        <f t="shared" ca="1" si="25"/>
        <v>17</v>
      </c>
      <c r="J545" s="52" t="s">
        <v>262</v>
      </c>
      <c r="K545" s="53">
        <v>45880</v>
      </c>
      <c r="L545" s="54">
        <v>5</v>
      </c>
      <c r="M545" s="59">
        <f t="shared" si="26"/>
        <v>45880</v>
      </c>
      <c r="N545" s="100"/>
      <c r="O545" s="45"/>
      <c r="P545" s="39"/>
      <c r="Q545" s="39"/>
      <c r="R545" s="39"/>
      <c r="S545" s="39"/>
      <c r="T545" s="39"/>
      <c r="U545" s="39"/>
      <c r="V545" s="39"/>
      <c r="W545" s="39"/>
      <c r="X545" s="39"/>
      <c r="Y545" s="39"/>
      <c r="Z545" s="39"/>
      <c r="AA545" s="39"/>
      <c r="AB545" s="39"/>
      <c r="AC545" s="39"/>
      <c r="AD545" s="39"/>
      <c r="AE545" s="39"/>
      <c r="AF545" s="39"/>
      <c r="AG545" s="39"/>
      <c r="AH545" s="39"/>
    </row>
    <row r="546" spans="1:34">
      <c r="A546" s="39" t="s">
        <v>515</v>
      </c>
      <c r="B546" s="46" t="s">
        <v>280</v>
      </c>
      <c r="C546" s="39" t="s">
        <v>465</v>
      </c>
      <c r="D546" s="102">
        <v>177332873</v>
      </c>
      <c r="E546" s="102">
        <v>9195915044</v>
      </c>
      <c r="F546" s="39" t="s">
        <v>256</v>
      </c>
      <c r="G546" s="81">
        <f>35867+(364+182)</f>
        <v>36413</v>
      </c>
      <c r="H546" s="50" t="str">
        <f t="shared" si="24"/>
        <v>Sep</v>
      </c>
      <c r="I546" s="51">
        <f t="shared" ca="1" si="25"/>
        <v>17</v>
      </c>
      <c r="J546" s="52" t="s">
        <v>257</v>
      </c>
      <c r="K546" s="53">
        <v>40060</v>
      </c>
      <c r="L546" s="54">
        <v>3</v>
      </c>
      <c r="M546" s="59">
        <f t="shared" si="26"/>
        <v>40060</v>
      </c>
    </row>
    <row r="547" spans="1:34">
      <c r="A547" s="39" t="s">
        <v>435</v>
      </c>
      <c r="B547" s="46" t="s">
        <v>280</v>
      </c>
      <c r="C547" s="39" t="s">
        <v>417</v>
      </c>
      <c r="D547" s="102">
        <v>525507320</v>
      </c>
      <c r="E547" s="102">
        <v>2523938131</v>
      </c>
      <c r="F547" s="39" t="s">
        <v>256</v>
      </c>
      <c r="G547" s="81">
        <f>35868+(364+182)</f>
        <v>36414</v>
      </c>
      <c r="H547" s="50" t="str">
        <f t="shared" si="24"/>
        <v>Sep</v>
      </c>
      <c r="I547" s="51">
        <f t="shared" ca="1" si="25"/>
        <v>17</v>
      </c>
      <c r="J547" s="52" t="s">
        <v>276</v>
      </c>
      <c r="K547" s="53">
        <v>39680</v>
      </c>
      <c r="L547" s="54">
        <v>5</v>
      </c>
      <c r="M547" s="59">
        <f t="shared" si="26"/>
        <v>39680</v>
      </c>
    </row>
    <row r="548" spans="1:34">
      <c r="A548" s="39" t="s">
        <v>571</v>
      </c>
      <c r="B548" s="46" t="s">
        <v>285</v>
      </c>
      <c r="C548" s="39" t="s">
        <v>465</v>
      </c>
      <c r="D548" s="102">
        <v>594680949</v>
      </c>
      <c r="E548" s="102">
        <v>9192375580</v>
      </c>
      <c r="F548" s="39" t="s">
        <v>261</v>
      </c>
      <c r="G548" s="81">
        <f>35876+(364+182)</f>
        <v>36422</v>
      </c>
      <c r="H548" s="50" t="str">
        <f t="shared" si="24"/>
        <v>Sep</v>
      </c>
      <c r="I548" s="51">
        <f t="shared" ca="1" si="25"/>
        <v>17</v>
      </c>
      <c r="J548" s="52" t="s">
        <v>283</v>
      </c>
      <c r="K548" s="53">
        <v>17270</v>
      </c>
      <c r="L548" s="54">
        <v>5</v>
      </c>
      <c r="M548" s="59">
        <f t="shared" si="26"/>
        <v>17270</v>
      </c>
    </row>
    <row r="549" spans="1:34">
      <c r="A549" s="39" t="s">
        <v>915</v>
      </c>
      <c r="B549" s="46" t="s">
        <v>285</v>
      </c>
      <c r="C549" s="39" t="s">
        <v>856</v>
      </c>
      <c r="D549" s="102">
        <v>393973492</v>
      </c>
      <c r="E549" s="102">
        <v>2522869792</v>
      </c>
      <c r="F549" s="39" t="s">
        <v>261</v>
      </c>
      <c r="G549" s="81">
        <f>35877+(364+182)</f>
        <v>36423</v>
      </c>
      <c r="H549" s="50" t="str">
        <f t="shared" si="24"/>
        <v>Sep</v>
      </c>
      <c r="I549" s="51">
        <f t="shared" ca="1" si="25"/>
        <v>17</v>
      </c>
      <c r="J549" s="52" t="s">
        <v>276</v>
      </c>
      <c r="K549" s="53">
        <v>47350</v>
      </c>
      <c r="L549" s="54">
        <v>1</v>
      </c>
      <c r="M549" s="59">
        <f t="shared" si="26"/>
        <v>47350</v>
      </c>
    </row>
    <row r="550" spans="1:34">
      <c r="A550" s="39" t="s">
        <v>552</v>
      </c>
      <c r="B550" s="46" t="s">
        <v>285</v>
      </c>
      <c r="C550" s="39" t="s">
        <v>465</v>
      </c>
      <c r="D550" s="102">
        <v>559376297</v>
      </c>
      <c r="E550" s="102">
        <v>9194888110</v>
      </c>
      <c r="F550" s="39" t="s">
        <v>256</v>
      </c>
      <c r="G550" s="81">
        <f>35885+(364+182)</f>
        <v>36431</v>
      </c>
      <c r="H550" s="50" t="str">
        <f t="shared" si="24"/>
        <v>Sep</v>
      </c>
      <c r="I550" s="51">
        <f t="shared" ca="1" si="25"/>
        <v>17</v>
      </c>
      <c r="J550" s="52" t="s">
        <v>257</v>
      </c>
      <c r="K550" s="53">
        <v>35820</v>
      </c>
      <c r="L550" s="54">
        <v>2</v>
      </c>
      <c r="M550" s="59">
        <f t="shared" si="26"/>
        <v>35820</v>
      </c>
    </row>
    <row r="551" spans="1:34">
      <c r="A551" s="39" t="s">
        <v>286</v>
      </c>
      <c r="B551" s="46" t="s">
        <v>245</v>
      </c>
      <c r="C551" s="39" t="s">
        <v>272</v>
      </c>
      <c r="D551" s="102">
        <v>767961463</v>
      </c>
      <c r="E551" s="102">
        <v>2523646601</v>
      </c>
      <c r="F551" s="39" t="s">
        <v>247</v>
      </c>
      <c r="G551" s="81">
        <f>36231+(364+182)</f>
        <v>36777</v>
      </c>
      <c r="H551" s="50" t="str">
        <f t="shared" si="24"/>
        <v>Sep</v>
      </c>
      <c r="I551" s="51">
        <f t="shared" ca="1" si="25"/>
        <v>16</v>
      </c>
      <c r="J551" s="52"/>
      <c r="K551" s="53">
        <v>76690</v>
      </c>
      <c r="L551" s="54">
        <v>3</v>
      </c>
      <c r="M551" s="59">
        <f t="shared" si="26"/>
        <v>76690</v>
      </c>
      <c r="O551" s="104"/>
    </row>
    <row r="552" spans="1:34">
      <c r="A552" s="39" t="s">
        <v>780</v>
      </c>
      <c r="B552" s="46" t="s">
        <v>285</v>
      </c>
      <c r="C552" s="39" t="s">
        <v>767</v>
      </c>
      <c r="D552" s="102">
        <v>938723321</v>
      </c>
      <c r="E552" s="102">
        <v>9196456972</v>
      </c>
      <c r="F552" s="39" t="s">
        <v>247</v>
      </c>
      <c r="G552" s="81">
        <f>36241+(364+182)</f>
        <v>36787</v>
      </c>
      <c r="H552" s="50" t="str">
        <f t="shared" si="24"/>
        <v>Sep</v>
      </c>
      <c r="I552" s="51">
        <f t="shared" ca="1" si="25"/>
        <v>16</v>
      </c>
      <c r="J552" s="52"/>
      <c r="K552" s="53">
        <v>89640</v>
      </c>
      <c r="L552" s="54">
        <v>4</v>
      </c>
      <c r="M552" s="59">
        <f t="shared" si="26"/>
        <v>89640</v>
      </c>
    </row>
    <row r="553" spans="1:34">
      <c r="A553" s="39" t="s">
        <v>649</v>
      </c>
      <c r="B553" s="46" t="s">
        <v>245</v>
      </c>
      <c r="C553" s="39" t="s">
        <v>626</v>
      </c>
      <c r="D553" s="102">
        <v>372693786</v>
      </c>
      <c r="E553" s="102">
        <v>9198211050</v>
      </c>
      <c r="F553" s="39" t="s">
        <v>261</v>
      </c>
      <c r="G553" s="81">
        <f>36592+(364+182)</f>
        <v>37138</v>
      </c>
      <c r="H553" s="50" t="str">
        <f t="shared" si="24"/>
        <v>Sep</v>
      </c>
      <c r="I553" s="51">
        <f t="shared" ca="1" si="25"/>
        <v>15</v>
      </c>
      <c r="J553" s="52" t="s">
        <v>262</v>
      </c>
      <c r="K553" s="53">
        <v>31110</v>
      </c>
      <c r="L553" s="54">
        <v>1</v>
      </c>
      <c r="M553" s="59">
        <f t="shared" si="26"/>
        <v>31110</v>
      </c>
    </row>
    <row r="554" spans="1:34">
      <c r="A554" s="39" t="s">
        <v>853</v>
      </c>
      <c r="B554" s="46" t="s">
        <v>271</v>
      </c>
      <c r="C554" s="39" t="s">
        <v>767</v>
      </c>
      <c r="D554" s="102">
        <v>505680981</v>
      </c>
      <c r="E554" s="102">
        <v>2527557761</v>
      </c>
      <c r="F554" s="39" t="s">
        <v>256</v>
      </c>
      <c r="G554" s="81">
        <f>36592+(364+182)</f>
        <v>37138</v>
      </c>
      <c r="H554" s="50" t="str">
        <f t="shared" si="24"/>
        <v>Sep</v>
      </c>
      <c r="I554" s="51">
        <f t="shared" ca="1" si="25"/>
        <v>15</v>
      </c>
      <c r="J554" s="52" t="s">
        <v>257</v>
      </c>
      <c r="K554" s="53">
        <v>29130</v>
      </c>
      <c r="L554" s="54">
        <v>1</v>
      </c>
      <c r="M554" s="59">
        <f t="shared" si="26"/>
        <v>29130</v>
      </c>
    </row>
    <row r="555" spans="1:34">
      <c r="A555" s="39" t="s">
        <v>673</v>
      </c>
      <c r="B555" s="46" t="s">
        <v>280</v>
      </c>
      <c r="C555" s="39" t="s">
        <v>626</v>
      </c>
      <c r="D555" s="102">
        <v>168147877</v>
      </c>
      <c r="E555" s="102">
        <v>9196530760</v>
      </c>
      <c r="F555" s="39" t="s">
        <v>261</v>
      </c>
      <c r="G555" s="81">
        <f>36595+(364+182)</f>
        <v>37141</v>
      </c>
      <c r="H555" s="50" t="str">
        <f t="shared" si="24"/>
        <v>Sep</v>
      </c>
      <c r="I555" s="51">
        <f t="shared" ca="1" si="25"/>
        <v>15</v>
      </c>
      <c r="J555" s="52" t="s">
        <v>276</v>
      </c>
      <c r="K555" s="53">
        <v>15910</v>
      </c>
      <c r="L555" s="54">
        <v>3</v>
      </c>
      <c r="M555" s="59">
        <f t="shared" si="26"/>
        <v>15910</v>
      </c>
    </row>
    <row r="556" spans="1:34">
      <c r="A556" s="39" t="s">
        <v>971</v>
      </c>
      <c r="B556" s="46" t="s">
        <v>266</v>
      </c>
      <c r="C556" s="39" t="s">
        <v>930</v>
      </c>
      <c r="D556" s="102">
        <v>971128623</v>
      </c>
      <c r="E556" s="102">
        <v>9194375399</v>
      </c>
      <c r="F556" s="39" t="s">
        <v>247</v>
      </c>
      <c r="G556" s="81">
        <f>36595+(364+182)</f>
        <v>37141</v>
      </c>
      <c r="H556" s="50" t="str">
        <f t="shared" si="24"/>
        <v>Sep</v>
      </c>
      <c r="I556" s="51">
        <f t="shared" ca="1" si="25"/>
        <v>15</v>
      </c>
      <c r="J556" s="52"/>
      <c r="K556" s="53">
        <v>25530</v>
      </c>
      <c r="L556" s="54">
        <v>3</v>
      </c>
      <c r="M556" s="59">
        <f t="shared" si="26"/>
        <v>25530</v>
      </c>
      <c r="P556" s="75"/>
      <c r="Q556" s="75"/>
    </row>
    <row r="557" spans="1:34">
      <c r="A557" s="39" t="s">
        <v>459</v>
      </c>
      <c r="B557" s="46" t="s">
        <v>285</v>
      </c>
      <c r="C557" s="39" t="s">
        <v>456</v>
      </c>
      <c r="D557" s="102">
        <v>875920441</v>
      </c>
      <c r="E557" s="102">
        <v>9191715499</v>
      </c>
      <c r="F557" s="39" t="s">
        <v>261</v>
      </c>
      <c r="G557" s="81">
        <f>36959+(364+182)</f>
        <v>37505</v>
      </c>
      <c r="H557" s="50" t="str">
        <f t="shared" si="24"/>
        <v>Sep</v>
      </c>
      <c r="I557" s="51">
        <f t="shared" ca="1" si="25"/>
        <v>14</v>
      </c>
      <c r="J557" s="52" t="s">
        <v>276</v>
      </c>
      <c r="K557" s="53">
        <v>51800</v>
      </c>
      <c r="L557" s="54">
        <v>1</v>
      </c>
      <c r="M557" s="59">
        <f t="shared" si="26"/>
        <v>51800</v>
      </c>
    </row>
    <row r="558" spans="1:34">
      <c r="A558" s="39" t="s">
        <v>600</v>
      </c>
      <c r="B558" s="46" t="s">
        <v>271</v>
      </c>
      <c r="C558" s="39" t="s">
        <v>465</v>
      </c>
      <c r="D558" s="102">
        <v>468053610</v>
      </c>
      <c r="E558" s="102">
        <v>2525344270</v>
      </c>
      <c r="F558" s="39" t="s">
        <v>256</v>
      </c>
      <c r="G558" s="81">
        <f>36963+(364+182)</f>
        <v>37509</v>
      </c>
      <c r="H558" s="50" t="str">
        <f t="shared" si="24"/>
        <v>Sep</v>
      </c>
      <c r="I558" s="51">
        <f t="shared" ca="1" si="25"/>
        <v>14</v>
      </c>
      <c r="J558" s="52" t="s">
        <v>283</v>
      </c>
      <c r="K558" s="53">
        <v>69080</v>
      </c>
      <c r="L558" s="54">
        <v>3</v>
      </c>
      <c r="M558" s="59">
        <f t="shared" si="26"/>
        <v>69080</v>
      </c>
    </row>
    <row r="559" spans="1:34">
      <c r="A559" s="39" t="s">
        <v>825</v>
      </c>
      <c r="B559" s="46" t="s">
        <v>285</v>
      </c>
      <c r="C559" s="39" t="s">
        <v>767</v>
      </c>
      <c r="D559" s="102">
        <v>160662505</v>
      </c>
      <c r="E559" s="102">
        <v>2526427045</v>
      </c>
      <c r="F559" s="39" t="s">
        <v>247</v>
      </c>
      <c r="G559" s="81">
        <f>36980+(364+182)</f>
        <v>37526</v>
      </c>
      <c r="H559" s="50" t="str">
        <f t="shared" si="24"/>
        <v>Sep</v>
      </c>
      <c r="I559" s="51">
        <f t="shared" ca="1" si="25"/>
        <v>14</v>
      </c>
      <c r="J559" s="52"/>
      <c r="K559" s="53">
        <v>61580</v>
      </c>
      <c r="L559" s="54">
        <v>3</v>
      </c>
      <c r="M559" s="59">
        <f t="shared" si="26"/>
        <v>61580</v>
      </c>
      <c r="P559" s="75"/>
      <c r="Q559" s="75"/>
    </row>
    <row r="560" spans="1:34">
      <c r="A560" s="39" t="s">
        <v>612</v>
      </c>
      <c r="B560" s="46" t="s">
        <v>285</v>
      </c>
      <c r="C560" s="39" t="s">
        <v>465</v>
      </c>
      <c r="D560" s="102">
        <v>903618594</v>
      </c>
      <c r="E560" s="102">
        <v>9194733288</v>
      </c>
      <c r="F560" s="39" t="s">
        <v>256</v>
      </c>
      <c r="G560" s="81">
        <f>37320+(364+182)</f>
        <v>37866</v>
      </c>
      <c r="H560" s="50" t="str">
        <f t="shared" si="24"/>
        <v>Sep</v>
      </c>
      <c r="I560" s="51">
        <f t="shared" ca="1" si="25"/>
        <v>13</v>
      </c>
      <c r="J560" s="52" t="s">
        <v>262</v>
      </c>
      <c r="K560" s="53">
        <v>54230</v>
      </c>
      <c r="L560" s="54">
        <v>5</v>
      </c>
      <c r="M560" s="59">
        <f t="shared" si="26"/>
        <v>54230</v>
      </c>
    </row>
    <row r="561" spans="1:17">
      <c r="A561" s="39" t="s">
        <v>375</v>
      </c>
      <c r="B561" s="46" t="s">
        <v>285</v>
      </c>
      <c r="C561" s="39" t="s">
        <v>372</v>
      </c>
      <c r="D561" s="102">
        <v>272036635</v>
      </c>
      <c r="E561" s="102">
        <v>2521656242</v>
      </c>
      <c r="F561" s="39" t="s">
        <v>256</v>
      </c>
      <c r="G561" s="81">
        <f>37337+(364+182)</f>
        <v>37883</v>
      </c>
      <c r="H561" s="50" t="str">
        <f t="shared" si="24"/>
        <v>Sep</v>
      </c>
      <c r="I561" s="51">
        <f t="shared" ca="1" si="25"/>
        <v>13</v>
      </c>
      <c r="J561" s="52" t="s">
        <v>257</v>
      </c>
      <c r="K561" s="53">
        <v>86530</v>
      </c>
      <c r="L561" s="54">
        <v>1</v>
      </c>
      <c r="M561" s="59">
        <f t="shared" si="26"/>
        <v>86530</v>
      </c>
      <c r="P561" s="75"/>
      <c r="Q561" s="75"/>
    </row>
    <row r="562" spans="1:17">
      <c r="A562" s="39" t="s">
        <v>910</v>
      </c>
      <c r="B562" s="46" t="s">
        <v>245</v>
      </c>
      <c r="C562" s="39" t="s">
        <v>856</v>
      </c>
      <c r="D562" s="102">
        <v>649292883</v>
      </c>
      <c r="E562" s="102">
        <v>9198413896</v>
      </c>
      <c r="F562" s="39" t="s">
        <v>256</v>
      </c>
      <c r="G562" s="81">
        <f>37691+(364+182)</f>
        <v>38237</v>
      </c>
      <c r="H562" s="50" t="str">
        <f t="shared" si="24"/>
        <v>Sep</v>
      </c>
      <c r="I562" s="51">
        <f t="shared" ca="1" si="25"/>
        <v>12</v>
      </c>
      <c r="J562" s="52" t="s">
        <v>283</v>
      </c>
      <c r="K562" s="53">
        <v>31910</v>
      </c>
      <c r="L562" s="54">
        <v>5</v>
      </c>
      <c r="M562" s="59">
        <f t="shared" si="26"/>
        <v>31910</v>
      </c>
    </row>
    <row r="563" spans="1:17">
      <c r="A563" s="39" t="s">
        <v>334</v>
      </c>
      <c r="B563" s="46" t="s">
        <v>245</v>
      </c>
      <c r="C563" s="39" t="s">
        <v>312</v>
      </c>
      <c r="D563" s="102">
        <v>733413074</v>
      </c>
      <c r="E563" s="102">
        <v>9192224790</v>
      </c>
      <c r="F563" s="39" t="s">
        <v>247</v>
      </c>
      <c r="G563" s="81">
        <f>38424+(364+182)</f>
        <v>38970</v>
      </c>
      <c r="H563" s="50" t="str">
        <f t="shared" si="24"/>
        <v>Sep</v>
      </c>
      <c r="I563" s="51">
        <f t="shared" ca="1" si="25"/>
        <v>10</v>
      </c>
      <c r="J563" s="52"/>
      <c r="K563" s="53">
        <v>83070</v>
      </c>
      <c r="L563" s="54">
        <v>3</v>
      </c>
      <c r="M563" s="59">
        <f t="shared" si="26"/>
        <v>83070</v>
      </c>
    </row>
    <row r="564" spans="1:17">
      <c r="A564" s="39" t="s">
        <v>509</v>
      </c>
      <c r="B564" s="46" t="s">
        <v>280</v>
      </c>
      <c r="C564" s="39" t="s">
        <v>465</v>
      </c>
      <c r="D564" s="102">
        <v>575270646</v>
      </c>
      <c r="E564" s="102">
        <v>9197819805</v>
      </c>
      <c r="F564" s="39" t="s">
        <v>256</v>
      </c>
      <c r="G564" s="81">
        <f>38802+(364+182)</f>
        <v>39348</v>
      </c>
      <c r="H564" s="50" t="str">
        <f t="shared" si="24"/>
        <v>Sep</v>
      </c>
      <c r="I564" s="51">
        <f t="shared" ca="1" si="25"/>
        <v>9</v>
      </c>
      <c r="J564" s="52" t="s">
        <v>257</v>
      </c>
      <c r="K564" s="53">
        <v>46220</v>
      </c>
      <c r="L564" s="54">
        <v>2</v>
      </c>
      <c r="M564" s="59">
        <f t="shared" si="26"/>
        <v>46220</v>
      </c>
    </row>
    <row r="565" spans="1:17">
      <c r="A565" s="39" t="s">
        <v>479</v>
      </c>
      <c r="B565" s="46" t="s">
        <v>271</v>
      </c>
      <c r="C565" s="39" t="s">
        <v>465</v>
      </c>
      <c r="D565" s="102">
        <v>415299442</v>
      </c>
      <c r="E565" s="102">
        <v>2521408985</v>
      </c>
      <c r="F565" s="39" t="s">
        <v>256</v>
      </c>
      <c r="G565" s="81">
        <f>39150+(364+182)</f>
        <v>39696</v>
      </c>
      <c r="H565" s="50" t="str">
        <f t="shared" si="24"/>
        <v>Sep</v>
      </c>
      <c r="I565" s="51">
        <f t="shared" ca="1" si="25"/>
        <v>8</v>
      </c>
      <c r="J565" s="52" t="s">
        <v>257</v>
      </c>
      <c r="K565" s="53">
        <v>69320</v>
      </c>
      <c r="L565" s="54">
        <v>3</v>
      </c>
      <c r="M565" s="59">
        <f t="shared" si="26"/>
        <v>69320</v>
      </c>
    </row>
    <row r="566" spans="1:17">
      <c r="A566" s="45" t="s">
        <v>275</v>
      </c>
      <c r="B566" s="46" t="s">
        <v>245</v>
      </c>
      <c r="C566" s="45" t="s">
        <v>272</v>
      </c>
      <c r="D566" s="106">
        <v>297852686</v>
      </c>
      <c r="E566" s="106">
        <v>2525832994</v>
      </c>
      <c r="F566" s="45" t="s">
        <v>256</v>
      </c>
      <c r="G566" s="105">
        <f>39158+(364+182)</f>
        <v>39704</v>
      </c>
      <c r="H566" s="50" t="str">
        <f t="shared" si="24"/>
        <v>Sep</v>
      </c>
      <c r="I566" s="51">
        <f t="shared" ca="1" si="25"/>
        <v>8</v>
      </c>
      <c r="J566" s="52" t="s">
        <v>276</v>
      </c>
      <c r="K566" s="53">
        <v>58290</v>
      </c>
      <c r="L566" s="54">
        <v>5</v>
      </c>
      <c r="M566" s="59">
        <f t="shared" si="26"/>
        <v>58290</v>
      </c>
      <c r="O566" s="104"/>
    </row>
    <row r="567" spans="1:17">
      <c r="A567" s="39" t="s">
        <v>866</v>
      </c>
      <c r="B567" s="46" t="s">
        <v>285</v>
      </c>
      <c r="C567" s="39" t="s">
        <v>856</v>
      </c>
      <c r="D567" s="102">
        <v>932553359</v>
      </c>
      <c r="E567" s="102">
        <v>9192376215</v>
      </c>
      <c r="F567" s="39" t="s">
        <v>247</v>
      </c>
      <c r="G567" s="81">
        <f>39174+(364+182)</f>
        <v>39720</v>
      </c>
      <c r="H567" s="50" t="str">
        <f t="shared" si="24"/>
        <v>Sep</v>
      </c>
      <c r="I567" s="51">
        <f t="shared" ca="1" si="25"/>
        <v>8</v>
      </c>
      <c r="J567" s="52"/>
      <c r="K567" s="53">
        <v>43320</v>
      </c>
      <c r="L567" s="54">
        <v>5</v>
      </c>
      <c r="M567" s="59">
        <f t="shared" si="26"/>
        <v>43320</v>
      </c>
    </row>
    <row r="568" spans="1:17">
      <c r="A568" s="39" t="s">
        <v>892</v>
      </c>
      <c r="B568" s="46" t="s">
        <v>280</v>
      </c>
      <c r="C568" s="39" t="s">
        <v>856</v>
      </c>
      <c r="D568" s="102">
        <v>491830893</v>
      </c>
      <c r="E568" s="102">
        <v>2524713634</v>
      </c>
      <c r="F568" s="39" t="s">
        <v>256</v>
      </c>
      <c r="G568" s="81">
        <f>39532+(364+182)</f>
        <v>40078</v>
      </c>
      <c r="H568" s="50" t="str">
        <f t="shared" si="24"/>
        <v>Sep</v>
      </c>
      <c r="I568" s="51">
        <f t="shared" ca="1" si="25"/>
        <v>7</v>
      </c>
      <c r="J568" s="52" t="s">
        <v>283</v>
      </c>
      <c r="K568" s="53">
        <v>23190</v>
      </c>
      <c r="L568" s="54">
        <v>5</v>
      </c>
      <c r="M568" s="59">
        <f t="shared" si="26"/>
        <v>23190</v>
      </c>
    </row>
    <row r="569" spans="1:17">
      <c r="A569" s="39" t="s">
        <v>648</v>
      </c>
      <c r="B569" s="46" t="s">
        <v>266</v>
      </c>
      <c r="C569" s="39" t="s">
        <v>626</v>
      </c>
      <c r="D569" s="102">
        <v>506165137</v>
      </c>
      <c r="E569" s="102">
        <v>9193613417</v>
      </c>
      <c r="F569" s="39" t="s">
        <v>256</v>
      </c>
      <c r="G569" s="81">
        <f>39537+(364+182)</f>
        <v>40083</v>
      </c>
      <c r="H569" s="50" t="str">
        <f t="shared" si="24"/>
        <v>Sep</v>
      </c>
      <c r="I569" s="51">
        <f t="shared" ca="1" si="25"/>
        <v>7</v>
      </c>
      <c r="J569" s="52" t="s">
        <v>283</v>
      </c>
      <c r="K569" s="53">
        <v>44150</v>
      </c>
      <c r="L569" s="54">
        <v>4</v>
      </c>
      <c r="M569" s="59">
        <f t="shared" si="26"/>
        <v>44150</v>
      </c>
    </row>
    <row r="570" spans="1:17">
      <c r="A570" s="39" t="s">
        <v>351</v>
      </c>
      <c r="B570" s="46" t="s">
        <v>271</v>
      </c>
      <c r="C570" s="39" t="s">
        <v>312</v>
      </c>
      <c r="D570" s="102">
        <v>873100939</v>
      </c>
      <c r="E570" s="102">
        <v>9191259179</v>
      </c>
      <c r="F570" s="39" t="s">
        <v>256</v>
      </c>
      <c r="G570" s="81">
        <f>39539+(364+182)</f>
        <v>40085</v>
      </c>
      <c r="H570" s="50" t="str">
        <f t="shared" si="24"/>
        <v>Sep</v>
      </c>
      <c r="I570" s="51">
        <f t="shared" ca="1" si="25"/>
        <v>7</v>
      </c>
      <c r="J570" s="52" t="s">
        <v>257</v>
      </c>
      <c r="K570" s="53">
        <v>41490</v>
      </c>
      <c r="L570" s="54">
        <v>5</v>
      </c>
      <c r="M570" s="59">
        <f t="shared" si="26"/>
        <v>41490</v>
      </c>
    </row>
    <row r="571" spans="1:17">
      <c r="A571" s="39" t="s">
        <v>788</v>
      </c>
      <c r="B571" s="46" t="s">
        <v>285</v>
      </c>
      <c r="C571" s="39" t="s">
        <v>767</v>
      </c>
      <c r="D571" s="102">
        <v>953109212</v>
      </c>
      <c r="E571" s="102">
        <v>9191664940</v>
      </c>
      <c r="F571" s="39" t="s">
        <v>256</v>
      </c>
      <c r="G571" s="81">
        <f>39892+(364+182)</f>
        <v>40438</v>
      </c>
      <c r="H571" s="50" t="str">
        <f t="shared" si="24"/>
        <v>Sep</v>
      </c>
      <c r="I571" s="51">
        <f t="shared" ca="1" si="25"/>
        <v>6</v>
      </c>
      <c r="J571" s="52" t="s">
        <v>267</v>
      </c>
      <c r="K571" s="53">
        <v>59150</v>
      </c>
      <c r="L571" s="54">
        <v>4</v>
      </c>
      <c r="M571" s="59">
        <f t="shared" si="26"/>
        <v>59150</v>
      </c>
    </row>
    <row r="572" spans="1:17">
      <c r="A572" s="39" t="s">
        <v>640</v>
      </c>
      <c r="B572" s="46" t="s">
        <v>271</v>
      </c>
      <c r="C572" s="39" t="s">
        <v>626</v>
      </c>
      <c r="D572" s="102">
        <v>999156829</v>
      </c>
      <c r="E572" s="102">
        <v>2521401774</v>
      </c>
      <c r="F572" s="39" t="s">
        <v>256</v>
      </c>
      <c r="G572" s="81">
        <f>39901+(364+182)</f>
        <v>40447</v>
      </c>
      <c r="H572" s="50" t="str">
        <f t="shared" si="24"/>
        <v>Sep</v>
      </c>
      <c r="I572" s="51">
        <f t="shared" ca="1" si="25"/>
        <v>6</v>
      </c>
      <c r="J572" s="52" t="s">
        <v>257</v>
      </c>
      <c r="K572" s="53">
        <v>33970</v>
      </c>
      <c r="L572" s="54">
        <v>4</v>
      </c>
      <c r="M572" s="59">
        <f t="shared" si="26"/>
        <v>33970</v>
      </c>
      <c r="P572" s="75"/>
      <c r="Q572" s="75"/>
    </row>
    <row r="573" spans="1:17">
      <c r="A573" s="39" t="s">
        <v>606</v>
      </c>
      <c r="B573" s="46" t="s">
        <v>285</v>
      </c>
      <c r="C573" s="39" t="s">
        <v>465</v>
      </c>
      <c r="D573" s="102">
        <v>876777922</v>
      </c>
      <c r="E573" s="102">
        <v>2527358099</v>
      </c>
      <c r="F573" s="39" t="s">
        <v>247</v>
      </c>
      <c r="G573" s="103">
        <f>39903+(364+182)</f>
        <v>40449</v>
      </c>
      <c r="H573" s="50" t="str">
        <f t="shared" si="24"/>
        <v>Sep</v>
      </c>
      <c r="I573" s="51">
        <f t="shared" ca="1" si="25"/>
        <v>6</v>
      </c>
      <c r="J573" s="52"/>
      <c r="K573" s="53">
        <v>88840</v>
      </c>
      <c r="L573" s="54">
        <v>5</v>
      </c>
      <c r="M573" s="59">
        <f t="shared" si="26"/>
        <v>88840</v>
      </c>
    </row>
    <row r="574" spans="1:17">
      <c r="A574" s="39" t="s">
        <v>753</v>
      </c>
      <c r="B574" s="46" t="s">
        <v>285</v>
      </c>
      <c r="C574" s="39" t="s">
        <v>750</v>
      </c>
      <c r="D574" s="102">
        <v>285295419</v>
      </c>
      <c r="E574" s="102">
        <v>9197904981</v>
      </c>
      <c r="F574" s="39" t="s">
        <v>252</v>
      </c>
      <c r="G574" s="81">
        <f>32612+(364+182)</f>
        <v>33158</v>
      </c>
      <c r="H574" s="50" t="str">
        <f t="shared" si="24"/>
        <v>Oct</v>
      </c>
      <c r="I574" s="51">
        <f t="shared" ca="1" si="25"/>
        <v>26</v>
      </c>
      <c r="J574" s="52"/>
      <c r="K574" s="53">
        <v>33232</v>
      </c>
      <c r="L574" s="54">
        <v>4</v>
      </c>
      <c r="M574" s="59">
        <f t="shared" si="26"/>
        <v>33232</v>
      </c>
    </row>
    <row r="575" spans="1:17">
      <c r="A575" s="39" t="s">
        <v>763</v>
      </c>
      <c r="B575" s="46" t="s">
        <v>245</v>
      </c>
      <c r="C575" s="39" t="s">
        <v>750</v>
      </c>
      <c r="D575" s="102">
        <v>671360508</v>
      </c>
      <c r="E575" s="102">
        <v>2528385730</v>
      </c>
      <c r="F575" s="39" t="s">
        <v>261</v>
      </c>
      <c r="G575" s="108">
        <f>32614+(364+182)</f>
        <v>33160</v>
      </c>
      <c r="H575" s="50" t="str">
        <f t="shared" si="24"/>
        <v>Oct</v>
      </c>
      <c r="I575" s="51">
        <f t="shared" ca="1" si="25"/>
        <v>26</v>
      </c>
      <c r="J575" s="52" t="s">
        <v>262</v>
      </c>
      <c r="K575" s="53">
        <v>39620</v>
      </c>
      <c r="L575" s="54">
        <v>5</v>
      </c>
      <c r="M575" s="59">
        <f t="shared" si="26"/>
        <v>39620</v>
      </c>
    </row>
    <row r="576" spans="1:17">
      <c r="A576" s="39" t="s">
        <v>845</v>
      </c>
      <c r="B576" s="46" t="s">
        <v>245</v>
      </c>
      <c r="C576" s="39" t="s">
        <v>767</v>
      </c>
      <c r="D576" s="102">
        <v>484442635</v>
      </c>
      <c r="E576" s="102">
        <v>2527194901</v>
      </c>
      <c r="F576" s="39" t="s">
        <v>247</v>
      </c>
      <c r="G576" s="81">
        <f>32621+(364+182)</f>
        <v>33167</v>
      </c>
      <c r="H576" s="50" t="str">
        <f t="shared" si="24"/>
        <v>Oct</v>
      </c>
      <c r="I576" s="51">
        <f t="shared" ca="1" si="25"/>
        <v>26</v>
      </c>
      <c r="J576" s="52"/>
      <c r="K576" s="53">
        <v>23020</v>
      </c>
      <c r="L576" s="54">
        <v>4</v>
      </c>
      <c r="M576" s="59">
        <f t="shared" si="26"/>
        <v>23020</v>
      </c>
    </row>
    <row r="577" spans="1:34">
      <c r="A577" s="39" t="s">
        <v>749</v>
      </c>
      <c r="B577" s="46" t="s">
        <v>266</v>
      </c>
      <c r="C577" s="39" t="s">
        <v>750</v>
      </c>
      <c r="D577" s="102">
        <v>834061135</v>
      </c>
      <c r="E577" s="102">
        <v>9198472270</v>
      </c>
      <c r="F577" s="39" t="s">
        <v>256</v>
      </c>
      <c r="G577" s="81">
        <f>32967+(364+182)</f>
        <v>33513</v>
      </c>
      <c r="H577" s="50" t="str">
        <f t="shared" si="24"/>
        <v>Oct</v>
      </c>
      <c r="I577" s="51">
        <f t="shared" ca="1" si="25"/>
        <v>25</v>
      </c>
      <c r="J577" s="52" t="s">
        <v>267</v>
      </c>
      <c r="K577" s="53">
        <v>44560</v>
      </c>
      <c r="L577" s="54">
        <v>2</v>
      </c>
      <c r="M577" s="59">
        <f t="shared" si="26"/>
        <v>44560</v>
      </c>
    </row>
    <row r="578" spans="1:34" s="84" customFormat="1">
      <c r="A578" s="39" t="s">
        <v>823</v>
      </c>
      <c r="B578" s="46" t="s">
        <v>271</v>
      </c>
      <c r="C578" s="39" t="s">
        <v>767</v>
      </c>
      <c r="D578" s="102">
        <v>387131597</v>
      </c>
      <c r="E578" s="102">
        <v>9191963194</v>
      </c>
      <c r="F578" s="39" t="s">
        <v>247</v>
      </c>
      <c r="G578" s="81">
        <f>32969+(364+182)</f>
        <v>33515</v>
      </c>
      <c r="H578" s="50" t="str">
        <f t="shared" si="24"/>
        <v>Oct</v>
      </c>
      <c r="I578" s="51">
        <f t="shared" ca="1" si="25"/>
        <v>25</v>
      </c>
      <c r="J578" s="52"/>
      <c r="K578" s="53">
        <v>52750</v>
      </c>
      <c r="L578" s="54">
        <v>1</v>
      </c>
      <c r="M578" s="59">
        <f t="shared" si="26"/>
        <v>52750</v>
      </c>
      <c r="N578" s="100"/>
      <c r="O578" s="45"/>
      <c r="P578" s="39"/>
      <c r="Q578" s="39"/>
      <c r="R578" s="39"/>
      <c r="S578" s="39"/>
      <c r="T578" s="39"/>
      <c r="U578" s="39"/>
      <c r="V578" s="39"/>
      <c r="W578" s="39"/>
      <c r="X578" s="39"/>
      <c r="Y578" s="39"/>
      <c r="Z578" s="39"/>
      <c r="AA578" s="39"/>
      <c r="AB578" s="39"/>
      <c r="AC578" s="39"/>
      <c r="AD578" s="39"/>
      <c r="AE578" s="39"/>
      <c r="AF578" s="39"/>
      <c r="AG578" s="39"/>
      <c r="AH578" s="39"/>
    </row>
    <row r="579" spans="1:34" s="84" customFormat="1">
      <c r="A579" s="39" t="s">
        <v>808</v>
      </c>
      <c r="B579" s="46" t="s">
        <v>271</v>
      </c>
      <c r="C579" s="39" t="s">
        <v>767</v>
      </c>
      <c r="D579" s="102">
        <v>880747384</v>
      </c>
      <c r="E579" s="102">
        <v>9195220001</v>
      </c>
      <c r="F579" s="39" t="s">
        <v>256</v>
      </c>
      <c r="G579" s="81">
        <f>32980+(364+182)</f>
        <v>33526</v>
      </c>
      <c r="H579" s="50" t="str">
        <f t="shared" ref="H579:H642" si="27">CHOOSE(MONTH(G579),"Jan","Feb","Mar","Apr","May","Jun","Jul","Aug","Sep","Oct","Nov","Dec")</f>
        <v>Oct</v>
      </c>
      <c r="I579" s="51">
        <f t="shared" ref="I579:I642" ca="1" si="28">DATEDIF(G579,TODAY(),"Y")</f>
        <v>25</v>
      </c>
      <c r="J579" s="52" t="s">
        <v>267</v>
      </c>
      <c r="K579" s="53">
        <v>79400</v>
      </c>
      <c r="L579" s="54">
        <v>4</v>
      </c>
      <c r="M579" s="59">
        <f t="shared" ref="M579:M642" si="29">ROUND(K579*P577+K579,0)</f>
        <v>79400</v>
      </c>
      <c r="N579" s="100"/>
      <c r="O579" s="45"/>
      <c r="P579" s="39"/>
      <c r="Q579" s="39"/>
      <c r="R579" s="39"/>
      <c r="S579" s="39"/>
      <c r="T579" s="39"/>
      <c r="U579" s="39"/>
      <c r="V579" s="39"/>
      <c r="W579" s="39"/>
      <c r="X579" s="39"/>
      <c r="Y579" s="39"/>
      <c r="Z579" s="39"/>
      <c r="AA579" s="39"/>
      <c r="AB579" s="39"/>
      <c r="AC579" s="39"/>
      <c r="AD579" s="39"/>
      <c r="AE579" s="39"/>
      <c r="AF579" s="39"/>
      <c r="AG579" s="39"/>
      <c r="AH579" s="39"/>
    </row>
    <row r="580" spans="1:34" s="84" customFormat="1">
      <c r="A580" s="39" t="s">
        <v>343</v>
      </c>
      <c r="B580" s="46" t="s">
        <v>271</v>
      </c>
      <c r="C580" s="39" t="s">
        <v>312</v>
      </c>
      <c r="D580" s="102">
        <v>631405285</v>
      </c>
      <c r="E580" s="102">
        <v>2527491979</v>
      </c>
      <c r="F580" s="39" t="s">
        <v>256</v>
      </c>
      <c r="G580" s="81">
        <f>32981+(364+182)</f>
        <v>33527</v>
      </c>
      <c r="H580" s="50" t="str">
        <f t="shared" si="27"/>
        <v>Oct</v>
      </c>
      <c r="I580" s="51">
        <f t="shared" ca="1" si="28"/>
        <v>25</v>
      </c>
      <c r="J580" s="52" t="s">
        <v>283</v>
      </c>
      <c r="K580" s="53">
        <v>85920</v>
      </c>
      <c r="L580" s="54">
        <v>4</v>
      </c>
      <c r="M580" s="59">
        <f t="shared" si="29"/>
        <v>85920</v>
      </c>
      <c r="N580" s="100"/>
      <c r="O580" s="45"/>
      <c r="P580" s="39"/>
      <c r="Q580" s="39"/>
      <c r="R580" s="39"/>
      <c r="S580" s="39"/>
      <c r="T580" s="39"/>
      <c r="U580" s="39"/>
      <c r="V580" s="39"/>
      <c r="W580" s="39"/>
      <c r="X580" s="39"/>
      <c r="Y580" s="39"/>
      <c r="Z580" s="39"/>
      <c r="AA580" s="39"/>
      <c r="AB580" s="39"/>
      <c r="AC580" s="39"/>
      <c r="AD580" s="39"/>
      <c r="AE580" s="39"/>
      <c r="AF580" s="39"/>
      <c r="AG580" s="39"/>
      <c r="AH580" s="39"/>
    </row>
    <row r="581" spans="1:34" s="84" customFormat="1">
      <c r="A581" s="39" t="s">
        <v>756</v>
      </c>
      <c r="B581" s="46" t="s">
        <v>271</v>
      </c>
      <c r="C581" s="39" t="s">
        <v>750</v>
      </c>
      <c r="D581" s="102">
        <v>444159297</v>
      </c>
      <c r="E581" s="102">
        <v>2522456406</v>
      </c>
      <c r="F581" s="39" t="s">
        <v>256</v>
      </c>
      <c r="G581" s="81">
        <f>32990+(364+182)</f>
        <v>33536</v>
      </c>
      <c r="H581" s="50" t="str">
        <f t="shared" si="27"/>
        <v>Oct</v>
      </c>
      <c r="I581" s="51">
        <f t="shared" ca="1" si="28"/>
        <v>25</v>
      </c>
      <c r="J581" s="52" t="s">
        <v>257</v>
      </c>
      <c r="K581" s="53">
        <v>81530</v>
      </c>
      <c r="L581" s="54">
        <v>5</v>
      </c>
      <c r="M581" s="59">
        <f t="shared" si="29"/>
        <v>81530</v>
      </c>
      <c r="N581" s="100"/>
      <c r="O581" s="45"/>
      <c r="P581" s="39"/>
      <c r="Q581" s="39"/>
      <c r="R581" s="39"/>
      <c r="S581" s="39"/>
      <c r="T581" s="39"/>
      <c r="U581" s="39"/>
      <c r="V581" s="39"/>
      <c r="W581" s="39"/>
      <c r="X581" s="39"/>
      <c r="Y581" s="39"/>
      <c r="Z581" s="39"/>
      <c r="AA581" s="39"/>
      <c r="AB581" s="39"/>
      <c r="AC581" s="39"/>
      <c r="AD581" s="39"/>
      <c r="AE581" s="39"/>
      <c r="AF581" s="39"/>
      <c r="AG581" s="39"/>
      <c r="AH581" s="39"/>
    </row>
    <row r="582" spans="1:34" s="84" customFormat="1">
      <c r="A582" s="39" t="s">
        <v>733</v>
      </c>
      <c r="B582" s="46" t="s">
        <v>285</v>
      </c>
      <c r="C582" s="39" t="s">
        <v>705</v>
      </c>
      <c r="D582" s="102">
        <v>868128171</v>
      </c>
      <c r="E582" s="102">
        <v>2525048978</v>
      </c>
      <c r="F582" s="39" t="s">
        <v>256</v>
      </c>
      <c r="G582" s="81">
        <f>33332+(364+182)</f>
        <v>33878</v>
      </c>
      <c r="H582" s="50" t="str">
        <f t="shared" si="27"/>
        <v>Oct</v>
      </c>
      <c r="I582" s="51">
        <f t="shared" ca="1" si="28"/>
        <v>24</v>
      </c>
      <c r="J582" s="52" t="s">
        <v>276</v>
      </c>
      <c r="K582" s="53">
        <v>75370</v>
      </c>
      <c r="L582" s="54">
        <v>2</v>
      </c>
      <c r="M582" s="59">
        <f t="shared" si="29"/>
        <v>75370</v>
      </c>
      <c r="N582" s="100"/>
      <c r="O582" s="45"/>
      <c r="P582" s="39"/>
      <c r="Q582" s="39"/>
      <c r="R582" s="39"/>
      <c r="S582" s="39"/>
      <c r="T582" s="39"/>
      <c r="U582" s="39"/>
      <c r="V582" s="39"/>
      <c r="W582" s="39"/>
      <c r="X582" s="39"/>
      <c r="Y582" s="39"/>
      <c r="Z582" s="39"/>
      <c r="AA582" s="39"/>
      <c r="AB582" s="39"/>
      <c r="AC582" s="39"/>
      <c r="AD582" s="39"/>
      <c r="AE582" s="39"/>
      <c r="AF582" s="39"/>
      <c r="AG582" s="39"/>
      <c r="AH582" s="39"/>
    </row>
    <row r="583" spans="1:34" s="84" customFormat="1">
      <c r="A583" s="39" t="s">
        <v>736</v>
      </c>
      <c r="B583" s="46" t="s">
        <v>271</v>
      </c>
      <c r="C583" s="39" t="s">
        <v>705</v>
      </c>
      <c r="D583" s="102">
        <v>150132247</v>
      </c>
      <c r="E583" s="102">
        <v>9198561612</v>
      </c>
      <c r="F583" s="39" t="s">
        <v>256</v>
      </c>
      <c r="G583" s="81">
        <f>33335+(364+182)</f>
        <v>33881</v>
      </c>
      <c r="H583" s="50" t="str">
        <f t="shared" si="27"/>
        <v>Oct</v>
      </c>
      <c r="I583" s="51">
        <f t="shared" ca="1" si="28"/>
        <v>24</v>
      </c>
      <c r="J583" s="52" t="s">
        <v>276</v>
      </c>
      <c r="K583" s="53">
        <v>46910</v>
      </c>
      <c r="L583" s="54">
        <v>3</v>
      </c>
      <c r="M583" s="59">
        <f t="shared" si="29"/>
        <v>46910</v>
      </c>
      <c r="N583" s="100"/>
      <c r="O583" s="45"/>
      <c r="P583" s="39"/>
      <c r="Q583" s="39"/>
      <c r="R583" s="39"/>
      <c r="S583" s="39"/>
      <c r="T583" s="39"/>
      <c r="U583" s="39"/>
      <c r="V583" s="39"/>
      <c r="W583" s="39"/>
      <c r="X583" s="39"/>
      <c r="Y583" s="39"/>
      <c r="Z583" s="39"/>
      <c r="AA583" s="39"/>
      <c r="AB583" s="39"/>
      <c r="AC583" s="39"/>
      <c r="AD583" s="39"/>
      <c r="AE583" s="39"/>
      <c r="AF583" s="39"/>
      <c r="AG583" s="39"/>
      <c r="AH583" s="39"/>
    </row>
    <row r="584" spans="1:34" s="84" customFormat="1">
      <c r="A584" s="39" t="s">
        <v>884</v>
      </c>
      <c r="B584" s="46" t="s">
        <v>266</v>
      </c>
      <c r="C584" s="39" t="s">
        <v>856</v>
      </c>
      <c r="D584" s="102">
        <v>878902154</v>
      </c>
      <c r="E584" s="102">
        <v>9191155509</v>
      </c>
      <c r="F584" s="39" t="s">
        <v>261</v>
      </c>
      <c r="G584" s="81">
        <f>33344+(364+182)</f>
        <v>33890</v>
      </c>
      <c r="H584" s="50" t="str">
        <f t="shared" si="27"/>
        <v>Oct</v>
      </c>
      <c r="I584" s="51">
        <f t="shared" ca="1" si="28"/>
        <v>24</v>
      </c>
      <c r="J584" s="52" t="s">
        <v>283</v>
      </c>
      <c r="K584" s="53">
        <v>25885</v>
      </c>
      <c r="L584" s="54">
        <v>5</v>
      </c>
      <c r="M584" s="59">
        <f t="shared" si="29"/>
        <v>25885</v>
      </c>
      <c r="N584" s="100"/>
      <c r="O584" s="45"/>
      <c r="P584" s="39"/>
      <c r="Q584" s="39"/>
      <c r="R584" s="39"/>
      <c r="S584" s="39"/>
      <c r="T584" s="39"/>
      <c r="U584" s="39"/>
      <c r="V584" s="39"/>
      <c r="W584" s="39"/>
      <c r="X584" s="39"/>
      <c r="Y584" s="39"/>
      <c r="Z584" s="39"/>
      <c r="AA584" s="39"/>
      <c r="AB584" s="39"/>
      <c r="AC584" s="39"/>
      <c r="AD584" s="39"/>
      <c r="AE584" s="39"/>
      <c r="AF584" s="39"/>
      <c r="AG584" s="39"/>
      <c r="AH584" s="39"/>
    </row>
    <row r="585" spans="1:34" s="84" customFormat="1">
      <c r="A585" s="39" t="s">
        <v>350</v>
      </c>
      <c r="B585" s="46" t="s">
        <v>285</v>
      </c>
      <c r="C585" s="39" t="s">
        <v>312</v>
      </c>
      <c r="D585" s="102">
        <v>951516517</v>
      </c>
      <c r="E585" s="102">
        <v>2524936058</v>
      </c>
      <c r="F585" s="39" t="s">
        <v>256</v>
      </c>
      <c r="G585" s="81">
        <f>33349+(364+182)</f>
        <v>33895</v>
      </c>
      <c r="H585" s="50" t="str">
        <f t="shared" si="27"/>
        <v>Oct</v>
      </c>
      <c r="I585" s="51">
        <f t="shared" ca="1" si="28"/>
        <v>24</v>
      </c>
      <c r="J585" s="52" t="s">
        <v>283</v>
      </c>
      <c r="K585" s="53">
        <v>71670</v>
      </c>
      <c r="L585" s="54">
        <v>4</v>
      </c>
      <c r="M585" s="59">
        <f t="shared" si="29"/>
        <v>71670</v>
      </c>
      <c r="N585" s="100"/>
      <c r="O585" s="45"/>
      <c r="P585" s="39"/>
      <c r="Q585" s="39"/>
      <c r="R585" s="39"/>
      <c r="S585" s="39"/>
      <c r="T585" s="39"/>
      <c r="U585" s="39"/>
      <c r="V585" s="39"/>
      <c r="W585" s="39"/>
      <c r="X585" s="39"/>
      <c r="Y585" s="39"/>
      <c r="Z585" s="39"/>
      <c r="AA585" s="39"/>
      <c r="AB585" s="39"/>
      <c r="AC585" s="39"/>
      <c r="AD585" s="39"/>
      <c r="AE585" s="39"/>
      <c r="AF585" s="39"/>
      <c r="AG585" s="39"/>
      <c r="AH585" s="39"/>
    </row>
    <row r="586" spans="1:34" s="84" customFormat="1">
      <c r="A586" s="39" t="s">
        <v>679</v>
      </c>
      <c r="B586" s="46" t="s">
        <v>285</v>
      </c>
      <c r="C586" s="39" t="s">
        <v>678</v>
      </c>
      <c r="D586" s="102">
        <v>802700229</v>
      </c>
      <c r="E586" s="102">
        <v>2524264889</v>
      </c>
      <c r="F586" s="39" t="s">
        <v>256</v>
      </c>
      <c r="G586" s="81">
        <f>33358+(364+182)</f>
        <v>33904</v>
      </c>
      <c r="H586" s="50" t="str">
        <f t="shared" si="27"/>
        <v>Oct</v>
      </c>
      <c r="I586" s="51">
        <f t="shared" ca="1" si="28"/>
        <v>24</v>
      </c>
      <c r="J586" s="52" t="s">
        <v>262</v>
      </c>
      <c r="K586" s="53">
        <v>87980</v>
      </c>
      <c r="L586" s="54">
        <v>1</v>
      </c>
      <c r="M586" s="59">
        <f t="shared" si="29"/>
        <v>87980</v>
      </c>
      <c r="N586" s="100"/>
      <c r="O586" s="45"/>
      <c r="P586" s="39"/>
      <c r="Q586" s="39"/>
      <c r="R586" s="39"/>
      <c r="S586" s="39"/>
      <c r="T586" s="39"/>
      <c r="U586" s="39"/>
      <c r="V586" s="39"/>
      <c r="W586" s="39"/>
      <c r="X586" s="39"/>
      <c r="Y586" s="39"/>
      <c r="Z586" s="39"/>
      <c r="AA586" s="39"/>
      <c r="AB586" s="39"/>
      <c r="AC586" s="39"/>
      <c r="AD586" s="39"/>
      <c r="AE586" s="39"/>
      <c r="AF586" s="39"/>
      <c r="AG586" s="39"/>
      <c r="AH586" s="39"/>
    </row>
    <row r="587" spans="1:34" s="84" customFormat="1">
      <c r="A587" s="39" t="s">
        <v>472</v>
      </c>
      <c r="B587" s="46" t="s">
        <v>280</v>
      </c>
      <c r="C587" s="39" t="s">
        <v>465</v>
      </c>
      <c r="D587" s="102">
        <v>647552282</v>
      </c>
      <c r="E587" s="102">
        <v>9193392642</v>
      </c>
      <c r="F587" s="39" t="s">
        <v>247</v>
      </c>
      <c r="G587" s="81">
        <f>33719+(364+182)</f>
        <v>34265</v>
      </c>
      <c r="H587" s="50" t="str">
        <f t="shared" si="27"/>
        <v>Oct</v>
      </c>
      <c r="I587" s="51">
        <f t="shared" ca="1" si="28"/>
        <v>23</v>
      </c>
      <c r="J587" s="52"/>
      <c r="K587" s="53">
        <v>35460</v>
      </c>
      <c r="L587" s="54">
        <v>3</v>
      </c>
      <c r="M587" s="59">
        <f t="shared" si="29"/>
        <v>35460</v>
      </c>
      <c r="N587" s="100"/>
      <c r="O587" s="45"/>
      <c r="P587" s="39"/>
      <c r="Q587" s="39"/>
      <c r="R587" s="39"/>
      <c r="S587" s="39"/>
      <c r="T587" s="39"/>
      <c r="U587" s="39"/>
      <c r="V587" s="39"/>
      <c r="W587" s="39"/>
      <c r="X587" s="39"/>
      <c r="Y587" s="39"/>
      <c r="Z587" s="39"/>
      <c r="AA587" s="39"/>
      <c r="AB587" s="39"/>
      <c r="AC587" s="39"/>
      <c r="AD587" s="39"/>
      <c r="AE587" s="39"/>
      <c r="AF587" s="39"/>
      <c r="AG587" s="39"/>
      <c r="AH587" s="39"/>
    </row>
    <row r="588" spans="1:34" s="84" customFormat="1">
      <c r="A588" s="39" t="s">
        <v>734</v>
      </c>
      <c r="B588" s="46" t="s">
        <v>251</v>
      </c>
      <c r="C588" s="39" t="s">
        <v>705</v>
      </c>
      <c r="D588" s="102">
        <v>302854692</v>
      </c>
      <c r="E588" s="102">
        <v>2528651774</v>
      </c>
      <c r="F588" s="39" t="s">
        <v>261</v>
      </c>
      <c r="G588" s="81">
        <f>34071+(364+182)</f>
        <v>34617</v>
      </c>
      <c r="H588" s="50" t="str">
        <f t="shared" si="27"/>
        <v>Oct</v>
      </c>
      <c r="I588" s="51">
        <f t="shared" ca="1" si="28"/>
        <v>22</v>
      </c>
      <c r="J588" s="52" t="s">
        <v>257</v>
      </c>
      <c r="K588" s="53">
        <v>13435</v>
      </c>
      <c r="L588" s="54">
        <v>1</v>
      </c>
      <c r="M588" s="59">
        <f t="shared" si="29"/>
        <v>13435</v>
      </c>
      <c r="N588" s="100"/>
      <c r="O588" s="45"/>
      <c r="P588" s="39"/>
      <c r="Q588" s="39"/>
      <c r="R588" s="39"/>
      <c r="S588" s="39"/>
      <c r="T588" s="39"/>
      <c r="U588" s="39"/>
      <c r="V588" s="39"/>
      <c r="W588" s="39"/>
      <c r="X588" s="39"/>
      <c r="Y588" s="39"/>
      <c r="Z588" s="39"/>
      <c r="AA588" s="39"/>
      <c r="AB588" s="39"/>
      <c r="AC588" s="39"/>
      <c r="AD588" s="39"/>
      <c r="AE588" s="39"/>
      <c r="AF588" s="39"/>
      <c r="AG588" s="39"/>
      <c r="AH588" s="39"/>
    </row>
    <row r="589" spans="1:34" s="84" customFormat="1">
      <c r="A589" s="39" t="s">
        <v>813</v>
      </c>
      <c r="B589" s="46" t="s">
        <v>245</v>
      </c>
      <c r="C589" s="39" t="s">
        <v>767</v>
      </c>
      <c r="D589" s="102">
        <v>476243591</v>
      </c>
      <c r="E589" s="102">
        <v>9197188067</v>
      </c>
      <c r="F589" s="39" t="s">
        <v>256</v>
      </c>
      <c r="G589" s="81">
        <f>34443+(364+182)</f>
        <v>34989</v>
      </c>
      <c r="H589" s="50" t="str">
        <f t="shared" si="27"/>
        <v>Oct</v>
      </c>
      <c r="I589" s="51">
        <f t="shared" ca="1" si="28"/>
        <v>21</v>
      </c>
      <c r="J589" s="52" t="s">
        <v>257</v>
      </c>
      <c r="K589" s="53">
        <v>50570</v>
      </c>
      <c r="L589" s="54">
        <v>4</v>
      </c>
      <c r="M589" s="59">
        <f t="shared" si="29"/>
        <v>50570</v>
      </c>
      <c r="N589" s="100"/>
      <c r="O589" s="45"/>
      <c r="P589" s="39"/>
      <c r="Q589" s="39"/>
      <c r="R589" s="39"/>
      <c r="S589" s="39"/>
      <c r="T589" s="39"/>
      <c r="U589" s="39"/>
      <c r="V589" s="39"/>
      <c r="W589" s="39"/>
      <c r="X589" s="39"/>
      <c r="Y589" s="39"/>
      <c r="Z589" s="39"/>
      <c r="AA589" s="39"/>
      <c r="AB589" s="39"/>
      <c r="AC589" s="39"/>
      <c r="AD589" s="39"/>
      <c r="AE589" s="39"/>
      <c r="AF589" s="39"/>
      <c r="AG589" s="39"/>
      <c r="AH589" s="39"/>
    </row>
    <row r="590" spans="1:34" s="84" customFormat="1">
      <c r="A590" s="39" t="s">
        <v>321</v>
      </c>
      <c r="B590" s="46" t="s">
        <v>266</v>
      </c>
      <c r="C590" s="39" t="s">
        <v>312</v>
      </c>
      <c r="D590" s="102">
        <v>964243524</v>
      </c>
      <c r="E590" s="102">
        <v>2522339143</v>
      </c>
      <c r="F590" s="39" t="s">
        <v>256</v>
      </c>
      <c r="G590" s="81">
        <f>34450+(364+182)</f>
        <v>34996</v>
      </c>
      <c r="H590" s="50" t="str">
        <f t="shared" si="27"/>
        <v>Oct</v>
      </c>
      <c r="I590" s="51">
        <f t="shared" ca="1" si="28"/>
        <v>21</v>
      </c>
      <c r="J590" s="52" t="s">
        <v>257</v>
      </c>
      <c r="K590" s="53">
        <v>67890</v>
      </c>
      <c r="L590" s="54">
        <v>5</v>
      </c>
      <c r="M590" s="59">
        <f t="shared" si="29"/>
        <v>67890</v>
      </c>
      <c r="N590" s="100"/>
      <c r="O590" s="45"/>
      <c r="P590" s="39"/>
      <c r="Q590" s="39"/>
      <c r="R590" s="39"/>
      <c r="S590" s="39"/>
      <c r="T590" s="39"/>
      <c r="U590" s="39"/>
      <c r="V590" s="39"/>
      <c r="W590" s="39"/>
      <c r="X590" s="39"/>
      <c r="Y590" s="39"/>
      <c r="Z590" s="39"/>
      <c r="AA590" s="39"/>
      <c r="AB590" s="39"/>
      <c r="AC590" s="39"/>
      <c r="AD590" s="39"/>
      <c r="AE590" s="39"/>
      <c r="AF590" s="39"/>
      <c r="AG590" s="39"/>
      <c r="AH590" s="39"/>
    </row>
    <row r="591" spans="1:34" s="84" customFormat="1">
      <c r="A591" s="39" t="s">
        <v>713</v>
      </c>
      <c r="B591" s="46" t="s">
        <v>245</v>
      </c>
      <c r="C591" s="39" t="s">
        <v>705</v>
      </c>
      <c r="D591" s="102">
        <v>869524136</v>
      </c>
      <c r="E591" s="102">
        <v>9193640748</v>
      </c>
      <c r="F591" s="39" t="s">
        <v>256</v>
      </c>
      <c r="G591" s="81">
        <f>34793+(364+182)</f>
        <v>35339</v>
      </c>
      <c r="H591" s="50" t="str">
        <f t="shared" si="27"/>
        <v>Oct</v>
      </c>
      <c r="I591" s="51">
        <f t="shared" ca="1" si="28"/>
        <v>20</v>
      </c>
      <c r="J591" s="52" t="s">
        <v>283</v>
      </c>
      <c r="K591" s="53">
        <v>43410</v>
      </c>
      <c r="L591" s="54">
        <v>1</v>
      </c>
      <c r="M591" s="59">
        <f t="shared" si="29"/>
        <v>43410</v>
      </c>
      <c r="N591" s="100"/>
      <c r="O591" s="45"/>
      <c r="P591" s="39"/>
      <c r="Q591" s="39"/>
      <c r="R591" s="39"/>
      <c r="S591" s="39"/>
      <c r="T591" s="39"/>
      <c r="U591" s="39"/>
      <c r="V591" s="39"/>
      <c r="W591" s="39"/>
      <c r="X591" s="39"/>
      <c r="Y591" s="39"/>
      <c r="Z591" s="39"/>
      <c r="AA591" s="39"/>
      <c r="AB591" s="39"/>
      <c r="AC591" s="39"/>
      <c r="AD591" s="39"/>
      <c r="AE591" s="39"/>
      <c r="AF591" s="39"/>
      <c r="AG591" s="39"/>
      <c r="AH591" s="39"/>
    </row>
    <row r="592" spans="1:34" s="84" customFormat="1">
      <c r="A592" s="39" t="s">
        <v>543</v>
      </c>
      <c r="B592" s="46" t="s">
        <v>251</v>
      </c>
      <c r="C592" s="39" t="s">
        <v>465</v>
      </c>
      <c r="D592" s="102">
        <v>624234626</v>
      </c>
      <c r="E592" s="102">
        <v>2523077504</v>
      </c>
      <c r="F592" s="39" t="s">
        <v>261</v>
      </c>
      <c r="G592" s="81">
        <f>34797+(364+182)</f>
        <v>35343</v>
      </c>
      <c r="H592" s="50" t="str">
        <f t="shared" si="27"/>
        <v>Oct</v>
      </c>
      <c r="I592" s="51">
        <f t="shared" ca="1" si="28"/>
        <v>20</v>
      </c>
      <c r="J592" s="52" t="s">
        <v>257</v>
      </c>
      <c r="K592" s="53">
        <v>46645</v>
      </c>
      <c r="L592" s="54">
        <v>5</v>
      </c>
      <c r="M592" s="59">
        <f t="shared" si="29"/>
        <v>46645</v>
      </c>
      <c r="N592" s="100"/>
      <c r="O592" s="45"/>
      <c r="P592" s="39"/>
      <c r="Q592" s="39"/>
      <c r="R592" s="39"/>
      <c r="S592" s="39"/>
      <c r="T592" s="39"/>
      <c r="U592" s="39"/>
      <c r="V592" s="39"/>
      <c r="W592" s="39"/>
      <c r="X592" s="39"/>
      <c r="Y592" s="39"/>
      <c r="Z592" s="39"/>
      <c r="AA592" s="39"/>
      <c r="AB592" s="39"/>
      <c r="AC592" s="39"/>
      <c r="AD592" s="39"/>
      <c r="AE592" s="39"/>
      <c r="AF592" s="39"/>
      <c r="AG592" s="39"/>
      <c r="AH592" s="39"/>
    </row>
    <row r="593" spans="1:34" s="84" customFormat="1">
      <c r="A593" s="39" t="s">
        <v>467</v>
      </c>
      <c r="B593" s="46" t="s">
        <v>271</v>
      </c>
      <c r="C593" s="39" t="s">
        <v>465</v>
      </c>
      <c r="D593" s="102">
        <v>592631929</v>
      </c>
      <c r="E593" s="102">
        <v>2523922629</v>
      </c>
      <c r="F593" s="39" t="s">
        <v>247</v>
      </c>
      <c r="G593" s="81">
        <f>34803+(364+182)</f>
        <v>35349</v>
      </c>
      <c r="H593" s="50" t="str">
        <f t="shared" si="27"/>
        <v>Oct</v>
      </c>
      <c r="I593" s="51">
        <f t="shared" ca="1" si="28"/>
        <v>20</v>
      </c>
      <c r="J593" s="52"/>
      <c r="K593" s="53">
        <v>52940</v>
      </c>
      <c r="L593" s="54">
        <v>4</v>
      </c>
      <c r="M593" s="59">
        <f t="shared" si="29"/>
        <v>52940</v>
      </c>
      <c r="N593" s="100"/>
      <c r="O593" s="45"/>
      <c r="P593" s="39"/>
      <c r="Q593" s="39"/>
      <c r="R593" s="39"/>
      <c r="S593" s="39"/>
      <c r="T593" s="39"/>
      <c r="U593" s="39"/>
      <c r="V593" s="39"/>
      <c r="W593" s="39"/>
      <c r="X593" s="39"/>
      <c r="Y593" s="39"/>
      <c r="Z593" s="39"/>
      <c r="AA593" s="39"/>
      <c r="AB593" s="39"/>
      <c r="AC593" s="39"/>
      <c r="AD593" s="39"/>
      <c r="AE593" s="39"/>
      <c r="AF593" s="39"/>
      <c r="AG593" s="39"/>
      <c r="AH593" s="39"/>
    </row>
    <row r="594" spans="1:34" s="84" customFormat="1">
      <c r="A594" s="39" t="s">
        <v>575</v>
      </c>
      <c r="B594" s="46" t="s">
        <v>271</v>
      </c>
      <c r="C594" s="39" t="s">
        <v>465</v>
      </c>
      <c r="D594" s="102">
        <v>371001908</v>
      </c>
      <c r="E594" s="102">
        <v>2527061632</v>
      </c>
      <c r="F594" s="39" t="s">
        <v>256</v>
      </c>
      <c r="G594" s="81">
        <f>34810+(364+182)</f>
        <v>35356</v>
      </c>
      <c r="H594" s="50" t="str">
        <f t="shared" si="27"/>
        <v>Oct</v>
      </c>
      <c r="I594" s="51">
        <f t="shared" ca="1" si="28"/>
        <v>20</v>
      </c>
      <c r="J594" s="52" t="s">
        <v>262</v>
      </c>
      <c r="K594" s="53">
        <v>45480</v>
      </c>
      <c r="L594" s="54">
        <v>4</v>
      </c>
      <c r="M594" s="59">
        <f t="shared" si="29"/>
        <v>45480</v>
      </c>
      <c r="N594" s="100"/>
      <c r="O594" s="45"/>
      <c r="P594" s="39"/>
      <c r="Q594" s="39"/>
      <c r="R594" s="39"/>
      <c r="S594" s="39"/>
      <c r="T594" s="39"/>
      <c r="U594" s="39"/>
      <c r="V594" s="39"/>
      <c r="W594" s="39"/>
      <c r="X594" s="39"/>
      <c r="Y594" s="39"/>
      <c r="Z594" s="39"/>
      <c r="AA594" s="39"/>
      <c r="AB594" s="39"/>
      <c r="AC594" s="39"/>
      <c r="AD594" s="39"/>
      <c r="AE594" s="39"/>
      <c r="AF594" s="39"/>
      <c r="AG594" s="39"/>
      <c r="AH594" s="39"/>
    </row>
    <row r="595" spans="1:34" s="84" customFormat="1">
      <c r="A595" s="39" t="s">
        <v>885</v>
      </c>
      <c r="B595" s="46" t="s">
        <v>271</v>
      </c>
      <c r="C595" s="39" t="s">
        <v>856</v>
      </c>
      <c r="D595" s="102">
        <v>562497973</v>
      </c>
      <c r="E595" s="102">
        <v>2524111882</v>
      </c>
      <c r="F595" s="39" t="s">
        <v>256</v>
      </c>
      <c r="G595" s="81">
        <f>34810+(364+182)</f>
        <v>35356</v>
      </c>
      <c r="H595" s="50" t="str">
        <f t="shared" si="27"/>
        <v>Oct</v>
      </c>
      <c r="I595" s="51">
        <f t="shared" ca="1" si="28"/>
        <v>20</v>
      </c>
      <c r="J595" s="52" t="s">
        <v>262</v>
      </c>
      <c r="K595" s="53">
        <v>63030</v>
      </c>
      <c r="L595" s="54">
        <v>1</v>
      </c>
      <c r="M595" s="59">
        <f t="shared" si="29"/>
        <v>63030</v>
      </c>
      <c r="N595" s="100"/>
      <c r="O595" s="45"/>
      <c r="P595" s="39"/>
      <c r="Q595" s="39"/>
      <c r="R595" s="39"/>
      <c r="S595" s="39"/>
      <c r="T595" s="39"/>
      <c r="U595" s="39"/>
      <c r="V595" s="39"/>
      <c r="W595" s="39"/>
      <c r="X595" s="39"/>
      <c r="Y595" s="39"/>
      <c r="Z595" s="39"/>
      <c r="AA595" s="39"/>
      <c r="AB595" s="39"/>
      <c r="AC595" s="39"/>
      <c r="AD595" s="39"/>
      <c r="AE595" s="39"/>
      <c r="AF595" s="39"/>
      <c r="AG595" s="39"/>
      <c r="AH595" s="39"/>
    </row>
    <row r="596" spans="1:34" s="84" customFormat="1">
      <c r="A596" s="39" t="s">
        <v>473</v>
      </c>
      <c r="B596" s="46" t="s">
        <v>266</v>
      </c>
      <c r="C596" s="39" t="s">
        <v>465</v>
      </c>
      <c r="D596" s="102">
        <v>906321388</v>
      </c>
      <c r="E596" s="102">
        <v>2527919826</v>
      </c>
      <c r="F596" s="39" t="s">
        <v>247</v>
      </c>
      <c r="G596" s="81">
        <f>34814+(364+182)</f>
        <v>35360</v>
      </c>
      <c r="H596" s="50" t="str">
        <f t="shared" si="27"/>
        <v>Oct</v>
      </c>
      <c r="I596" s="51">
        <f t="shared" ca="1" si="28"/>
        <v>20</v>
      </c>
      <c r="J596" s="52"/>
      <c r="K596" s="53">
        <v>28260</v>
      </c>
      <c r="L596" s="54">
        <v>5</v>
      </c>
      <c r="M596" s="59">
        <f t="shared" si="29"/>
        <v>28260</v>
      </c>
      <c r="N596" s="100"/>
      <c r="O596" s="45"/>
      <c r="P596" s="39"/>
      <c r="Q596" s="39"/>
      <c r="R596" s="39"/>
      <c r="S596" s="39"/>
      <c r="T596" s="39"/>
      <c r="U596" s="39"/>
      <c r="V596" s="39"/>
      <c r="W596" s="39"/>
      <c r="X596" s="39"/>
      <c r="Y596" s="39"/>
      <c r="Z596" s="39"/>
      <c r="AA596" s="39"/>
      <c r="AB596" s="39"/>
      <c r="AC596" s="39"/>
      <c r="AD596" s="39"/>
      <c r="AE596" s="39"/>
      <c r="AF596" s="39"/>
      <c r="AG596" s="39"/>
      <c r="AH596" s="39"/>
    </row>
    <row r="597" spans="1:34" s="84" customFormat="1">
      <c r="A597" s="39" t="s">
        <v>550</v>
      </c>
      <c r="B597" s="46" t="s">
        <v>266</v>
      </c>
      <c r="C597" s="39" t="s">
        <v>465</v>
      </c>
      <c r="D597" s="102">
        <v>523758324</v>
      </c>
      <c r="E597" s="102">
        <v>9191308831</v>
      </c>
      <c r="F597" s="39" t="s">
        <v>256</v>
      </c>
      <c r="G597" s="81">
        <f>34815+(364+182)</f>
        <v>35361</v>
      </c>
      <c r="H597" s="50" t="str">
        <f t="shared" si="27"/>
        <v>Oct</v>
      </c>
      <c r="I597" s="51">
        <f t="shared" ca="1" si="28"/>
        <v>20</v>
      </c>
      <c r="J597" s="52" t="s">
        <v>257</v>
      </c>
      <c r="K597" s="53">
        <v>59320</v>
      </c>
      <c r="L597" s="54">
        <v>4</v>
      </c>
      <c r="M597" s="59">
        <f t="shared" si="29"/>
        <v>59320</v>
      </c>
      <c r="N597" s="100"/>
      <c r="O597" s="45"/>
      <c r="P597" s="39"/>
      <c r="Q597" s="39"/>
      <c r="R597" s="39"/>
      <c r="S597" s="39"/>
      <c r="T597" s="39"/>
      <c r="U597" s="39"/>
      <c r="V597" s="39"/>
      <c r="W597" s="39"/>
      <c r="X597" s="39"/>
      <c r="Y597" s="39"/>
      <c r="Z597" s="39"/>
      <c r="AA597" s="39"/>
      <c r="AB597" s="39"/>
      <c r="AC597" s="39"/>
      <c r="AD597" s="39"/>
      <c r="AE597" s="39"/>
      <c r="AF597" s="39"/>
      <c r="AG597" s="39"/>
      <c r="AH597" s="39"/>
    </row>
    <row r="598" spans="1:34" s="84" customFormat="1">
      <c r="A598" s="39" t="s">
        <v>1007</v>
      </c>
      <c r="B598" s="46" t="s">
        <v>271</v>
      </c>
      <c r="C598" s="39" t="s">
        <v>930</v>
      </c>
      <c r="D598" s="102">
        <v>793256568</v>
      </c>
      <c r="E598" s="102">
        <v>9196999991</v>
      </c>
      <c r="F598" s="39" t="s">
        <v>256</v>
      </c>
      <c r="G598" s="81">
        <f>34818+(364+182)</f>
        <v>35364</v>
      </c>
      <c r="H598" s="50" t="str">
        <f t="shared" si="27"/>
        <v>Oct</v>
      </c>
      <c r="I598" s="51">
        <f t="shared" ca="1" si="28"/>
        <v>20</v>
      </c>
      <c r="J598" s="52" t="s">
        <v>257</v>
      </c>
      <c r="K598" s="53">
        <v>27130</v>
      </c>
      <c r="L598" s="54">
        <v>5</v>
      </c>
      <c r="M598" s="59">
        <f t="shared" si="29"/>
        <v>27130</v>
      </c>
      <c r="N598" s="100"/>
      <c r="O598" s="45"/>
      <c r="P598" s="39"/>
      <c r="Q598" s="39"/>
      <c r="R598" s="39"/>
      <c r="S598" s="39"/>
      <c r="T598" s="39"/>
      <c r="U598" s="39"/>
      <c r="V598" s="39"/>
      <c r="W598" s="39"/>
      <c r="X598" s="39"/>
      <c r="Y598" s="39"/>
      <c r="Z598" s="39"/>
      <c r="AA598" s="39"/>
      <c r="AB598" s="39"/>
      <c r="AC598" s="39"/>
      <c r="AD598" s="39"/>
      <c r="AE598" s="39"/>
      <c r="AF598" s="39"/>
      <c r="AG598" s="39"/>
      <c r="AH598" s="39"/>
    </row>
    <row r="599" spans="1:34" s="84" customFormat="1">
      <c r="A599" s="39" t="s">
        <v>580</v>
      </c>
      <c r="B599" s="46" t="s">
        <v>245</v>
      </c>
      <c r="C599" s="39" t="s">
        <v>465</v>
      </c>
      <c r="D599" s="102">
        <v>136620388</v>
      </c>
      <c r="E599" s="102">
        <v>9195119214</v>
      </c>
      <c r="F599" s="39" t="s">
        <v>256</v>
      </c>
      <c r="G599" s="81">
        <f>35168+(364+182)</f>
        <v>35714</v>
      </c>
      <c r="H599" s="50" t="str">
        <f t="shared" si="27"/>
        <v>Oct</v>
      </c>
      <c r="I599" s="51">
        <f t="shared" ca="1" si="28"/>
        <v>19</v>
      </c>
      <c r="J599" s="52" t="s">
        <v>262</v>
      </c>
      <c r="K599" s="53">
        <v>70020</v>
      </c>
      <c r="L599" s="54">
        <v>3</v>
      </c>
      <c r="M599" s="59">
        <f t="shared" si="29"/>
        <v>70020</v>
      </c>
      <c r="N599" s="100"/>
      <c r="O599" s="45"/>
      <c r="P599" s="39"/>
      <c r="Q599" s="39"/>
      <c r="R599" s="39"/>
      <c r="S599" s="39"/>
      <c r="T599" s="39"/>
      <c r="U599" s="39"/>
      <c r="V599" s="39"/>
      <c r="W599" s="39"/>
      <c r="X599" s="39"/>
      <c r="Y599" s="39"/>
      <c r="Z599" s="39"/>
      <c r="AA599" s="39"/>
      <c r="AB599" s="39"/>
      <c r="AC599" s="39"/>
      <c r="AD599" s="39"/>
      <c r="AE599" s="39"/>
      <c r="AF599" s="39"/>
      <c r="AG599" s="39"/>
      <c r="AH599" s="39"/>
    </row>
    <row r="600" spans="1:34" s="84" customFormat="1">
      <c r="A600" s="39" t="s">
        <v>920</v>
      </c>
      <c r="B600" s="46" t="s">
        <v>280</v>
      </c>
      <c r="C600" s="39" t="s">
        <v>856</v>
      </c>
      <c r="D600" s="102">
        <v>269873478</v>
      </c>
      <c r="E600" s="102">
        <v>9198244224</v>
      </c>
      <c r="F600" s="39" t="s">
        <v>256</v>
      </c>
      <c r="G600" s="81">
        <f>35169+(364+182)</f>
        <v>35715</v>
      </c>
      <c r="H600" s="50" t="str">
        <f t="shared" si="27"/>
        <v>Oct</v>
      </c>
      <c r="I600" s="51">
        <f t="shared" ca="1" si="28"/>
        <v>19</v>
      </c>
      <c r="J600" s="52" t="s">
        <v>283</v>
      </c>
      <c r="K600" s="53">
        <v>32120</v>
      </c>
      <c r="L600" s="54">
        <v>1</v>
      </c>
      <c r="M600" s="59">
        <f t="shared" si="29"/>
        <v>32120</v>
      </c>
      <c r="N600" s="100"/>
      <c r="O600" s="45"/>
      <c r="P600" s="39"/>
      <c r="Q600" s="39"/>
      <c r="R600" s="39"/>
      <c r="S600" s="39"/>
      <c r="T600" s="39"/>
      <c r="U600" s="39"/>
      <c r="V600" s="39"/>
      <c r="W600" s="39"/>
      <c r="X600" s="39"/>
      <c r="Y600" s="39"/>
      <c r="Z600" s="39"/>
      <c r="AA600" s="39"/>
      <c r="AB600" s="39"/>
      <c r="AC600" s="39"/>
      <c r="AD600" s="39"/>
      <c r="AE600" s="39"/>
      <c r="AF600" s="39"/>
      <c r="AG600" s="39"/>
      <c r="AH600" s="39"/>
    </row>
    <row r="601" spans="1:34" s="84" customFormat="1">
      <c r="A601" s="39" t="s">
        <v>682</v>
      </c>
      <c r="B601" s="46" t="s">
        <v>251</v>
      </c>
      <c r="C601" s="39" t="s">
        <v>678</v>
      </c>
      <c r="D601" s="102">
        <v>859204644</v>
      </c>
      <c r="E601" s="102">
        <v>9191617913</v>
      </c>
      <c r="F601" s="39" t="s">
        <v>247</v>
      </c>
      <c r="G601" s="81">
        <f>35178+(364+182)</f>
        <v>35724</v>
      </c>
      <c r="H601" s="50" t="str">
        <f t="shared" si="27"/>
        <v>Oct</v>
      </c>
      <c r="I601" s="51">
        <f t="shared" ca="1" si="28"/>
        <v>19</v>
      </c>
      <c r="J601" s="52"/>
      <c r="K601" s="53">
        <v>86470</v>
      </c>
      <c r="L601" s="54">
        <v>4</v>
      </c>
      <c r="M601" s="59">
        <f t="shared" si="29"/>
        <v>86470</v>
      </c>
      <c r="N601" s="100"/>
      <c r="O601" s="45"/>
      <c r="P601" s="39"/>
      <c r="Q601" s="39"/>
      <c r="R601" s="39"/>
      <c r="S601" s="39"/>
      <c r="T601" s="39"/>
      <c r="U601" s="39"/>
      <c r="V601" s="39"/>
      <c r="W601" s="39"/>
      <c r="X601" s="39"/>
      <c r="Y601" s="39"/>
      <c r="Z601" s="39"/>
      <c r="AA601" s="39"/>
      <c r="AB601" s="39"/>
      <c r="AC601" s="39"/>
      <c r="AD601" s="39"/>
      <c r="AE601" s="39"/>
      <c r="AF601" s="39"/>
      <c r="AG601" s="39"/>
      <c r="AH601" s="39"/>
    </row>
    <row r="602" spans="1:34" s="84" customFormat="1">
      <c r="A602" s="39" t="s">
        <v>900</v>
      </c>
      <c r="B602" s="46" t="s">
        <v>245</v>
      </c>
      <c r="C602" s="39" t="s">
        <v>856</v>
      </c>
      <c r="D602" s="102">
        <v>221347766</v>
      </c>
      <c r="E602" s="102">
        <v>2526853122</v>
      </c>
      <c r="F602" s="39" t="s">
        <v>247</v>
      </c>
      <c r="G602" s="81">
        <f>35524+(364+182)</f>
        <v>36070</v>
      </c>
      <c r="H602" s="50" t="str">
        <f t="shared" si="27"/>
        <v>Oct</v>
      </c>
      <c r="I602" s="51">
        <f t="shared" ca="1" si="28"/>
        <v>18</v>
      </c>
      <c r="J602" s="52"/>
      <c r="K602" s="53">
        <v>59050</v>
      </c>
      <c r="L602" s="54">
        <v>4</v>
      </c>
      <c r="M602" s="59">
        <f t="shared" si="29"/>
        <v>59050</v>
      </c>
      <c r="N602" s="100"/>
      <c r="O602" s="45"/>
      <c r="P602" s="39"/>
      <c r="Q602" s="39"/>
      <c r="R602" s="39"/>
      <c r="S602" s="39"/>
      <c r="T602" s="39"/>
      <c r="U602" s="39"/>
      <c r="V602" s="39"/>
      <c r="W602" s="39"/>
      <c r="X602" s="39"/>
      <c r="Y602" s="39"/>
      <c r="Z602" s="39"/>
      <c r="AA602" s="39"/>
      <c r="AB602" s="39"/>
      <c r="AC602" s="39"/>
      <c r="AD602" s="39"/>
      <c r="AE602" s="39"/>
      <c r="AF602" s="39"/>
      <c r="AG602" s="39"/>
      <c r="AH602" s="39"/>
    </row>
    <row r="603" spans="1:34" s="84" customFormat="1">
      <c r="A603" s="39" t="s">
        <v>401</v>
      </c>
      <c r="B603" s="46" t="s">
        <v>271</v>
      </c>
      <c r="C603" s="39" t="s">
        <v>391</v>
      </c>
      <c r="D603" s="102">
        <v>863161920</v>
      </c>
      <c r="E603" s="102">
        <v>2523748373</v>
      </c>
      <c r="F603" s="39" t="s">
        <v>256</v>
      </c>
      <c r="G603" s="81">
        <f>35531+(364+182)</f>
        <v>36077</v>
      </c>
      <c r="H603" s="50" t="str">
        <f t="shared" si="27"/>
        <v>Oct</v>
      </c>
      <c r="I603" s="51">
        <f t="shared" ca="1" si="28"/>
        <v>18</v>
      </c>
      <c r="J603" s="52" t="s">
        <v>283</v>
      </c>
      <c r="K603" s="53">
        <v>50110</v>
      </c>
      <c r="L603" s="54">
        <v>1</v>
      </c>
      <c r="M603" s="59">
        <f t="shared" si="29"/>
        <v>50110</v>
      </c>
      <c r="N603" s="100"/>
      <c r="O603" s="45"/>
      <c r="P603" s="39"/>
      <c r="Q603" s="39"/>
      <c r="R603" s="39"/>
      <c r="S603" s="39"/>
      <c r="T603" s="39"/>
      <c r="U603" s="39"/>
      <c r="V603" s="39"/>
      <c r="W603" s="39"/>
      <c r="X603" s="39"/>
      <c r="Y603" s="39"/>
      <c r="Z603" s="39"/>
      <c r="AA603" s="39"/>
      <c r="AB603" s="39"/>
      <c r="AC603" s="39"/>
      <c r="AD603" s="39"/>
      <c r="AE603" s="39"/>
      <c r="AF603" s="39"/>
      <c r="AG603" s="39"/>
      <c r="AH603" s="39"/>
    </row>
    <row r="604" spans="1:34" s="84" customFormat="1">
      <c r="A604" s="39" t="s">
        <v>903</v>
      </c>
      <c r="B604" s="46" t="s">
        <v>271</v>
      </c>
      <c r="C604" s="39" t="s">
        <v>856</v>
      </c>
      <c r="D604" s="102">
        <v>180832423</v>
      </c>
      <c r="E604" s="102">
        <v>9198097539</v>
      </c>
      <c r="F604" s="39" t="s">
        <v>256</v>
      </c>
      <c r="G604" s="81">
        <f>35532+(364+182)</f>
        <v>36078</v>
      </c>
      <c r="H604" s="50" t="str">
        <f t="shared" si="27"/>
        <v>Oct</v>
      </c>
      <c r="I604" s="51">
        <f t="shared" ca="1" si="28"/>
        <v>18</v>
      </c>
      <c r="J604" s="52" t="s">
        <v>276</v>
      </c>
      <c r="K604" s="53">
        <v>79610</v>
      </c>
      <c r="L604" s="54">
        <v>2</v>
      </c>
      <c r="M604" s="59">
        <f t="shared" si="29"/>
        <v>79610</v>
      </c>
      <c r="N604" s="100"/>
      <c r="O604" s="45"/>
      <c r="P604" s="39"/>
      <c r="Q604" s="39"/>
      <c r="R604" s="39"/>
      <c r="S604" s="39"/>
      <c r="T604" s="39"/>
      <c r="U604" s="39"/>
      <c r="V604" s="39"/>
      <c r="W604" s="39"/>
      <c r="X604" s="39"/>
      <c r="Y604" s="39"/>
      <c r="Z604" s="39"/>
      <c r="AA604" s="39"/>
      <c r="AB604" s="39"/>
      <c r="AC604" s="39"/>
      <c r="AD604" s="39"/>
      <c r="AE604" s="39"/>
      <c r="AF604" s="39"/>
      <c r="AG604" s="39"/>
      <c r="AH604" s="39"/>
    </row>
    <row r="605" spans="1:34" s="84" customFormat="1">
      <c r="A605" s="39" t="s">
        <v>1017</v>
      </c>
      <c r="B605" s="46" t="s">
        <v>251</v>
      </c>
      <c r="C605" s="39" t="s">
        <v>930</v>
      </c>
      <c r="D605" s="102">
        <v>332494481</v>
      </c>
      <c r="E605" s="102">
        <v>9192094386</v>
      </c>
      <c r="F605" s="39" t="s">
        <v>256</v>
      </c>
      <c r="G605" s="81">
        <f>35534+(364+182)</f>
        <v>36080</v>
      </c>
      <c r="H605" s="50" t="str">
        <f t="shared" si="27"/>
        <v>Oct</v>
      </c>
      <c r="I605" s="51">
        <f t="shared" ca="1" si="28"/>
        <v>18</v>
      </c>
      <c r="J605" s="52" t="s">
        <v>283</v>
      </c>
      <c r="K605" s="53">
        <v>48410</v>
      </c>
      <c r="L605" s="54">
        <v>5</v>
      </c>
      <c r="M605" s="59">
        <f t="shared" si="29"/>
        <v>48410</v>
      </c>
      <c r="N605" s="100"/>
      <c r="O605" s="45"/>
      <c r="P605" s="39"/>
      <c r="Q605" s="39"/>
      <c r="R605" s="39"/>
      <c r="S605" s="39"/>
      <c r="T605" s="39"/>
      <c r="U605" s="39"/>
      <c r="V605" s="39"/>
      <c r="W605" s="39"/>
      <c r="X605" s="39"/>
      <c r="Y605" s="39"/>
      <c r="Z605" s="39"/>
      <c r="AA605" s="39"/>
      <c r="AB605" s="39"/>
      <c r="AC605" s="39"/>
      <c r="AD605" s="39"/>
      <c r="AE605" s="39"/>
      <c r="AF605" s="39"/>
      <c r="AG605" s="39"/>
      <c r="AH605" s="39"/>
    </row>
    <row r="606" spans="1:34" s="84" customFormat="1">
      <c r="A606" s="39" t="s">
        <v>899</v>
      </c>
      <c r="B606" s="46" t="s">
        <v>245</v>
      </c>
      <c r="C606" s="39" t="s">
        <v>856</v>
      </c>
      <c r="D606" s="102">
        <v>291274360</v>
      </c>
      <c r="E606" s="102">
        <v>2524563177</v>
      </c>
      <c r="F606" s="39" t="s">
        <v>256</v>
      </c>
      <c r="G606" s="81">
        <f>35535+(364+182)</f>
        <v>36081</v>
      </c>
      <c r="H606" s="50" t="str">
        <f t="shared" si="27"/>
        <v>Oct</v>
      </c>
      <c r="I606" s="51">
        <f t="shared" ca="1" si="28"/>
        <v>18</v>
      </c>
      <c r="J606" s="52" t="s">
        <v>283</v>
      </c>
      <c r="K606" s="53">
        <v>67407</v>
      </c>
      <c r="L606" s="54">
        <v>5</v>
      </c>
      <c r="M606" s="59">
        <f t="shared" si="29"/>
        <v>67407</v>
      </c>
      <c r="N606" s="100"/>
      <c r="O606" s="45"/>
      <c r="P606" s="39"/>
      <c r="Q606" s="39"/>
      <c r="R606" s="39"/>
      <c r="S606" s="39"/>
      <c r="T606" s="39"/>
      <c r="U606" s="39"/>
      <c r="V606" s="39"/>
      <c r="W606" s="39"/>
      <c r="X606" s="39"/>
      <c r="Y606" s="39"/>
      <c r="Z606" s="39"/>
      <c r="AA606" s="39"/>
      <c r="AB606" s="39"/>
      <c r="AC606" s="39"/>
      <c r="AD606" s="39"/>
      <c r="AE606" s="39"/>
      <c r="AF606" s="39"/>
      <c r="AG606" s="39"/>
      <c r="AH606" s="39"/>
    </row>
    <row r="607" spans="1:34" s="84" customFormat="1">
      <c r="A607" s="39" t="s">
        <v>420</v>
      </c>
      <c r="B607" s="46" t="s">
        <v>251</v>
      </c>
      <c r="C607" s="39" t="s">
        <v>417</v>
      </c>
      <c r="D607" s="102">
        <v>212136062</v>
      </c>
      <c r="E607" s="102">
        <v>9197226463</v>
      </c>
      <c r="F607" s="39" t="s">
        <v>256</v>
      </c>
      <c r="G607" s="81">
        <f>35536+(364+182)</f>
        <v>36082</v>
      </c>
      <c r="H607" s="50" t="str">
        <f t="shared" si="27"/>
        <v>Oct</v>
      </c>
      <c r="I607" s="51">
        <f t="shared" ca="1" si="28"/>
        <v>18</v>
      </c>
      <c r="J607" s="52" t="s">
        <v>283</v>
      </c>
      <c r="K607" s="53">
        <v>82400</v>
      </c>
      <c r="L607" s="54">
        <v>2</v>
      </c>
      <c r="M607" s="59">
        <f t="shared" si="29"/>
        <v>82400</v>
      </c>
      <c r="N607" s="100"/>
      <c r="O607" s="45"/>
      <c r="P607" s="39"/>
      <c r="Q607" s="39"/>
      <c r="R607" s="39"/>
      <c r="S607" s="39"/>
      <c r="T607" s="39"/>
      <c r="U607" s="39"/>
      <c r="V607" s="39"/>
      <c r="W607" s="39"/>
      <c r="X607" s="39"/>
      <c r="Y607" s="39"/>
      <c r="Z607" s="39"/>
      <c r="AA607" s="39"/>
      <c r="AB607" s="39"/>
      <c r="AC607" s="39"/>
      <c r="AD607" s="39"/>
      <c r="AE607" s="39"/>
      <c r="AF607" s="39"/>
      <c r="AG607" s="39"/>
      <c r="AH607" s="39"/>
    </row>
    <row r="608" spans="1:34" s="84" customFormat="1">
      <c r="A608" s="39" t="s">
        <v>504</v>
      </c>
      <c r="B608" s="46" t="s">
        <v>280</v>
      </c>
      <c r="C608" s="39" t="s">
        <v>465</v>
      </c>
      <c r="D608" s="102">
        <v>504914685</v>
      </c>
      <c r="E608" s="102">
        <v>9195250630</v>
      </c>
      <c r="F608" s="39" t="s">
        <v>256</v>
      </c>
      <c r="G608" s="81">
        <f>35538+(364+182)</f>
        <v>36084</v>
      </c>
      <c r="H608" s="50" t="str">
        <f t="shared" si="27"/>
        <v>Oct</v>
      </c>
      <c r="I608" s="51">
        <f t="shared" ca="1" si="28"/>
        <v>18</v>
      </c>
      <c r="J608" s="52" t="s">
        <v>257</v>
      </c>
      <c r="K608" s="53">
        <v>33210</v>
      </c>
      <c r="L608" s="54">
        <v>4</v>
      </c>
      <c r="M608" s="59">
        <f t="shared" si="29"/>
        <v>33210</v>
      </c>
      <c r="N608" s="100"/>
      <c r="O608" s="45"/>
      <c r="P608" s="39"/>
      <c r="Q608" s="39"/>
      <c r="R608" s="39"/>
      <c r="S608" s="39"/>
      <c r="T608" s="39"/>
      <c r="U608" s="39"/>
      <c r="V608" s="39"/>
      <c r="W608" s="39"/>
      <c r="X608" s="39"/>
      <c r="Y608" s="39"/>
      <c r="Z608" s="39"/>
      <c r="AA608" s="39"/>
      <c r="AB608" s="39"/>
      <c r="AC608" s="39"/>
      <c r="AD608" s="39"/>
      <c r="AE608" s="39"/>
      <c r="AF608" s="39"/>
      <c r="AG608" s="39"/>
      <c r="AH608" s="39"/>
    </row>
    <row r="609" spans="1:34" s="84" customFormat="1">
      <c r="A609" s="39" t="s">
        <v>696</v>
      </c>
      <c r="B609" s="46" t="s">
        <v>271</v>
      </c>
      <c r="C609" s="39" t="s">
        <v>678</v>
      </c>
      <c r="D609" s="102">
        <v>797431044</v>
      </c>
      <c r="E609" s="102">
        <v>2523820613</v>
      </c>
      <c r="F609" s="39" t="s">
        <v>252</v>
      </c>
      <c r="G609" s="81">
        <f>35538+(364+182)</f>
        <v>36084</v>
      </c>
      <c r="H609" s="50" t="str">
        <f t="shared" si="27"/>
        <v>Oct</v>
      </c>
      <c r="I609" s="51">
        <f t="shared" ca="1" si="28"/>
        <v>18</v>
      </c>
      <c r="J609" s="52"/>
      <c r="K609" s="53">
        <v>21668</v>
      </c>
      <c r="L609" s="54">
        <v>4</v>
      </c>
      <c r="M609" s="59">
        <f t="shared" si="29"/>
        <v>21668</v>
      </c>
      <c r="N609" s="100"/>
      <c r="O609" s="45"/>
      <c r="P609" s="39"/>
      <c r="Q609" s="39"/>
      <c r="R609" s="39"/>
      <c r="S609" s="39"/>
      <c r="T609" s="39"/>
      <c r="U609" s="39"/>
      <c r="V609" s="39"/>
      <c r="W609" s="39"/>
      <c r="X609" s="39"/>
      <c r="Y609" s="39"/>
      <c r="Z609" s="39"/>
      <c r="AA609" s="39"/>
      <c r="AB609" s="39"/>
      <c r="AC609" s="39"/>
      <c r="AD609" s="39"/>
      <c r="AE609" s="39"/>
      <c r="AF609" s="39"/>
      <c r="AG609" s="39"/>
      <c r="AH609" s="39"/>
    </row>
    <row r="610" spans="1:34" s="84" customFormat="1">
      <c r="A610" s="39" t="s">
        <v>784</v>
      </c>
      <c r="B610" s="46" t="s">
        <v>285</v>
      </c>
      <c r="C610" s="39" t="s">
        <v>767</v>
      </c>
      <c r="D610" s="102">
        <v>349174221</v>
      </c>
      <c r="E610" s="102">
        <v>2521220758</v>
      </c>
      <c r="F610" s="39" t="s">
        <v>261</v>
      </c>
      <c r="G610" s="81">
        <f>35538+(364+182)</f>
        <v>36084</v>
      </c>
      <c r="H610" s="50" t="str">
        <f t="shared" si="27"/>
        <v>Oct</v>
      </c>
      <c r="I610" s="51">
        <f t="shared" ca="1" si="28"/>
        <v>18</v>
      </c>
      <c r="J610" s="52" t="s">
        <v>262</v>
      </c>
      <c r="K610" s="53">
        <v>45750</v>
      </c>
      <c r="L610" s="54">
        <v>5</v>
      </c>
      <c r="M610" s="59">
        <f t="shared" si="29"/>
        <v>45750</v>
      </c>
      <c r="N610" s="100"/>
      <c r="O610" s="45"/>
      <c r="P610" s="39"/>
      <c r="Q610" s="39"/>
      <c r="R610" s="39"/>
      <c r="S610" s="39"/>
      <c r="T610" s="39"/>
      <c r="U610" s="39"/>
      <c r="V610" s="39"/>
      <c r="W610" s="39"/>
      <c r="X610" s="39"/>
      <c r="Y610" s="39"/>
      <c r="Z610" s="39"/>
      <c r="AA610" s="39"/>
      <c r="AB610" s="39"/>
      <c r="AC610" s="39"/>
      <c r="AD610" s="39"/>
      <c r="AE610" s="39"/>
      <c r="AF610" s="39"/>
      <c r="AG610" s="39"/>
      <c r="AH610" s="39"/>
    </row>
    <row r="611" spans="1:34" s="84" customFormat="1">
      <c r="A611" s="39" t="s">
        <v>776</v>
      </c>
      <c r="B611" s="46" t="s">
        <v>245</v>
      </c>
      <c r="C611" s="39" t="s">
        <v>767</v>
      </c>
      <c r="D611" s="102">
        <v>106686151</v>
      </c>
      <c r="E611" s="102">
        <v>2521246633</v>
      </c>
      <c r="F611" s="39" t="s">
        <v>247</v>
      </c>
      <c r="G611" s="81">
        <f>35540+(364+182)</f>
        <v>36086</v>
      </c>
      <c r="H611" s="50" t="str">
        <f t="shared" si="27"/>
        <v>Oct</v>
      </c>
      <c r="I611" s="51">
        <f t="shared" ca="1" si="28"/>
        <v>18</v>
      </c>
      <c r="J611" s="52"/>
      <c r="K611" s="53">
        <v>47520</v>
      </c>
      <c r="L611" s="54">
        <v>1</v>
      </c>
      <c r="M611" s="59">
        <f t="shared" si="29"/>
        <v>47520</v>
      </c>
      <c r="N611" s="100"/>
      <c r="O611" s="45"/>
      <c r="P611" s="39"/>
      <c r="Q611" s="39"/>
      <c r="R611" s="39"/>
      <c r="S611" s="39"/>
      <c r="T611" s="39"/>
      <c r="U611" s="39"/>
      <c r="V611" s="39"/>
      <c r="W611" s="39"/>
      <c r="X611" s="39"/>
      <c r="Y611" s="39"/>
      <c r="Z611" s="39"/>
      <c r="AA611" s="39"/>
      <c r="AB611" s="39"/>
      <c r="AC611" s="39"/>
      <c r="AD611" s="39"/>
      <c r="AE611" s="39"/>
      <c r="AF611" s="39"/>
      <c r="AG611" s="39"/>
      <c r="AH611" s="39"/>
    </row>
    <row r="612" spans="1:34" s="84" customFormat="1">
      <c r="A612" s="39" t="s">
        <v>348</v>
      </c>
      <c r="B612" s="46" t="s">
        <v>245</v>
      </c>
      <c r="C612" s="39" t="s">
        <v>312</v>
      </c>
      <c r="D612" s="102">
        <v>474999228</v>
      </c>
      <c r="E612" s="102">
        <v>9193848677</v>
      </c>
      <c r="F612" s="39" t="s">
        <v>247</v>
      </c>
      <c r="G612" s="81">
        <f>35541+(364+182)</f>
        <v>36087</v>
      </c>
      <c r="H612" s="50" t="str">
        <f t="shared" si="27"/>
        <v>Oct</v>
      </c>
      <c r="I612" s="51">
        <f t="shared" ca="1" si="28"/>
        <v>18</v>
      </c>
      <c r="J612" s="52"/>
      <c r="K612" s="53">
        <v>76930</v>
      </c>
      <c r="L612" s="54">
        <v>1</v>
      </c>
      <c r="M612" s="59">
        <f t="shared" si="29"/>
        <v>76930</v>
      </c>
      <c r="N612" s="100"/>
      <c r="O612" s="45"/>
      <c r="P612" s="39"/>
      <c r="Q612" s="39"/>
      <c r="R612" s="39"/>
      <c r="S612" s="39"/>
      <c r="T612" s="39"/>
      <c r="U612" s="39"/>
      <c r="V612" s="39"/>
      <c r="W612" s="39"/>
      <c r="X612" s="39"/>
      <c r="Y612" s="39"/>
      <c r="Z612" s="39"/>
      <c r="AA612" s="39"/>
      <c r="AB612" s="39"/>
      <c r="AC612" s="39"/>
      <c r="AD612" s="39"/>
      <c r="AE612" s="39"/>
      <c r="AF612" s="39"/>
      <c r="AG612" s="39"/>
      <c r="AH612" s="39"/>
    </row>
    <row r="613" spans="1:34" s="84" customFormat="1">
      <c r="A613" s="39" t="s">
        <v>826</v>
      </c>
      <c r="B613" s="46" t="s">
        <v>271</v>
      </c>
      <c r="C613" s="39" t="s">
        <v>767</v>
      </c>
      <c r="D613" s="102">
        <v>330879921</v>
      </c>
      <c r="E613" s="102">
        <v>9195691314</v>
      </c>
      <c r="F613" s="39" t="s">
        <v>256</v>
      </c>
      <c r="G613" s="81">
        <f>35542+(364+182)</f>
        <v>36088</v>
      </c>
      <c r="H613" s="50" t="str">
        <f t="shared" si="27"/>
        <v>Oct</v>
      </c>
      <c r="I613" s="51">
        <f t="shared" ca="1" si="28"/>
        <v>18</v>
      </c>
      <c r="J613" s="52" t="s">
        <v>267</v>
      </c>
      <c r="K613" s="53">
        <v>54580</v>
      </c>
      <c r="L613" s="54">
        <v>4</v>
      </c>
      <c r="M613" s="59">
        <f t="shared" si="29"/>
        <v>54580</v>
      </c>
      <c r="N613" s="100"/>
      <c r="O613" s="45"/>
      <c r="P613" s="39"/>
      <c r="Q613" s="39"/>
      <c r="R613" s="39"/>
      <c r="S613" s="39"/>
      <c r="T613" s="39"/>
      <c r="U613" s="39"/>
      <c r="V613" s="39"/>
      <c r="W613" s="39"/>
      <c r="X613" s="39"/>
      <c r="Y613" s="39"/>
      <c r="Z613" s="39"/>
      <c r="AA613" s="39"/>
      <c r="AB613" s="39"/>
      <c r="AC613" s="39"/>
      <c r="AD613" s="39"/>
      <c r="AE613" s="39"/>
      <c r="AF613" s="39"/>
      <c r="AG613" s="39"/>
      <c r="AH613" s="39"/>
    </row>
    <row r="614" spans="1:34" s="84" customFormat="1">
      <c r="A614" s="39" t="s">
        <v>675</v>
      </c>
      <c r="B614" s="46" t="s">
        <v>285</v>
      </c>
      <c r="C614" s="39" t="s">
        <v>626</v>
      </c>
      <c r="D614" s="102">
        <v>294161481</v>
      </c>
      <c r="E614" s="102">
        <v>2521201242</v>
      </c>
      <c r="F614" s="39" t="s">
        <v>261</v>
      </c>
      <c r="G614" s="81">
        <f>35548+(364+182)</f>
        <v>36094</v>
      </c>
      <c r="H614" s="50" t="str">
        <f t="shared" si="27"/>
        <v>Oct</v>
      </c>
      <c r="I614" s="51">
        <f t="shared" ca="1" si="28"/>
        <v>18</v>
      </c>
      <c r="J614" s="52" t="s">
        <v>257</v>
      </c>
      <c r="K614" s="53">
        <v>47885</v>
      </c>
      <c r="L614" s="54">
        <v>1</v>
      </c>
      <c r="M614" s="59">
        <f t="shared" si="29"/>
        <v>47885</v>
      </c>
      <c r="N614" s="100"/>
      <c r="O614" s="45"/>
      <c r="P614" s="39"/>
      <c r="Q614" s="39"/>
      <c r="R614" s="39"/>
      <c r="S614" s="39"/>
      <c r="T614" s="39"/>
      <c r="U614" s="39"/>
      <c r="V614" s="39"/>
      <c r="W614" s="39"/>
      <c r="X614" s="39"/>
      <c r="Y614" s="39"/>
      <c r="Z614" s="39"/>
      <c r="AA614" s="39"/>
      <c r="AB614" s="39"/>
      <c r="AC614" s="39"/>
      <c r="AD614" s="39"/>
      <c r="AE614" s="39"/>
      <c r="AF614" s="39"/>
      <c r="AG614" s="39"/>
      <c r="AH614" s="39"/>
    </row>
    <row r="615" spans="1:34" s="84" customFormat="1">
      <c r="A615" s="39" t="s">
        <v>553</v>
      </c>
      <c r="B615" s="46" t="s">
        <v>245</v>
      </c>
      <c r="C615" s="39" t="s">
        <v>465</v>
      </c>
      <c r="D615" s="102">
        <v>772163640</v>
      </c>
      <c r="E615" s="102">
        <v>9192474315</v>
      </c>
      <c r="F615" s="39" t="s">
        <v>256</v>
      </c>
      <c r="G615" s="81">
        <f>35898+(364+182)</f>
        <v>36444</v>
      </c>
      <c r="H615" s="50" t="str">
        <f t="shared" si="27"/>
        <v>Oct</v>
      </c>
      <c r="I615" s="51">
        <f t="shared" ca="1" si="28"/>
        <v>17</v>
      </c>
      <c r="J615" s="52" t="s">
        <v>257</v>
      </c>
      <c r="K615" s="53">
        <v>67280</v>
      </c>
      <c r="L615" s="54">
        <v>3</v>
      </c>
      <c r="M615" s="59">
        <f t="shared" si="29"/>
        <v>67280</v>
      </c>
      <c r="N615" s="100"/>
      <c r="O615" s="45"/>
      <c r="P615" s="39"/>
      <c r="Q615" s="39"/>
      <c r="R615" s="39"/>
      <c r="S615" s="39"/>
      <c r="T615" s="39"/>
      <c r="U615" s="39"/>
      <c r="V615" s="39"/>
      <c r="W615" s="39"/>
      <c r="X615" s="39"/>
      <c r="Y615" s="39"/>
      <c r="Z615" s="39"/>
      <c r="AA615" s="39"/>
      <c r="AB615" s="39"/>
      <c r="AC615" s="39"/>
      <c r="AD615" s="39"/>
      <c r="AE615" s="39"/>
      <c r="AF615" s="39"/>
      <c r="AG615" s="39"/>
      <c r="AH615" s="39"/>
    </row>
    <row r="616" spans="1:34" s="84" customFormat="1">
      <c r="A616" s="39" t="s">
        <v>505</v>
      </c>
      <c r="B616" s="46" t="s">
        <v>271</v>
      </c>
      <c r="C616" s="39" t="s">
        <v>465</v>
      </c>
      <c r="D616" s="102">
        <v>384454025</v>
      </c>
      <c r="E616" s="102">
        <v>2522064219</v>
      </c>
      <c r="F616" s="39" t="s">
        <v>247</v>
      </c>
      <c r="G616" s="81">
        <f>35909+(364+182)</f>
        <v>36455</v>
      </c>
      <c r="H616" s="50" t="str">
        <f t="shared" si="27"/>
        <v>Oct</v>
      </c>
      <c r="I616" s="51">
        <f t="shared" ca="1" si="28"/>
        <v>17</v>
      </c>
      <c r="J616" s="52"/>
      <c r="K616" s="53">
        <v>23810</v>
      </c>
      <c r="L616" s="54">
        <v>4</v>
      </c>
      <c r="M616" s="59">
        <f t="shared" si="29"/>
        <v>23810</v>
      </c>
      <c r="N616" s="100"/>
      <c r="O616" s="45"/>
      <c r="P616" s="39"/>
      <c r="Q616" s="39"/>
      <c r="R616" s="39"/>
      <c r="S616" s="39"/>
      <c r="T616" s="39"/>
      <c r="U616" s="39"/>
      <c r="V616" s="39"/>
      <c r="W616" s="39"/>
      <c r="X616" s="39"/>
      <c r="Y616" s="39"/>
      <c r="Z616" s="39"/>
      <c r="AA616" s="39"/>
      <c r="AB616" s="39"/>
      <c r="AC616" s="39"/>
      <c r="AD616" s="39"/>
      <c r="AE616" s="39"/>
      <c r="AF616" s="39"/>
      <c r="AG616" s="39"/>
      <c r="AH616" s="39"/>
    </row>
    <row r="617" spans="1:34" s="84" customFormat="1">
      <c r="A617" s="39" t="s">
        <v>633</v>
      </c>
      <c r="B617" s="46" t="s">
        <v>271</v>
      </c>
      <c r="C617" s="39" t="s">
        <v>626</v>
      </c>
      <c r="D617" s="102">
        <v>796685092</v>
      </c>
      <c r="E617" s="102">
        <v>2527469217</v>
      </c>
      <c r="F617" s="39" t="s">
        <v>256</v>
      </c>
      <c r="G617" s="81">
        <f>35910+(364+182)</f>
        <v>36456</v>
      </c>
      <c r="H617" s="50" t="str">
        <f t="shared" si="27"/>
        <v>Oct</v>
      </c>
      <c r="I617" s="51">
        <f t="shared" ca="1" si="28"/>
        <v>17</v>
      </c>
      <c r="J617" s="52" t="s">
        <v>283</v>
      </c>
      <c r="K617" s="53">
        <v>43460</v>
      </c>
      <c r="L617" s="54">
        <v>5</v>
      </c>
      <c r="M617" s="59">
        <f t="shared" si="29"/>
        <v>43460</v>
      </c>
      <c r="N617" s="100"/>
      <c r="O617" s="45"/>
      <c r="P617" s="39"/>
      <c r="Q617" s="39"/>
      <c r="R617" s="39"/>
      <c r="S617" s="39"/>
      <c r="T617" s="39"/>
      <c r="U617" s="39"/>
      <c r="V617" s="39"/>
      <c r="W617" s="39"/>
      <c r="X617" s="39"/>
      <c r="Y617" s="39"/>
      <c r="Z617" s="39"/>
      <c r="AA617" s="39"/>
      <c r="AB617" s="39"/>
      <c r="AC617" s="39"/>
      <c r="AD617" s="39"/>
      <c r="AE617" s="39"/>
      <c r="AF617" s="39"/>
      <c r="AG617" s="39"/>
      <c r="AH617" s="39"/>
    </row>
    <row r="618" spans="1:34" s="84" customFormat="1">
      <c r="A618" s="39" t="s">
        <v>979</v>
      </c>
      <c r="B618" s="46" t="s">
        <v>266</v>
      </c>
      <c r="C618" s="39" t="s">
        <v>930</v>
      </c>
      <c r="D618" s="102">
        <v>120224342</v>
      </c>
      <c r="E618" s="102">
        <v>9198986390</v>
      </c>
      <c r="F618" s="39" t="s">
        <v>252</v>
      </c>
      <c r="G618" s="81">
        <f>35912+(364+182)</f>
        <v>36458</v>
      </c>
      <c r="H618" s="50" t="str">
        <f t="shared" si="27"/>
        <v>Oct</v>
      </c>
      <c r="I618" s="51">
        <f t="shared" ca="1" si="28"/>
        <v>17</v>
      </c>
      <c r="J618" s="52"/>
      <c r="K618" s="53">
        <v>32536</v>
      </c>
      <c r="L618" s="54">
        <v>2</v>
      </c>
      <c r="M618" s="59">
        <f t="shared" si="29"/>
        <v>32536</v>
      </c>
      <c r="N618" s="100"/>
      <c r="O618" s="45"/>
      <c r="P618" s="39"/>
      <c r="Q618" s="39"/>
      <c r="R618" s="39"/>
      <c r="S618" s="39"/>
      <c r="T618" s="39"/>
      <c r="U618" s="39"/>
      <c r="V618" s="39"/>
      <c r="W618" s="39"/>
      <c r="X618" s="39"/>
      <c r="Y618" s="39"/>
      <c r="Z618" s="39"/>
      <c r="AA618" s="39"/>
      <c r="AB618" s="39"/>
      <c r="AC618" s="39"/>
      <c r="AD618" s="39"/>
      <c r="AE618" s="39"/>
      <c r="AF618" s="39"/>
      <c r="AG618" s="39"/>
      <c r="AH618" s="39"/>
    </row>
    <row r="619" spans="1:34" s="84" customFormat="1">
      <c r="A619" s="39" t="s">
        <v>956</v>
      </c>
      <c r="B619" s="46" t="s">
        <v>285</v>
      </c>
      <c r="C619" s="39" t="s">
        <v>930</v>
      </c>
      <c r="D619" s="102">
        <v>546546374</v>
      </c>
      <c r="E619" s="102">
        <v>9192727944</v>
      </c>
      <c r="F619" s="39" t="s">
        <v>261</v>
      </c>
      <c r="G619" s="81">
        <f>35916+(364+182)</f>
        <v>36462</v>
      </c>
      <c r="H619" s="50" t="str">
        <f t="shared" si="27"/>
        <v>Oct</v>
      </c>
      <c r="I619" s="51">
        <f t="shared" ca="1" si="28"/>
        <v>17</v>
      </c>
      <c r="J619" s="52" t="s">
        <v>283</v>
      </c>
      <c r="K619" s="53">
        <v>26185</v>
      </c>
      <c r="L619" s="54">
        <v>5</v>
      </c>
      <c r="M619" s="59">
        <f t="shared" si="29"/>
        <v>26185</v>
      </c>
      <c r="N619" s="100"/>
      <c r="O619" s="45"/>
      <c r="P619" s="39"/>
      <c r="Q619" s="39"/>
      <c r="R619" s="39"/>
      <c r="S619" s="39"/>
      <c r="T619" s="39"/>
      <c r="U619" s="39"/>
      <c r="V619" s="39"/>
      <c r="W619" s="39"/>
      <c r="X619" s="39"/>
      <c r="Y619" s="39"/>
      <c r="Z619" s="39"/>
      <c r="AA619" s="39"/>
      <c r="AB619" s="39"/>
      <c r="AC619" s="39"/>
      <c r="AD619" s="39"/>
      <c r="AE619" s="39"/>
      <c r="AF619" s="39"/>
      <c r="AG619" s="39"/>
      <c r="AH619" s="39"/>
    </row>
    <row r="620" spans="1:34" s="84" customFormat="1">
      <c r="A620" s="39" t="s">
        <v>630</v>
      </c>
      <c r="B620" s="46" t="s">
        <v>285</v>
      </c>
      <c r="C620" s="39" t="s">
        <v>626</v>
      </c>
      <c r="D620" s="102">
        <v>424800509</v>
      </c>
      <c r="E620" s="102">
        <v>2523986051</v>
      </c>
      <c r="F620" s="39" t="s">
        <v>256</v>
      </c>
      <c r="G620" s="81">
        <f>35917+(364+182)</f>
        <v>36463</v>
      </c>
      <c r="H620" s="50" t="str">
        <f t="shared" si="27"/>
        <v>Oct</v>
      </c>
      <c r="I620" s="51">
        <f t="shared" ca="1" si="28"/>
        <v>17</v>
      </c>
      <c r="J620" s="52" t="s">
        <v>257</v>
      </c>
      <c r="K620" s="53">
        <v>44220</v>
      </c>
      <c r="L620" s="54">
        <v>3</v>
      </c>
      <c r="M620" s="59">
        <f t="shared" si="29"/>
        <v>44220</v>
      </c>
      <c r="N620" s="100"/>
      <c r="O620" s="45"/>
      <c r="P620" s="39"/>
      <c r="Q620" s="39"/>
      <c r="R620" s="39"/>
      <c r="S620" s="39"/>
      <c r="T620" s="39"/>
      <c r="U620" s="39"/>
      <c r="V620" s="39"/>
      <c r="W620" s="39"/>
      <c r="X620" s="39"/>
      <c r="Y620" s="39"/>
      <c r="Z620" s="39"/>
      <c r="AA620" s="39"/>
      <c r="AB620" s="39"/>
      <c r="AC620" s="39"/>
      <c r="AD620" s="39"/>
      <c r="AE620" s="39"/>
      <c r="AF620" s="39"/>
      <c r="AG620" s="39"/>
      <c r="AH620" s="39"/>
    </row>
    <row r="621" spans="1:34" s="84" customFormat="1">
      <c r="A621" s="39" t="s">
        <v>676</v>
      </c>
      <c r="B621" s="46" t="s">
        <v>271</v>
      </c>
      <c r="C621" s="39" t="s">
        <v>626</v>
      </c>
      <c r="D621" s="102">
        <v>393290045</v>
      </c>
      <c r="E621" s="102">
        <v>2525268508</v>
      </c>
      <c r="F621" s="39" t="s">
        <v>261</v>
      </c>
      <c r="G621" s="81">
        <f>36620+(364+182)</f>
        <v>37166</v>
      </c>
      <c r="H621" s="50" t="str">
        <f t="shared" si="27"/>
        <v>Oct</v>
      </c>
      <c r="I621" s="51">
        <f t="shared" ca="1" si="28"/>
        <v>15</v>
      </c>
      <c r="J621" s="52" t="s">
        <v>262</v>
      </c>
      <c r="K621" s="53">
        <v>47295</v>
      </c>
      <c r="L621" s="54">
        <v>4</v>
      </c>
      <c r="M621" s="59">
        <f t="shared" si="29"/>
        <v>47295</v>
      </c>
      <c r="N621" s="100"/>
      <c r="O621" s="45"/>
      <c r="P621" s="39"/>
      <c r="Q621" s="39"/>
      <c r="R621" s="39"/>
      <c r="S621" s="39"/>
      <c r="T621" s="39"/>
      <c r="U621" s="39"/>
      <c r="V621" s="39"/>
      <c r="W621" s="39"/>
      <c r="X621" s="39"/>
      <c r="Y621" s="39"/>
      <c r="Z621" s="39"/>
      <c r="AA621" s="39"/>
      <c r="AB621" s="39"/>
      <c r="AC621" s="39"/>
      <c r="AD621" s="39"/>
      <c r="AE621" s="39"/>
      <c r="AF621" s="39"/>
      <c r="AG621" s="39"/>
      <c r="AH621" s="39"/>
    </row>
    <row r="622" spans="1:34" s="84" customFormat="1">
      <c r="A622" s="39" t="s">
        <v>322</v>
      </c>
      <c r="B622" s="46" t="s">
        <v>271</v>
      </c>
      <c r="C622" s="39" t="s">
        <v>312</v>
      </c>
      <c r="D622" s="102">
        <v>436693732</v>
      </c>
      <c r="E622" s="102">
        <v>2524077699</v>
      </c>
      <c r="F622" s="39" t="s">
        <v>256</v>
      </c>
      <c r="G622" s="81">
        <f>36630+(364+182)</f>
        <v>37176</v>
      </c>
      <c r="H622" s="50" t="str">
        <f t="shared" si="27"/>
        <v>Oct</v>
      </c>
      <c r="I622" s="51">
        <f t="shared" ca="1" si="28"/>
        <v>15</v>
      </c>
      <c r="J622" s="52" t="s">
        <v>267</v>
      </c>
      <c r="K622" s="53">
        <v>62790</v>
      </c>
      <c r="L622" s="54">
        <v>2</v>
      </c>
      <c r="M622" s="59">
        <f t="shared" si="29"/>
        <v>62790</v>
      </c>
      <c r="N622" s="100"/>
      <c r="O622" s="45"/>
      <c r="P622" s="39"/>
      <c r="Q622" s="39"/>
      <c r="R622" s="39"/>
      <c r="S622" s="39"/>
      <c r="T622" s="39"/>
      <c r="U622" s="39"/>
      <c r="V622" s="39"/>
      <c r="W622" s="39"/>
      <c r="X622" s="39"/>
      <c r="Y622" s="39"/>
      <c r="Z622" s="39"/>
      <c r="AA622" s="39"/>
      <c r="AB622" s="39"/>
      <c r="AC622" s="39"/>
      <c r="AD622" s="39"/>
      <c r="AE622" s="39"/>
      <c r="AF622" s="39"/>
      <c r="AG622" s="39"/>
      <c r="AH622" s="39"/>
    </row>
    <row r="623" spans="1:34" s="84" customFormat="1">
      <c r="A623" s="39" t="s">
        <v>502</v>
      </c>
      <c r="B623" s="46" t="s">
        <v>266</v>
      </c>
      <c r="C623" s="39" t="s">
        <v>465</v>
      </c>
      <c r="D623" s="102">
        <v>378189642</v>
      </c>
      <c r="E623" s="102">
        <v>2526228199</v>
      </c>
      <c r="F623" s="39" t="s">
        <v>247</v>
      </c>
      <c r="G623" s="81">
        <f>37353+(364+182)</f>
        <v>37899</v>
      </c>
      <c r="H623" s="50" t="str">
        <f t="shared" si="27"/>
        <v>Oct</v>
      </c>
      <c r="I623" s="51">
        <f t="shared" ca="1" si="28"/>
        <v>13</v>
      </c>
      <c r="J623" s="52"/>
      <c r="K623" s="53">
        <v>64220</v>
      </c>
      <c r="L623" s="54">
        <v>5</v>
      </c>
      <c r="M623" s="59">
        <f t="shared" si="29"/>
        <v>64220</v>
      </c>
      <c r="N623" s="100"/>
      <c r="O623" s="45"/>
      <c r="P623" s="39"/>
      <c r="Q623" s="39"/>
      <c r="R623" s="39"/>
      <c r="S623" s="39"/>
      <c r="T623" s="39"/>
      <c r="U623" s="39"/>
      <c r="V623" s="39"/>
      <c r="W623" s="39"/>
      <c r="X623" s="39"/>
      <c r="Y623" s="39"/>
      <c r="Z623" s="39"/>
      <c r="AA623" s="39"/>
      <c r="AB623" s="39"/>
      <c r="AC623" s="39"/>
      <c r="AD623" s="39"/>
      <c r="AE623" s="39"/>
      <c r="AF623" s="39"/>
      <c r="AG623" s="39"/>
      <c r="AH623" s="39"/>
    </row>
    <row r="624" spans="1:34" s="84" customFormat="1">
      <c r="A624" s="39" t="s">
        <v>544</v>
      </c>
      <c r="B624" s="46" t="s">
        <v>245</v>
      </c>
      <c r="C624" s="39" t="s">
        <v>465</v>
      </c>
      <c r="D624" s="102">
        <v>361925033</v>
      </c>
      <c r="E624" s="102">
        <v>9196633751</v>
      </c>
      <c r="F624" s="39" t="s">
        <v>247</v>
      </c>
      <c r="G624" s="81">
        <f>37743+(364+182)</f>
        <v>38289</v>
      </c>
      <c r="H624" s="50" t="str">
        <f t="shared" si="27"/>
        <v>Oct</v>
      </c>
      <c r="I624" s="51">
        <f t="shared" ca="1" si="28"/>
        <v>12</v>
      </c>
      <c r="J624" s="52"/>
      <c r="K624" s="53">
        <v>71830</v>
      </c>
      <c r="L624" s="54">
        <v>3</v>
      </c>
      <c r="M624" s="59">
        <f t="shared" si="29"/>
        <v>71830</v>
      </c>
      <c r="N624" s="100"/>
      <c r="O624" s="45"/>
      <c r="P624" s="39"/>
      <c r="Q624" s="39"/>
      <c r="R624" s="39"/>
      <c r="S624" s="39"/>
      <c r="T624" s="39"/>
      <c r="U624" s="39"/>
      <c r="V624" s="39"/>
      <c r="W624" s="39"/>
      <c r="X624" s="39"/>
      <c r="Y624" s="39"/>
      <c r="Z624" s="39"/>
      <c r="AA624" s="39"/>
      <c r="AB624" s="39"/>
      <c r="AC624" s="39"/>
      <c r="AD624" s="39"/>
      <c r="AE624" s="39"/>
      <c r="AF624" s="39"/>
      <c r="AG624" s="39"/>
      <c r="AH624" s="39"/>
    </row>
    <row r="625" spans="1:34" s="84" customFormat="1">
      <c r="A625" s="39" t="s">
        <v>959</v>
      </c>
      <c r="B625" s="46" t="s">
        <v>251</v>
      </c>
      <c r="C625" s="39" t="s">
        <v>930</v>
      </c>
      <c r="D625" s="102">
        <v>688769770</v>
      </c>
      <c r="E625" s="102">
        <v>9192416398</v>
      </c>
      <c r="F625" s="39" t="s">
        <v>256</v>
      </c>
      <c r="G625" s="81">
        <f>38080+(364+182)</f>
        <v>38626</v>
      </c>
      <c r="H625" s="50" t="str">
        <f t="shared" si="27"/>
        <v>Oct</v>
      </c>
      <c r="I625" s="51">
        <f t="shared" ca="1" si="28"/>
        <v>11</v>
      </c>
      <c r="J625" s="52" t="s">
        <v>257</v>
      </c>
      <c r="K625" s="53">
        <v>44530</v>
      </c>
      <c r="L625" s="54">
        <v>2</v>
      </c>
      <c r="M625" s="59">
        <f t="shared" si="29"/>
        <v>44530</v>
      </c>
      <c r="N625" s="100"/>
      <c r="O625" s="45"/>
      <c r="P625" s="39"/>
      <c r="Q625" s="39"/>
      <c r="R625" s="39"/>
      <c r="S625" s="39"/>
      <c r="T625" s="39"/>
      <c r="U625" s="39"/>
      <c r="V625" s="39"/>
      <c r="W625" s="39"/>
      <c r="X625" s="39"/>
      <c r="Y625" s="39"/>
      <c r="Z625" s="39"/>
      <c r="AA625" s="39"/>
      <c r="AB625" s="39"/>
      <c r="AC625" s="39"/>
      <c r="AD625" s="39"/>
      <c r="AE625" s="39"/>
      <c r="AF625" s="39"/>
      <c r="AG625" s="39"/>
      <c r="AH625" s="39"/>
    </row>
    <row r="626" spans="1:34">
      <c r="A626" s="39" t="s">
        <v>1011</v>
      </c>
      <c r="B626" s="46" t="s">
        <v>245</v>
      </c>
      <c r="C626" s="39" t="s">
        <v>930</v>
      </c>
      <c r="D626" s="102">
        <v>502580266</v>
      </c>
      <c r="E626" s="102">
        <v>9197103200</v>
      </c>
      <c r="F626" s="39" t="s">
        <v>252</v>
      </c>
      <c r="G626" s="81">
        <f>38100+(364+182)</f>
        <v>38646</v>
      </c>
      <c r="H626" s="50" t="str">
        <f t="shared" si="27"/>
        <v>Oct</v>
      </c>
      <c r="I626" s="51">
        <f t="shared" ca="1" si="28"/>
        <v>11</v>
      </c>
      <c r="J626" s="52"/>
      <c r="K626" s="53">
        <v>37344</v>
      </c>
      <c r="L626" s="54">
        <v>2</v>
      </c>
      <c r="M626" s="59">
        <f t="shared" si="29"/>
        <v>37344</v>
      </c>
    </row>
    <row r="627" spans="1:34">
      <c r="A627" s="39" t="s">
        <v>836</v>
      </c>
      <c r="B627" s="46" t="s">
        <v>285</v>
      </c>
      <c r="C627" s="39" t="s">
        <v>767</v>
      </c>
      <c r="D627" s="102">
        <v>161439267</v>
      </c>
      <c r="E627" s="102">
        <v>9197600603</v>
      </c>
      <c r="F627" s="39" t="s">
        <v>256</v>
      </c>
      <c r="G627" s="81">
        <f>38816+(364+182)</f>
        <v>39362</v>
      </c>
      <c r="H627" s="50" t="str">
        <f t="shared" si="27"/>
        <v>Oct</v>
      </c>
      <c r="I627" s="51">
        <f t="shared" ca="1" si="28"/>
        <v>9</v>
      </c>
      <c r="J627" s="52" t="s">
        <v>262</v>
      </c>
      <c r="K627" s="53">
        <v>42020</v>
      </c>
      <c r="L627" s="54">
        <v>5</v>
      </c>
      <c r="M627" s="59">
        <f t="shared" si="29"/>
        <v>42020</v>
      </c>
    </row>
    <row r="628" spans="1:34">
      <c r="A628" s="39" t="s">
        <v>841</v>
      </c>
      <c r="B628" s="46" t="s">
        <v>280</v>
      </c>
      <c r="C628" s="39" t="s">
        <v>767</v>
      </c>
      <c r="D628" s="102">
        <v>486016972</v>
      </c>
      <c r="E628" s="102">
        <v>9194532398</v>
      </c>
      <c r="F628" s="39" t="s">
        <v>261</v>
      </c>
      <c r="G628" s="81">
        <f>39182+(364+182)</f>
        <v>39728</v>
      </c>
      <c r="H628" s="50" t="str">
        <f t="shared" si="27"/>
        <v>Oct</v>
      </c>
      <c r="I628" s="51">
        <f t="shared" ca="1" si="28"/>
        <v>8</v>
      </c>
      <c r="J628" s="52" t="s">
        <v>257</v>
      </c>
      <c r="K628" s="53">
        <v>45565</v>
      </c>
      <c r="L628" s="54">
        <v>1</v>
      </c>
      <c r="M628" s="59">
        <f t="shared" si="29"/>
        <v>45565</v>
      </c>
    </row>
    <row r="629" spans="1:34">
      <c r="A629" s="39" t="s">
        <v>984</v>
      </c>
      <c r="B629" s="46" t="s">
        <v>285</v>
      </c>
      <c r="C629" s="39" t="s">
        <v>930</v>
      </c>
      <c r="D629" s="102">
        <v>458734969</v>
      </c>
      <c r="E629" s="102">
        <v>9196354278</v>
      </c>
      <c r="F629" s="39" t="s">
        <v>256</v>
      </c>
      <c r="G629" s="81">
        <f>39182+(364+182)</f>
        <v>39728</v>
      </c>
      <c r="H629" s="50" t="str">
        <f t="shared" si="27"/>
        <v>Oct</v>
      </c>
      <c r="I629" s="51">
        <f t="shared" ca="1" si="28"/>
        <v>8</v>
      </c>
      <c r="J629" s="52" t="s">
        <v>257</v>
      </c>
      <c r="K629" s="53">
        <v>82370</v>
      </c>
      <c r="L629" s="54">
        <v>5</v>
      </c>
      <c r="M629" s="59">
        <f t="shared" si="29"/>
        <v>82370</v>
      </c>
    </row>
    <row r="630" spans="1:34">
      <c r="A630" s="39" t="s">
        <v>985</v>
      </c>
      <c r="B630" s="46" t="s">
        <v>245</v>
      </c>
      <c r="C630" s="39" t="s">
        <v>930</v>
      </c>
      <c r="D630" s="102">
        <v>667745362</v>
      </c>
      <c r="E630" s="102">
        <v>2522952173</v>
      </c>
      <c r="F630" s="39" t="s">
        <v>247</v>
      </c>
      <c r="G630" s="81">
        <f>39182+(364+182)</f>
        <v>39728</v>
      </c>
      <c r="H630" s="50" t="str">
        <f t="shared" si="27"/>
        <v>Oct</v>
      </c>
      <c r="I630" s="51">
        <f t="shared" ca="1" si="28"/>
        <v>8</v>
      </c>
      <c r="J630" s="52"/>
      <c r="K630" s="53">
        <v>86040</v>
      </c>
      <c r="L630" s="54">
        <v>5</v>
      </c>
      <c r="M630" s="59">
        <f t="shared" si="29"/>
        <v>86040</v>
      </c>
    </row>
    <row r="631" spans="1:34">
      <c r="A631" s="39" t="s">
        <v>872</v>
      </c>
      <c r="B631" s="46" t="s">
        <v>285</v>
      </c>
      <c r="C631" s="39" t="s">
        <v>856</v>
      </c>
      <c r="D631" s="102">
        <v>826508763</v>
      </c>
      <c r="E631" s="102">
        <v>2526801348</v>
      </c>
      <c r="F631" s="39" t="s">
        <v>256</v>
      </c>
      <c r="G631" s="81">
        <f>39199+(364+182)</f>
        <v>39745</v>
      </c>
      <c r="H631" s="50" t="str">
        <f t="shared" si="27"/>
        <v>Oct</v>
      </c>
      <c r="I631" s="51">
        <f t="shared" ca="1" si="28"/>
        <v>8</v>
      </c>
      <c r="J631" s="52" t="s">
        <v>283</v>
      </c>
      <c r="K631" s="53">
        <v>29330</v>
      </c>
      <c r="L631" s="54">
        <v>5</v>
      </c>
      <c r="M631" s="59">
        <f t="shared" si="29"/>
        <v>29330</v>
      </c>
    </row>
    <row r="632" spans="1:34">
      <c r="A632" s="39" t="s">
        <v>526</v>
      </c>
      <c r="B632" s="46" t="s">
        <v>266</v>
      </c>
      <c r="C632" s="39" t="s">
        <v>465</v>
      </c>
      <c r="D632" s="102">
        <v>484217278</v>
      </c>
      <c r="E632" s="102">
        <v>9195627374</v>
      </c>
      <c r="F632" s="39" t="s">
        <v>252</v>
      </c>
      <c r="G632" s="81">
        <f>39201+(364+182)</f>
        <v>39747</v>
      </c>
      <c r="H632" s="50" t="str">
        <f t="shared" si="27"/>
        <v>Oct</v>
      </c>
      <c r="I632" s="51">
        <f t="shared" ca="1" si="28"/>
        <v>8</v>
      </c>
      <c r="J632" s="52"/>
      <c r="K632" s="53">
        <v>10572</v>
      </c>
      <c r="L632" s="54">
        <v>4</v>
      </c>
      <c r="M632" s="59">
        <f t="shared" si="29"/>
        <v>10572</v>
      </c>
    </row>
    <row r="633" spans="1:34">
      <c r="A633" s="39" t="s">
        <v>295</v>
      </c>
      <c r="B633" s="46" t="s">
        <v>245</v>
      </c>
      <c r="C633" s="39" t="s">
        <v>296</v>
      </c>
      <c r="D633" s="102">
        <v>460412180</v>
      </c>
      <c r="E633" s="102">
        <v>9196822349</v>
      </c>
      <c r="F633" s="39" t="s">
        <v>256</v>
      </c>
      <c r="G633" s="81">
        <f>39560+(364+182)</f>
        <v>40106</v>
      </c>
      <c r="H633" s="50" t="str">
        <f t="shared" si="27"/>
        <v>Oct</v>
      </c>
      <c r="I633" s="51">
        <f t="shared" ca="1" si="28"/>
        <v>7</v>
      </c>
      <c r="J633" s="52" t="s">
        <v>262</v>
      </c>
      <c r="K633" s="53">
        <v>51180</v>
      </c>
      <c r="L633" s="54">
        <v>3</v>
      </c>
      <c r="M633" s="59">
        <f t="shared" si="29"/>
        <v>51180</v>
      </c>
      <c r="N633" s="107"/>
    </row>
    <row r="634" spans="1:34">
      <c r="A634" s="39" t="s">
        <v>724</v>
      </c>
      <c r="B634" s="46" t="s">
        <v>271</v>
      </c>
      <c r="C634" s="39" t="s">
        <v>705</v>
      </c>
      <c r="D634" s="102">
        <v>816607187</v>
      </c>
      <c r="E634" s="102">
        <v>9195520461</v>
      </c>
      <c r="F634" s="39" t="s">
        <v>252</v>
      </c>
      <c r="G634" s="103">
        <f>39906+(364+182)</f>
        <v>40452</v>
      </c>
      <c r="H634" s="50" t="str">
        <f t="shared" si="27"/>
        <v>Oct</v>
      </c>
      <c r="I634" s="51">
        <f t="shared" ca="1" si="28"/>
        <v>6</v>
      </c>
      <c r="J634" s="52"/>
      <c r="K634" s="53">
        <v>9180</v>
      </c>
      <c r="L634" s="54">
        <v>3</v>
      </c>
      <c r="M634" s="59">
        <f t="shared" si="29"/>
        <v>9180</v>
      </c>
    </row>
    <row r="635" spans="1:34">
      <c r="A635" s="39" t="s">
        <v>745</v>
      </c>
      <c r="B635" s="46" t="s">
        <v>251</v>
      </c>
      <c r="C635" s="39" t="s">
        <v>705</v>
      </c>
      <c r="D635" s="102">
        <v>719165738</v>
      </c>
      <c r="E635" s="102">
        <v>9195750692</v>
      </c>
      <c r="F635" s="39" t="s">
        <v>247</v>
      </c>
      <c r="G635" s="81">
        <f>39922+(364+182)</f>
        <v>40468</v>
      </c>
      <c r="H635" s="50" t="str">
        <f t="shared" si="27"/>
        <v>Oct</v>
      </c>
      <c r="I635" s="51">
        <f t="shared" ca="1" si="28"/>
        <v>6</v>
      </c>
      <c r="J635" s="52"/>
      <c r="K635" s="53">
        <v>39440</v>
      </c>
      <c r="L635" s="54">
        <v>4</v>
      </c>
      <c r="M635" s="59">
        <f t="shared" si="29"/>
        <v>39440</v>
      </c>
    </row>
    <row r="636" spans="1:34">
      <c r="A636" s="39" t="s">
        <v>443</v>
      </c>
      <c r="B636" s="46" t="s">
        <v>285</v>
      </c>
      <c r="C636" s="39" t="s">
        <v>417</v>
      </c>
      <c r="D636" s="102">
        <v>536516131</v>
      </c>
      <c r="E636" s="102">
        <v>2524442207</v>
      </c>
      <c r="F636" s="39" t="s">
        <v>256</v>
      </c>
      <c r="G636" s="81">
        <f>39924+(364+182)</f>
        <v>40470</v>
      </c>
      <c r="H636" s="50" t="str">
        <f t="shared" si="27"/>
        <v>Oct</v>
      </c>
      <c r="I636" s="51">
        <f t="shared" ca="1" si="28"/>
        <v>6</v>
      </c>
      <c r="J636" s="52" t="s">
        <v>283</v>
      </c>
      <c r="K636" s="53">
        <v>42620</v>
      </c>
      <c r="L636" s="54">
        <v>3</v>
      </c>
      <c r="M636" s="59">
        <f t="shared" si="29"/>
        <v>42620</v>
      </c>
    </row>
    <row r="637" spans="1:34">
      <c r="A637" s="39" t="s">
        <v>563</v>
      </c>
      <c r="B637" s="46" t="s">
        <v>271</v>
      </c>
      <c r="C637" s="39" t="s">
        <v>465</v>
      </c>
      <c r="D637" s="102">
        <v>995858336</v>
      </c>
      <c r="E637" s="102">
        <v>2525035104</v>
      </c>
      <c r="F637" s="39" t="s">
        <v>247</v>
      </c>
      <c r="G637" s="81">
        <f>39924+(364+182)</f>
        <v>40470</v>
      </c>
      <c r="H637" s="50" t="str">
        <f t="shared" si="27"/>
        <v>Oct</v>
      </c>
      <c r="I637" s="51">
        <f t="shared" ca="1" si="28"/>
        <v>6</v>
      </c>
      <c r="J637" s="52"/>
      <c r="K637" s="53">
        <v>37840</v>
      </c>
      <c r="L637" s="54">
        <v>1</v>
      </c>
      <c r="M637" s="59">
        <f t="shared" si="29"/>
        <v>37840</v>
      </c>
    </row>
    <row r="638" spans="1:34">
      <c r="A638" s="39" t="s">
        <v>769</v>
      </c>
      <c r="B638" s="46" t="s">
        <v>285</v>
      </c>
      <c r="C638" s="39" t="s">
        <v>767</v>
      </c>
      <c r="D638" s="102">
        <v>449987941</v>
      </c>
      <c r="E638" s="102">
        <v>2528742282</v>
      </c>
      <c r="F638" s="39" t="s">
        <v>256</v>
      </c>
      <c r="G638" s="81">
        <f>39931+(364+182)</f>
        <v>40477</v>
      </c>
      <c r="H638" s="50" t="str">
        <f t="shared" si="27"/>
        <v>Oct</v>
      </c>
      <c r="I638" s="51">
        <f t="shared" ca="1" si="28"/>
        <v>6</v>
      </c>
      <c r="J638" s="52" t="s">
        <v>267</v>
      </c>
      <c r="K638" s="53">
        <v>63206</v>
      </c>
      <c r="L638" s="54">
        <v>1</v>
      </c>
      <c r="M638" s="59">
        <f t="shared" si="29"/>
        <v>63206</v>
      </c>
    </row>
    <row r="639" spans="1:34">
      <c r="A639" s="39" t="s">
        <v>760</v>
      </c>
      <c r="B639" s="46" t="s">
        <v>266</v>
      </c>
      <c r="C639" s="39" t="s">
        <v>750</v>
      </c>
      <c r="D639" s="102">
        <v>710460589</v>
      </c>
      <c r="E639" s="102">
        <v>2526104400</v>
      </c>
      <c r="F639" s="39" t="s">
        <v>256</v>
      </c>
      <c r="G639" s="81">
        <f>32633+(364+182)</f>
        <v>33179</v>
      </c>
      <c r="H639" s="50" t="str">
        <f t="shared" si="27"/>
        <v>Nov</v>
      </c>
      <c r="I639" s="51">
        <f t="shared" ca="1" si="28"/>
        <v>26</v>
      </c>
      <c r="J639" s="52" t="s">
        <v>283</v>
      </c>
      <c r="K639" s="53">
        <v>43110</v>
      </c>
      <c r="L639" s="54">
        <v>2</v>
      </c>
      <c r="M639" s="59">
        <f t="shared" si="29"/>
        <v>43110</v>
      </c>
    </row>
    <row r="640" spans="1:34">
      <c r="A640" s="39" t="s">
        <v>403</v>
      </c>
      <c r="B640" s="46" t="s">
        <v>285</v>
      </c>
      <c r="C640" s="39" t="s">
        <v>391</v>
      </c>
      <c r="D640" s="102">
        <v>828996583</v>
      </c>
      <c r="E640" s="102">
        <v>2521282202</v>
      </c>
      <c r="F640" s="39" t="s">
        <v>252</v>
      </c>
      <c r="G640" s="81">
        <f>32637+(364+182)</f>
        <v>33183</v>
      </c>
      <c r="H640" s="50" t="str">
        <f t="shared" si="27"/>
        <v>Nov</v>
      </c>
      <c r="I640" s="51">
        <f t="shared" ca="1" si="28"/>
        <v>26</v>
      </c>
      <c r="J640" s="52"/>
      <c r="K640" s="53">
        <v>14712</v>
      </c>
      <c r="L640" s="54">
        <v>5</v>
      </c>
      <c r="M640" s="59">
        <f t="shared" si="29"/>
        <v>14712</v>
      </c>
    </row>
    <row r="641" spans="1:34">
      <c r="A641" s="39" t="s">
        <v>755</v>
      </c>
      <c r="B641" s="46" t="s">
        <v>285</v>
      </c>
      <c r="C641" s="39" t="s">
        <v>750</v>
      </c>
      <c r="D641" s="102">
        <v>174483231</v>
      </c>
      <c r="E641" s="102">
        <v>9196733291</v>
      </c>
      <c r="F641" s="39" t="s">
        <v>256</v>
      </c>
      <c r="G641" s="81">
        <f>32640+(364+182)</f>
        <v>33186</v>
      </c>
      <c r="H641" s="50" t="str">
        <f t="shared" si="27"/>
        <v>Nov</v>
      </c>
      <c r="I641" s="51">
        <f t="shared" ca="1" si="28"/>
        <v>26</v>
      </c>
      <c r="J641" s="52" t="s">
        <v>257</v>
      </c>
      <c r="K641" s="53">
        <v>40940</v>
      </c>
      <c r="L641" s="54">
        <v>3</v>
      </c>
      <c r="M641" s="59">
        <f t="shared" si="29"/>
        <v>40940</v>
      </c>
    </row>
    <row r="642" spans="1:34" s="84" customFormat="1">
      <c r="A642" s="39" t="s">
        <v>942</v>
      </c>
      <c r="B642" s="46" t="s">
        <v>271</v>
      </c>
      <c r="C642" s="39" t="s">
        <v>930</v>
      </c>
      <c r="D642" s="102">
        <v>918436287</v>
      </c>
      <c r="E642" s="102">
        <v>2528238755</v>
      </c>
      <c r="F642" s="39" t="s">
        <v>247</v>
      </c>
      <c r="G642" s="81">
        <f>32647+(364+182)</f>
        <v>33193</v>
      </c>
      <c r="H642" s="50" t="str">
        <f t="shared" si="27"/>
        <v>Nov</v>
      </c>
      <c r="I642" s="51">
        <f t="shared" ca="1" si="28"/>
        <v>25</v>
      </c>
      <c r="J642" s="52"/>
      <c r="K642" s="53">
        <v>63610</v>
      </c>
      <c r="L642" s="54">
        <v>5</v>
      </c>
      <c r="M642" s="59">
        <f t="shared" si="29"/>
        <v>63610</v>
      </c>
      <c r="N642" s="100"/>
      <c r="O642" s="45"/>
      <c r="P642" s="39"/>
      <c r="Q642" s="39"/>
      <c r="R642" s="39"/>
      <c r="S642" s="39"/>
      <c r="T642" s="39"/>
      <c r="U642" s="39"/>
      <c r="V642" s="39"/>
      <c r="W642" s="39"/>
      <c r="X642" s="39"/>
      <c r="Y642" s="39"/>
      <c r="Z642" s="39"/>
      <c r="AA642" s="39"/>
      <c r="AB642" s="39"/>
      <c r="AC642" s="39"/>
      <c r="AD642" s="39"/>
      <c r="AE642" s="39"/>
      <c r="AF642" s="39"/>
      <c r="AG642" s="39"/>
      <c r="AH642" s="39"/>
    </row>
    <row r="643" spans="1:34" s="84" customFormat="1">
      <c r="A643" s="39" t="s">
        <v>904</v>
      </c>
      <c r="B643" s="46" t="s">
        <v>266</v>
      </c>
      <c r="C643" s="39" t="s">
        <v>856</v>
      </c>
      <c r="D643" s="102">
        <v>781472289</v>
      </c>
      <c r="E643" s="102">
        <v>2528502926</v>
      </c>
      <c r="F643" s="39" t="s">
        <v>256</v>
      </c>
      <c r="G643" s="81">
        <f>33002+(364+182)</f>
        <v>33548</v>
      </c>
      <c r="H643" s="50" t="str">
        <f t="shared" ref="H643:H706" si="30">CHOOSE(MONTH(G643),"Jan","Feb","Mar","Apr","May","Jun","Jul","Aug","Sep","Oct","Nov","Dec")</f>
        <v>Nov</v>
      </c>
      <c r="I643" s="51">
        <f t="shared" ref="I643:I706" ca="1" si="31">DATEDIF(G643,TODAY(),"Y")</f>
        <v>25</v>
      </c>
      <c r="J643" s="52" t="s">
        <v>283</v>
      </c>
      <c r="K643" s="53">
        <v>63050</v>
      </c>
      <c r="L643" s="54">
        <v>3</v>
      </c>
      <c r="M643" s="59">
        <f t="shared" ref="M643:M706" si="32">ROUND(K643*P641+K643,0)</f>
        <v>63050</v>
      </c>
      <c r="N643" s="100"/>
      <c r="O643" s="45"/>
      <c r="P643" s="39"/>
      <c r="Q643" s="39"/>
      <c r="R643" s="39"/>
      <c r="S643" s="39"/>
      <c r="T643" s="39"/>
      <c r="U643" s="39"/>
      <c r="V643" s="39"/>
      <c r="W643" s="39"/>
      <c r="X643" s="39"/>
      <c r="Y643" s="39"/>
      <c r="Z643" s="39"/>
      <c r="AA643" s="39"/>
      <c r="AB643" s="39"/>
      <c r="AC643" s="39"/>
      <c r="AD643" s="39"/>
      <c r="AE643" s="39"/>
      <c r="AF643" s="39"/>
      <c r="AG643" s="39"/>
      <c r="AH643" s="39"/>
    </row>
    <row r="644" spans="1:34" s="84" customFormat="1">
      <c r="A644" s="39" t="s">
        <v>305</v>
      </c>
      <c r="B644" s="46" t="s">
        <v>245</v>
      </c>
      <c r="C644" s="39" t="s">
        <v>296</v>
      </c>
      <c r="D644" s="102">
        <v>963028490</v>
      </c>
      <c r="E644" s="102">
        <v>2524383168</v>
      </c>
      <c r="F644" s="39" t="s">
        <v>256</v>
      </c>
      <c r="G644" s="81">
        <f>33005+(364+182)</f>
        <v>33551</v>
      </c>
      <c r="H644" s="50" t="str">
        <f t="shared" si="30"/>
        <v>Nov</v>
      </c>
      <c r="I644" s="51">
        <f t="shared" ca="1" si="31"/>
        <v>25</v>
      </c>
      <c r="J644" s="52" t="s">
        <v>262</v>
      </c>
      <c r="K644" s="53">
        <v>41350</v>
      </c>
      <c r="L644" s="54">
        <v>2</v>
      </c>
      <c r="M644" s="59">
        <f t="shared" si="32"/>
        <v>41350</v>
      </c>
      <c r="N644" s="100"/>
      <c r="O644" s="45"/>
      <c r="P644" s="39"/>
      <c r="Q644" s="39"/>
      <c r="R644" s="39"/>
      <c r="S644" s="39"/>
      <c r="T644" s="39"/>
      <c r="U644" s="39"/>
      <c r="V644" s="39"/>
      <c r="W644" s="39"/>
      <c r="X644" s="39"/>
      <c r="Y644" s="39"/>
      <c r="Z644" s="39"/>
      <c r="AA644" s="39"/>
      <c r="AB644" s="39"/>
      <c r="AC644" s="39"/>
      <c r="AD644" s="39"/>
      <c r="AE644" s="39"/>
      <c r="AF644" s="39"/>
      <c r="AG644" s="39"/>
      <c r="AH644" s="39"/>
    </row>
    <row r="645" spans="1:34" s="84" customFormat="1">
      <c r="A645" s="39" t="s">
        <v>968</v>
      </c>
      <c r="B645" s="46" t="s">
        <v>285</v>
      </c>
      <c r="C645" s="39" t="s">
        <v>930</v>
      </c>
      <c r="D645" s="102">
        <v>144722757</v>
      </c>
      <c r="E645" s="102">
        <v>9196060038</v>
      </c>
      <c r="F645" s="39" t="s">
        <v>247</v>
      </c>
      <c r="G645" s="81">
        <f>33016+(364+182)</f>
        <v>33562</v>
      </c>
      <c r="H645" s="50" t="str">
        <f t="shared" si="30"/>
        <v>Nov</v>
      </c>
      <c r="I645" s="51">
        <f t="shared" ca="1" si="31"/>
        <v>24</v>
      </c>
      <c r="J645" s="52"/>
      <c r="K645" s="53">
        <v>57500</v>
      </c>
      <c r="L645" s="54">
        <v>1</v>
      </c>
      <c r="M645" s="59">
        <f t="shared" si="32"/>
        <v>57500</v>
      </c>
      <c r="N645" s="100"/>
      <c r="O645" s="45"/>
      <c r="P645" s="39"/>
      <c r="Q645" s="39"/>
      <c r="R645" s="39"/>
      <c r="S645" s="39"/>
      <c r="T645" s="39"/>
      <c r="U645" s="39"/>
      <c r="V645" s="39"/>
      <c r="W645" s="39"/>
      <c r="X645" s="39"/>
      <c r="Y645" s="39"/>
      <c r="Z645" s="39"/>
      <c r="AA645" s="39"/>
      <c r="AB645" s="39"/>
      <c r="AC645" s="39"/>
      <c r="AD645" s="39"/>
      <c r="AE645" s="39"/>
      <c r="AF645" s="39"/>
      <c r="AG645" s="39"/>
      <c r="AH645" s="39"/>
    </row>
    <row r="646" spans="1:34" s="84" customFormat="1">
      <c r="A646" s="39" t="s">
        <v>908</v>
      </c>
      <c r="B646" s="46" t="s">
        <v>285</v>
      </c>
      <c r="C646" s="39" t="s">
        <v>856</v>
      </c>
      <c r="D646" s="102">
        <v>195772503</v>
      </c>
      <c r="E646" s="102">
        <v>9193123940</v>
      </c>
      <c r="F646" s="39" t="s">
        <v>247</v>
      </c>
      <c r="G646" s="81">
        <f>33368+(364+182)</f>
        <v>33914</v>
      </c>
      <c r="H646" s="50" t="str">
        <f t="shared" si="30"/>
        <v>Nov</v>
      </c>
      <c r="I646" s="51">
        <f t="shared" ca="1" si="31"/>
        <v>24</v>
      </c>
      <c r="J646" s="52"/>
      <c r="K646" s="53">
        <v>55690</v>
      </c>
      <c r="L646" s="54">
        <v>2</v>
      </c>
      <c r="M646" s="59">
        <f t="shared" si="32"/>
        <v>55690</v>
      </c>
      <c r="N646" s="100"/>
      <c r="O646" s="45"/>
      <c r="P646" s="39"/>
      <c r="Q646" s="39"/>
      <c r="R646" s="39"/>
      <c r="S646" s="39"/>
      <c r="T646" s="39"/>
      <c r="U646" s="39"/>
      <c r="V646" s="39"/>
      <c r="W646" s="39"/>
      <c r="X646" s="39"/>
      <c r="Y646" s="39"/>
      <c r="Z646" s="39"/>
      <c r="AA646" s="39"/>
      <c r="AB646" s="39"/>
      <c r="AC646" s="39"/>
      <c r="AD646" s="39"/>
      <c r="AE646" s="39"/>
      <c r="AF646" s="39"/>
      <c r="AG646" s="39"/>
      <c r="AH646" s="39"/>
    </row>
    <row r="647" spans="1:34" s="84" customFormat="1">
      <c r="A647" s="39" t="s">
        <v>1003</v>
      </c>
      <c r="B647" s="46" t="s">
        <v>266</v>
      </c>
      <c r="C647" s="39" t="s">
        <v>930</v>
      </c>
      <c r="D647" s="102">
        <v>616055292</v>
      </c>
      <c r="E647" s="102">
        <v>9192913490</v>
      </c>
      <c r="F647" s="39" t="s">
        <v>256</v>
      </c>
      <c r="G647" s="81">
        <f>33375+(364+182)</f>
        <v>33921</v>
      </c>
      <c r="H647" s="50" t="str">
        <f t="shared" si="30"/>
        <v>Nov</v>
      </c>
      <c r="I647" s="51">
        <f t="shared" ca="1" si="31"/>
        <v>23</v>
      </c>
      <c r="J647" s="52" t="s">
        <v>267</v>
      </c>
      <c r="K647" s="53">
        <v>32160</v>
      </c>
      <c r="L647" s="54">
        <v>3</v>
      </c>
      <c r="M647" s="59">
        <f t="shared" si="32"/>
        <v>32160</v>
      </c>
      <c r="N647" s="100"/>
      <c r="O647" s="45"/>
      <c r="P647" s="39"/>
      <c r="Q647" s="39"/>
      <c r="R647" s="39"/>
      <c r="S647" s="39"/>
      <c r="T647" s="39"/>
      <c r="U647" s="39"/>
      <c r="V647" s="39"/>
      <c r="W647" s="39"/>
      <c r="X647" s="39"/>
      <c r="Y647" s="39"/>
      <c r="Z647" s="39"/>
      <c r="AA647" s="39"/>
      <c r="AB647" s="39"/>
      <c r="AC647" s="39"/>
      <c r="AD647" s="39"/>
      <c r="AE647" s="39"/>
      <c r="AF647" s="39"/>
      <c r="AG647" s="39"/>
      <c r="AH647" s="39"/>
    </row>
    <row r="648" spans="1:34" s="84" customFormat="1">
      <c r="A648" s="39" t="s">
        <v>434</v>
      </c>
      <c r="B648" s="46" t="s">
        <v>251</v>
      </c>
      <c r="C648" s="39" t="s">
        <v>417</v>
      </c>
      <c r="D648" s="102">
        <v>993867417</v>
      </c>
      <c r="E648" s="102">
        <v>2522338778</v>
      </c>
      <c r="F648" s="39" t="s">
        <v>256</v>
      </c>
      <c r="G648" s="81">
        <f>33377+(364+182)</f>
        <v>33923</v>
      </c>
      <c r="H648" s="50" t="str">
        <f t="shared" si="30"/>
        <v>Nov</v>
      </c>
      <c r="I648" s="51">
        <f t="shared" ca="1" si="31"/>
        <v>23</v>
      </c>
      <c r="J648" s="52" t="s">
        <v>283</v>
      </c>
      <c r="K648" s="53">
        <v>46340</v>
      </c>
      <c r="L648" s="54">
        <v>5</v>
      </c>
      <c r="M648" s="59">
        <f t="shared" si="32"/>
        <v>46340</v>
      </c>
      <c r="N648" s="100"/>
      <c r="O648" s="45"/>
      <c r="P648" s="39"/>
      <c r="Q648" s="39"/>
      <c r="R648" s="39"/>
      <c r="S648" s="39"/>
      <c r="T648" s="39"/>
      <c r="U648" s="39"/>
      <c r="V648" s="39"/>
      <c r="W648" s="39"/>
      <c r="X648" s="39"/>
      <c r="Y648" s="39"/>
      <c r="Z648" s="39"/>
      <c r="AA648" s="39"/>
      <c r="AB648" s="39"/>
      <c r="AC648" s="39"/>
      <c r="AD648" s="39"/>
      <c r="AE648" s="39"/>
      <c r="AF648" s="39"/>
      <c r="AG648" s="39"/>
      <c r="AH648" s="39"/>
    </row>
    <row r="649" spans="1:34" s="84" customFormat="1">
      <c r="A649" s="39" t="s">
        <v>744</v>
      </c>
      <c r="B649" s="46" t="s">
        <v>285</v>
      </c>
      <c r="C649" s="39" t="s">
        <v>705</v>
      </c>
      <c r="D649" s="102">
        <v>881242432</v>
      </c>
      <c r="E649" s="102">
        <v>9193957018</v>
      </c>
      <c r="F649" s="39" t="s">
        <v>256</v>
      </c>
      <c r="G649" s="81">
        <f>33382+(364+182)</f>
        <v>33928</v>
      </c>
      <c r="H649" s="50" t="str">
        <f t="shared" si="30"/>
        <v>Nov</v>
      </c>
      <c r="I649" s="51">
        <f t="shared" ca="1" si="31"/>
        <v>23</v>
      </c>
      <c r="J649" s="52" t="s">
        <v>262</v>
      </c>
      <c r="K649" s="53">
        <v>68010</v>
      </c>
      <c r="L649" s="54">
        <v>1</v>
      </c>
      <c r="M649" s="59">
        <f t="shared" si="32"/>
        <v>68010</v>
      </c>
      <c r="N649" s="100"/>
      <c r="O649" s="45"/>
      <c r="P649" s="39"/>
      <c r="Q649" s="39"/>
      <c r="R649" s="39"/>
      <c r="S649" s="39"/>
      <c r="T649" s="39"/>
      <c r="U649" s="39"/>
      <c r="V649" s="39"/>
      <c r="W649" s="39"/>
      <c r="X649" s="39"/>
      <c r="Y649" s="39"/>
      <c r="Z649" s="39"/>
      <c r="AA649" s="39"/>
      <c r="AB649" s="39"/>
      <c r="AC649" s="39"/>
      <c r="AD649" s="39"/>
      <c r="AE649" s="39"/>
      <c r="AF649" s="39"/>
      <c r="AG649" s="39"/>
      <c r="AH649" s="39"/>
    </row>
    <row r="650" spans="1:34" s="84" customFormat="1">
      <c r="A650" s="39" t="s">
        <v>928</v>
      </c>
      <c r="B650" s="46" t="s">
        <v>271</v>
      </c>
      <c r="C650" s="39" t="s">
        <v>856</v>
      </c>
      <c r="D650" s="102">
        <v>272659955</v>
      </c>
      <c r="E650" s="102">
        <v>9194127875</v>
      </c>
      <c r="F650" s="39" t="s">
        <v>256</v>
      </c>
      <c r="G650" s="81">
        <f>33739+(364+182)</f>
        <v>34285</v>
      </c>
      <c r="H650" s="50" t="str">
        <f t="shared" si="30"/>
        <v>Nov</v>
      </c>
      <c r="I650" s="51">
        <f t="shared" ca="1" si="31"/>
        <v>22</v>
      </c>
      <c r="J650" s="52" t="s">
        <v>267</v>
      </c>
      <c r="K650" s="53">
        <v>48490</v>
      </c>
      <c r="L650" s="54">
        <v>2</v>
      </c>
      <c r="M650" s="59">
        <f t="shared" si="32"/>
        <v>48490</v>
      </c>
      <c r="N650" s="100"/>
      <c r="O650" s="45"/>
      <c r="P650" s="39"/>
      <c r="Q650" s="39"/>
      <c r="R650" s="39"/>
      <c r="S650" s="39"/>
      <c r="T650" s="39"/>
      <c r="U650" s="39"/>
      <c r="V650" s="39"/>
      <c r="W650" s="39"/>
      <c r="X650" s="39"/>
      <c r="Y650" s="39"/>
      <c r="Z650" s="39"/>
      <c r="AA650" s="39"/>
      <c r="AB650" s="39"/>
      <c r="AC650" s="39"/>
      <c r="AD650" s="39"/>
      <c r="AE650" s="39"/>
      <c r="AF650" s="39"/>
      <c r="AG650" s="39"/>
      <c r="AH650" s="39"/>
    </row>
    <row r="651" spans="1:34" s="84" customFormat="1">
      <c r="A651" s="39" t="s">
        <v>1006</v>
      </c>
      <c r="B651" s="46" t="s">
        <v>285</v>
      </c>
      <c r="C651" s="39" t="s">
        <v>930</v>
      </c>
      <c r="D651" s="102">
        <v>892040187</v>
      </c>
      <c r="E651" s="102">
        <v>2524877123</v>
      </c>
      <c r="F651" s="39" t="s">
        <v>256</v>
      </c>
      <c r="G651" s="81">
        <f>33740+(364+182)</f>
        <v>34286</v>
      </c>
      <c r="H651" s="50" t="str">
        <f t="shared" si="30"/>
        <v>Nov</v>
      </c>
      <c r="I651" s="51">
        <f t="shared" ca="1" si="31"/>
        <v>22</v>
      </c>
      <c r="J651" s="52" t="s">
        <v>283</v>
      </c>
      <c r="K651" s="53">
        <v>87220</v>
      </c>
      <c r="L651" s="54">
        <v>1</v>
      </c>
      <c r="M651" s="59">
        <f t="shared" si="32"/>
        <v>87220</v>
      </c>
      <c r="N651" s="100"/>
      <c r="O651" s="45"/>
      <c r="P651" s="39"/>
      <c r="Q651" s="39"/>
      <c r="R651" s="39"/>
      <c r="S651" s="39"/>
      <c r="T651" s="39"/>
      <c r="U651" s="39"/>
      <c r="V651" s="39"/>
      <c r="W651" s="39"/>
      <c r="X651" s="39"/>
      <c r="Y651" s="39"/>
      <c r="Z651" s="39"/>
      <c r="AA651" s="39"/>
      <c r="AB651" s="39"/>
      <c r="AC651" s="39"/>
      <c r="AD651" s="39"/>
      <c r="AE651" s="39"/>
      <c r="AF651" s="39"/>
      <c r="AG651" s="39"/>
      <c r="AH651" s="39"/>
    </row>
    <row r="652" spans="1:34" s="84" customFormat="1">
      <c r="A652" s="39" t="s">
        <v>304</v>
      </c>
      <c r="B652" s="46" t="s">
        <v>285</v>
      </c>
      <c r="C652" s="39" t="s">
        <v>296</v>
      </c>
      <c r="D652" s="102">
        <v>237359447</v>
      </c>
      <c r="E652" s="102">
        <v>9195882405</v>
      </c>
      <c r="F652" s="39" t="s">
        <v>256</v>
      </c>
      <c r="G652" s="81">
        <f>33755+(364+182)</f>
        <v>34301</v>
      </c>
      <c r="H652" s="50" t="str">
        <f t="shared" si="30"/>
        <v>Nov</v>
      </c>
      <c r="I652" s="51">
        <f t="shared" ca="1" si="31"/>
        <v>22</v>
      </c>
      <c r="J652" s="52" t="s">
        <v>257</v>
      </c>
      <c r="K652" s="53">
        <v>73440</v>
      </c>
      <c r="L652" s="54">
        <v>1</v>
      </c>
      <c r="M652" s="59">
        <f t="shared" si="32"/>
        <v>73440</v>
      </c>
      <c r="N652" s="100"/>
      <c r="O652" s="45"/>
      <c r="P652" s="39"/>
      <c r="Q652" s="39"/>
      <c r="R652" s="39"/>
      <c r="S652" s="39"/>
      <c r="T652" s="39"/>
      <c r="U652" s="39"/>
      <c r="V652" s="39"/>
      <c r="W652" s="39"/>
      <c r="X652" s="39"/>
      <c r="Y652" s="39"/>
      <c r="Z652" s="39"/>
      <c r="AA652" s="39"/>
      <c r="AB652" s="39"/>
      <c r="AC652" s="39"/>
      <c r="AD652" s="39"/>
      <c r="AE652" s="39"/>
      <c r="AF652" s="39"/>
      <c r="AG652" s="39"/>
      <c r="AH652" s="39"/>
    </row>
    <row r="653" spans="1:34" s="84" customFormat="1">
      <c r="A653" s="39" t="s">
        <v>370</v>
      </c>
      <c r="B653" s="46" t="s">
        <v>285</v>
      </c>
      <c r="C653" s="39" t="s">
        <v>312</v>
      </c>
      <c r="D653" s="102">
        <v>644862142</v>
      </c>
      <c r="E653" s="102">
        <v>9193274978</v>
      </c>
      <c r="F653" s="39" t="s">
        <v>247</v>
      </c>
      <c r="G653" s="81">
        <f>34105+(364+182)</f>
        <v>34651</v>
      </c>
      <c r="H653" s="50" t="str">
        <f t="shared" si="30"/>
        <v>Nov</v>
      </c>
      <c r="I653" s="51">
        <f t="shared" ca="1" si="31"/>
        <v>21</v>
      </c>
      <c r="J653" s="52"/>
      <c r="K653" s="53">
        <v>46670</v>
      </c>
      <c r="L653" s="54">
        <v>3</v>
      </c>
      <c r="M653" s="59">
        <f t="shared" si="32"/>
        <v>46670</v>
      </c>
      <c r="N653" s="100"/>
      <c r="O653" s="45"/>
      <c r="P653" s="39"/>
      <c r="Q653" s="39"/>
      <c r="R653" s="39"/>
      <c r="S653" s="39"/>
      <c r="T653" s="39"/>
      <c r="U653" s="39"/>
      <c r="V653" s="39"/>
      <c r="W653" s="39"/>
      <c r="X653" s="39"/>
      <c r="Y653" s="39"/>
      <c r="Z653" s="39"/>
      <c r="AA653" s="39"/>
      <c r="AB653" s="39"/>
      <c r="AC653" s="39"/>
      <c r="AD653" s="39"/>
      <c r="AE653" s="39"/>
      <c r="AF653" s="39"/>
      <c r="AG653" s="39"/>
      <c r="AH653" s="39"/>
    </row>
    <row r="654" spans="1:34" s="84" customFormat="1">
      <c r="A654" s="39" t="s">
        <v>810</v>
      </c>
      <c r="B654" s="46" t="s">
        <v>285</v>
      </c>
      <c r="C654" s="39" t="s">
        <v>767</v>
      </c>
      <c r="D654" s="102">
        <v>933883118</v>
      </c>
      <c r="E654" s="102">
        <v>2523294956</v>
      </c>
      <c r="F654" s="39" t="s">
        <v>247</v>
      </c>
      <c r="G654" s="81">
        <f>34112+(364+182)</f>
        <v>34658</v>
      </c>
      <c r="H654" s="50" t="str">
        <f t="shared" si="30"/>
        <v>Nov</v>
      </c>
      <c r="I654" s="51">
        <f t="shared" ca="1" si="31"/>
        <v>21</v>
      </c>
      <c r="J654" s="52"/>
      <c r="K654" s="53">
        <v>85980</v>
      </c>
      <c r="L654" s="54">
        <v>2</v>
      </c>
      <c r="M654" s="59">
        <f t="shared" si="32"/>
        <v>85980</v>
      </c>
      <c r="N654" s="100"/>
      <c r="O654" s="45"/>
      <c r="P654" s="39"/>
      <c r="Q654" s="39"/>
      <c r="R654" s="39"/>
      <c r="S654" s="39"/>
      <c r="T654" s="39"/>
      <c r="U654" s="39"/>
      <c r="V654" s="39"/>
      <c r="W654" s="39"/>
      <c r="X654" s="39"/>
      <c r="Y654" s="39"/>
      <c r="Z654" s="39"/>
      <c r="AA654" s="39"/>
      <c r="AB654" s="39"/>
      <c r="AC654" s="39"/>
      <c r="AD654" s="39"/>
      <c r="AE654" s="39"/>
      <c r="AF654" s="39"/>
      <c r="AG654" s="39"/>
      <c r="AH654" s="39"/>
    </row>
    <row r="655" spans="1:34" s="84" customFormat="1">
      <c r="A655" s="39" t="s">
        <v>611</v>
      </c>
      <c r="B655" s="46" t="s">
        <v>245</v>
      </c>
      <c r="C655" s="39" t="s">
        <v>465</v>
      </c>
      <c r="D655" s="102">
        <v>566726453</v>
      </c>
      <c r="E655" s="102">
        <v>9192168237</v>
      </c>
      <c r="F655" s="39" t="s">
        <v>256</v>
      </c>
      <c r="G655" s="81">
        <f>34474+(364+182)</f>
        <v>35020</v>
      </c>
      <c r="H655" s="50" t="str">
        <f t="shared" si="30"/>
        <v>Nov</v>
      </c>
      <c r="I655" s="51">
        <f t="shared" ca="1" si="31"/>
        <v>20</v>
      </c>
      <c r="J655" s="52" t="s">
        <v>262</v>
      </c>
      <c r="K655" s="53">
        <v>38940</v>
      </c>
      <c r="L655" s="54">
        <v>2</v>
      </c>
      <c r="M655" s="59">
        <f t="shared" si="32"/>
        <v>38940</v>
      </c>
      <c r="N655" s="100"/>
      <c r="O655" s="45"/>
      <c r="P655" s="39"/>
      <c r="Q655" s="39"/>
      <c r="R655" s="39"/>
      <c r="S655" s="39"/>
      <c r="T655" s="39"/>
      <c r="U655" s="39"/>
      <c r="V655" s="39"/>
      <c r="W655" s="39"/>
      <c r="X655" s="39"/>
      <c r="Y655" s="39"/>
      <c r="Z655" s="39"/>
      <c r="AA655" s="39"/>
      <c r="AB655" s="39"/>
      <c r="AC655" s="39"/>
      <c r="AD655" s="39"/>
      <c r="AE655" s="39"/>
      <c r="AF655" s="39"/>
      <c r="AG655" s="39"/>
      <c r="AH655" s="39"/>
    </row>
    <row r="656" spans="1:34" s="84" customFormat="1">
      <c r="A656" s="39" t="s">
        <v>495</v>
      </c>
      <c r="B656" s="46" t="s">
        <v>285</v>
      </c>
      <c r="C656" s="39" t="s">
        <v>465</v>
      </c>
      <c r="D656" s="102">
        <v>561737107</v>
      </c>
      <c r="E656" s="102">
        <v>9198294156</v>
      </c>
      <c r="F656" s="39" t="s">
        <v>256</v>
      </c>
      <c r="G656" s="81">
        <f>34478+(364+182)</f>
        <v>35024</v>
      </c>
      <c r="H656" s="50" t="str">
        <f t="shared" si="30"/>
        <v>Nov</v>
      </c>
      <c r="I656" s="51">
        <f t="shared" ca="1" si="31"/>
        <v>20</v>
      </c>
      <c r="J656" s="52" t="s">
        <v>283</v>
      </c>
      <c r="K656" s="53">
        <v>73072</v>
      </c>
      <c r="L656" s="54">
        <v>5</v>
      </c>
      <c r="M656" s="59">
        <f t="shared" si="32"/>
        <v>73072</v>
      </c>
      <c r="N656" s="100"/>
      <c r="O656" s="45"/>
      <c r="P656" s="39"/>
      <c r="Q656" s="39"/>
      <c r="R656" s="39"/>
      <c r="S656" s="39"/>
      <c r="T656" s="39"/>
      <c r="U656" s="39"/>
      <c r="V656" s="39"/>
      <c r="W656" s="39"/>
      <c r="X656" s="39"/>
      <c r="Y656" s="39"/>
      <c r="Z656" s="39"/>
      <c r="AA656" s="39"/>
      <c r="AB656" s="39"/>
      <c r="AC656" s="39"/>
      <c r="AD656" s="39"/>
      <c r="AE656" s="39"/>
      <c r="AF656" s="39"/>
      <c r="AG656" s="39"/>
      <c r="AH656" s="39"/>
    </row>
    <row r="657" spans="1:34" s="84" customFormat="1">
      <c r="A657" s="39" t="s">
        <v>890</v>
      </c>
      <c r="B657" s="46" t="s">
        <v>271</v>
      </c>
      <c r="C657" s="39" t="s">
        <v>856</v>
      </c>
      <c r="D657" s="102">
        <v>277925508</v>
      </c>
      <c r="E657" s="102">
        <v>2526584511</v>
      </c>
      <c r="F657" s="39" t="s">
        <v>256</v>
      </c>
      <c r="G657" s="81">
        <f>34827+(364+182)</f>
        <v>35373</v>
      </c>
      <c r="H657" s="50" t="str">
        <f t="shared" si="30"/>
        <v>Nov</v>
      </c>
      <c r="I657" s="51">
        <f t="shared" ca="1" si="31"/>
        <v>20</v>
      </c>
      <c r="J657" s="52" t="s">
        <v>283</v>
      </c>
      <c r="K657" s="53">
        <v>66440</v>
      </c>
      <c r="L657" s="54">
        <v>3</v>
      </c>
      <c r="M657" s="59">
        <f t="shared" si="32"/>
        <v>66440</v>
      </c>
      <c r="N657" s="100"/>
      <c r="O657" s="45"/>
      <c r="P657" s="39"/>
      <c r="Q657" s="39"/>
      <c r="R657" s="39"/>
      <c r="S657" s="39"/>
      <c r="T657" s="39"/>
      <c r="U657" s="39"/>
      <c r="V657" s="39"/>
      <c r="W657" s="39"/>
      <c r="X657" s="39"/>
      <c r="Y657" s="39"/>
      <c r="Z657" s="39"/>
      <c r="AA657" s="39"/>
      <c r="AB657" s="39"/>
      <c r="AC657" s="39"/>
      <c r="AD657" s="39"/>
      <c r="AE657" s="39"/>
      <c r="AF657" s="39"/>
      <c r="AG657" s="39"/>
      <c r="AH657" s="39"/>
    </row>
    <row r="658" spans="1:34">
      <c r="A658" s="39" t="s">
        <v>570</v>
      </c>
      <c r="B658" s="46" t="s">
        <v>271</v>
      </c>
      <c r="C658" s="39" t="s">
        <v>465</v>
      </c>
      <c r="D658" s="102">
        <v>687006783</v>
      </c>
      <c r="E658" s="102">
        <v>2524919418</v>
      </c>
      <c r="F658" s="39" t="s">
        <v>247</v>
      </c>
      <c r="G658" s="81">
        <f>34833+(364+182)</f>
        <v>35379</v>
      </c>
      <c r="H658" s="50" t="str">
        <f t="shared" si="30"/>
        <v>Nov</v>
      </c>
      <c r="I658" s="51">
        <f t="shared" ca="1" si="31"/>
        <v>20</v>
      </c>
      <c r="J658" s="52"/>
      <c r="K658" s="53">
        <v>66010</v>
      </c>
      <c r="L658" s="54">
        <v>2</v>
      </c>
      <c r="M658" s="59">
        <f t="shared" si="32"/>
        <v>66010</v>
      </c>
    </row>
    <row r="659" spans="1:34">
      <c r="A659" s="39" t="s">
        <v>748</v>
      </c>
      <c r="B659" s="46" t="s">
        <v>285</v>
      </c>
      <c r="C659" s="39" t="s">
        <v>705</v>
      </c>
      <c r="D659" s="102">
        <v>824046378</v>
      </c>
      <c r="E659" s="102">
        <v>9196335284</v>
      </c>
      <c r="F659" s="39" t="s">
        <v>256</v>
      </c>
      <c r="G659" s="81">
        <f>34833+(364+182)</f>
        <v>35379</v>
      </c>
      <c r="H659" s="50" t="str">
        <f t="shared" si="30"/>
        <v>Nov</v>
      </c>
      <c r="I659" s="51">
        <f t="shared" ca="1" si="31"/>
        <v>20</v>
      </c>
      <c r="J659" s="52" t="s">
        <v>276</v>
      </c>
      <c r="K659" s="53">
        <v>67230</v>
      </c>
      <c r="L659" s="54">
        <v>4</v>
      </c>
      <c r="M659" s="59">
        <f t="shared" si="32"/>
        <v>67230</v>
      </c>
    </row>
    <row r="660" spans="1:34">
      <c r="A660" s="39" t="s">
        <v>684</v>
      </c>
      <c r="B660" s="46" t="s">
        <v>271</v>
      </c>
      <c r="C660" s="39" t="s">
        <v>678</v>
      </c>
      <c r="D660" s="102">
        <v>788832967</v>
      </c>
      <c r="E660" s="102">
        <v>2521919147</v>
      </c>
      <c r="F660" s="39" t="s">
        <v>252</v>
      </c>
      <c r="G660" s="81">
        <f>34835+(364+182)</f>
        <v>35381</v>
      </c>
      <c r="H660" s="50" t="str">
        <f t="shared" si="30"/>
        <v>Nov</v>
      </c>
      <c r="I660" s="51">
        <f t="shared" ca="1" si="31"/>
        <v>19</v>
      </c>
      <c r="J660" s="52"/>
      <c r="K660" s="53">
        <v>35312</v>
      </c>
      <c r="L660" s="54">
        <v>3</v>
      </c>
      <c r="M660" s="59">
        <f t="shared" si="32"/>
        <v>35312</v>
      </c>
    </row>
    <row r="661" spans="1:34">
      <c r="A661" s="39" t="s">
        <v>310</v>
      </c>
      <c r="B661" s="46" t="s">
        <v>280</v>
      </c>
      <c r="C661" s="39" t="s">
        <v>307</v>
      </c>
      <c r="D661" s="102">
        <v>529609767</v>
      </c>
      <c r="E661" s="102">
        <v>2528006736</v>
      </c>
      <c r="F661" s="39" t="s">
        <v>247</v>
      </c>
      <c r="G661" s="81">
        <f>34849+(364+182)</f>
        <v>35395</v>
      </c>
      <c r="H661" s="50" t="str">
        <f t="shared" si="30"/>
        <v>Nov</v>
      </c>
      <c r="I661" s="51">
        <f t="shared" ca="1" si="31"/>
        <v>19</v>
      </c>
      <c r="J661" s="52"/>
      <c r="K661" s="53">
        <v>58130</v>
      </c>
      <c r="L661" s="54">
        <v>2</v>
      </c>
      <c r="M661" s="59">
        <f t="shared" si="32"/>
        <v>58130</v>
      </c>
    </row>
    <row r="662" spans="1:34">
      <c r="A662" s="39" t="s">
        <v>395</v>
      </c>
      <c r="B662" s="46" t="s">
        <v>271</v>
      </c>
      <c r="C662" s="39" t="s">
        <v>391</v>
      </c>
      <c r="D662" s="102">
        <v>197789466</v>
      </c>
      <c r="E662" s="102">
        <v>9191472895</v>
      </c>
      <c r="F662" s="39" t="s">
        <v>247</v>
      </c>
      <c r="G662" s="81">
        <f>35191+(364+182)</f>
        <v>35737</v>
      </c>
      <c r="H662" s="50" t="str">
        <f t="shared" si="30"/>
        <v>Nov</v>
      </c>
      <c r="I662" s="51">
        <f t="shared" ca="1" si="31"/>
        <v>19</v>
      </c>
      <c r="J662" s="52"/>
      <c r="K662" s="53">
        <v>76020</v>
      </c>
      <c r="L662" s="54">
        <v>1</v>
      </c>
      <c r="M662" s="59">
        <f t="shared" si="32"/>
        <v>76020</v>
      </c>
    </row>
    <row r="663" spans="1:34">
      <c r="A663" s="45" t="s">
        <v>282</v>
      </c>
      <c r="B663" s="46" t="s">
        <v>280</v>
      </c>
      <c r="C663" s="45" t="s">
        <v>272</v>
      </c>
      <c r="D663" s="106">
        <v>475256935</v>
      </c>
      <c r="E663" s="106">
        <v>2527852326</v>
      </c>
      <c r="F663" s="45" t="s">
        <v>256</v>
      </c>
      <c r="G663" s="105">
        <f>35196+(364+182)</f>
        <v>35742</v>
      </c>
      <c r="H663" s="50" t="str">
        <f t="shared" si="30"/>
        <v>Nov</v>
      </c>
      <c r="I663" s="51">
        <f t="shared" ca="1" si="31"/>
        <v>19</v>
      </c>
      <c r="J663" s="52" t="s">
        <v>283</v>
      </c>
      <c r="K663" s="53">
        <v>85300</v>
      </c>
      <c r="L663" s="54">
        <v>2</v>
      </c>
      <c r="M663" s="59">
        <f t="shared" si="32"/>
        <v>85300</v>
      </c>
      <c r="O663" s="104"/>
    </row>
    <row r="664" spans="1:34">
      <c r="A664" s="39" t="s">
        <v>568</v>
      </c>
      <c r="B664" s="46" t="s">
        <v>271</v>
      </c>
      <c r="C664" s="39" t="s">
        <v>465</v>
      </c>
      <c r="D664" s="102">
        <v>462995574</v>
      </c>
      <c r="E664" s="102">
        <v>2523431009</v>
      </c>
      <c r="F664" s="39" t="s">
        <v>256</v>
      </c>
      <c r="G664" s="81">
        <f>35555+(364+182)</f>
        <v>36101</v>
      </c>
      <c r="H664" s="50" t="str">
        <f t="shared" si="30"/>
        <v>Nov</v>
      </c>
      <c r="I664" s="51">
        <f t="shared" ca="1" si="31"/>
        <v>18</v>
      </c>
      <c r="J664" s="52" t="s">
        <v>257</v>
      </c>
      <c r="K664" s="53">
        <v>88240</v>
      </c>
      <c r="L664" s="54">
        <v>5</v>
      </c>
      <c r="M664" s="59">
        <f t="shared" si="32"/>
        <v>88240</v>
      </c>
    </row>
    <row r="665" spans="1:34">
      <c r="A665" s="39" t="s">
        <v>625</v>
      </c>
      <c r="B665" s="46" t="s">
        <v>285</v>
      </c>
      <c r="C665" s="39" t="s">
        <v>626</v>
      </c>
      <c r="D665" s="102">
        <v>567266382</v>
      </c>
      <c r="E665" s="102">
        <v>2521683770</v>
      </c>
      <c r="F665" s="39" t="s">
        <v>256</v>
      </c>
      <c r="G665" s="81">
        <f>35570+(364+182)</f>
        <v>36116</v>
      </c>
      <c r="H665" s="50" t="str">
        <f t="shared" si="30"/>
        <v>Nov</v>
      </c>
      <c r="I665" s="51">
        <f t="shared" ca="1" si="31"/>
        <v>17</v>
      </c>
      <c r="J665" s="52" t="s">
        <v>276</v>
      </c>
      <c r="K665" s="53">
        <v>49770</v>
      </c>
      <c r="L665" s="54">
        <v>1</v>
      </c>
      <c r="M665" s="59">
        <f t="shared" si="32"/>
        <v>49770</v>
      </c>
    </row>
    <row r="666" spans="1:34">
      <c r="A666" s="39" t="s">
        <v>647</v>
      </c>
      <c r="B666" s="46" t="s">
        <v>245</v>
      </c>
      <c r="C666" s="39" t="s">
        <v>626</v>
      </c>
      <c r="D666" s="102">
        <v>499124019</v>
      </c>
      <c r="E666" s="102">
        <v>9195978858</v>
      </c>
      <c r="F666" s="39" t="s">
        <v>261</v>
      </c>
      <c r="G666" s="81">
        <f>35575+(364+182)</f>
        <v>36121</v>
      </c>
      <c r="H666" s="50" t="str">
        <f t="shared" si="30"/>
        <v>Nov</v>
      </c>
      <c r="I666" s="51">
        <f t="shared" ca="1" si="31"/>
        <v>17</v>
      </c>
      <c r="J666" s="52" t="s">
        <v>283</v>
      </c>
      <c r="K666" s="53">
        <v>28880</v>
      </c>
      <c r="L666" s="54">
        <v>3</v>
      </c>
      <c r="M666" s="59">
        <f t="shared" si="32"/>
        <v>28880</v>
      </c>
    </row>
    <row r="667" spans="1:34">
      <c r="A667" s="39" t="s">
        <v>490</v>
      </c>
      <c r="B667" s="46" t="s">
        <v>245</v>
      </c>
      <c r="C667" s="39" t="s">
        <v>465</v>
      </c>
      <c r="D667" s="102">
        <v>354619285</v>
      </c>
      <c r="E667" s="102">
        <v>2526657361</v>
      </c>
      <c r="F667" s="39" t="s">
        <v>256</v>
      </c>
      <c r="G667" s="81">
        <f>35576+(364+182)</f>
        <v>36122</v>
      </c>
      <c r="H667" s="50" t="str">
        <f t="shared" si="30"/>
        <v>Nov</v>
      </c>
      <c r="I667" s="51">
        <f t="shared" ca="1" si="31"/>
        <v>17</v>
      </c>
      <c r="J667" s="52" t="s">
        <v>262</v>
      </c>
      <c r="K667" s="53">
        <v>22660</v>
      </c>
      <c r="L667" s="54">
        <v>2</v>
      </c>
      <c r="M667" s="59">
        <f t="shared" si="32"/>
        <v>22660</v>
      </c>
    </row>
    <row r="668" spans="1:34">
      <c r="A668" s="39" t="s">
        <v>685</v>
      </c>
      <c r="B668" s="46" t="s">
        <v>266</v>
      </c>
      <c r="C668" s="39" t="s">
        <v>678</v>
      </c>
      <c r="D668" s="102">
        <v>113377726</v>
      </c>
      <c r="E668" s="102">
        <v>9197494648</v>
      </c>
      <c r="F668" s="39" t="s">
        <v>256</v>
      </c>
      <c r="G668" s="81">
        <f>35920+(364+182)</f>
        <v>36466</v>
      </c>
      <c r="H668" s="50" t="str">
        <f t="shared" si="30"/>
        <v>Nov</v>
      </c>
      <c r="I668" s="51">
        <f t="shared" ca="1" si="31"/>
        <v>17</v>
      </c>
      <c r="J668" s="52" t="s">
        <v>283</v>
      </c>
      <c r="K668" s="53">
        <v>68410</v>
      </c>
      <c r="L668" s="54">
        <v>5</v>
      </c>
      <c r="M668" s="59">
        <f t="shared" si="32"/>
        <v>68410</v>
      </c>
    </row>
    <row r="669" spans="1:34">
      <c r="A669" s="39" t="s">
        <v>332</v>
      </c>
      <c r="B669" s="46" t="s">
        <v>245</v>
      </c>
      <c r="C669" s="39" t="s">
        <v>312</v>
      </c>
      <c r="D669" s="102">
        <v>393393249</v>
      </c>
      <c r="E669" s="102">
        <v>9194980674</v>
      </c>
      <c r="F669" s="39" t="s">
        <v>247</v>
      </c>
      <c r="G669" s="81">
        <f>35924+(364+182)</f>
        <v>36470</v>
      </c>
      <c r="H669" s="50" t="str">
        <f t="shared" si="30"/>
        <v>Nov</v>
      </c>
      <c r="I669" s="51">
        <f t="shared" ca="1" si="31"/>
        <v>17</v>
      </c>
      <c r="J669" s="52"/>
      <c r="K669" s="53">
        <v>23560</v>
      </c>
      <c r="L669" s="54">
        <v>3</v>
      </c>
      <c r="M669" s="59">
        <f t="shared" si="32"/>
        <v>23560</v>
      </c>
    </row>
    <row r="670" spans="1:34">
      <c r="A670" s="39" t="s">
        <v>873</v>
      </c>
      <c r="B670" s="46" t="s">
        <v>285</v>
      </c>
      <c r="C670" s="39" t="s">
        <v>856</v>
      </c>
      <c r="D670" s="102">
        <v>135633006</v>
      </c>
      <c r="E670" s="102">
        <v>2526732103</v>
      </c>
      <c r="F670" s="39" t="s">
        <v>247</v>
      </c>
      <c r="G670" s="81">
        <f>35933+(364+182)</f>
        <v>36479</v>
      </c>
      <c r="H670" s="50" t="str">
        <f t="shared" si="30"/>
        <v>Nov</v>
      </c>
      <c r="I670" s="51">
        <f t="shared" ca="1" si="31"/>
        <v>16</v>
      </c>
      <c r="J670" s="52"/>
      <c r="K670" s="53">
        <v>54840</v>
      </c>
      <c r="L670" s="54">
        <v>4</v>
      </c>
      <c r="M670" s="59">
        <f t="shared" si="32"/>
        <v>54840</v>
      </c>
    </row>
    <row r="671" spans="1:34">
      <c r="A671" s="39" t="s">
        <v>339</v>
      </c>
      <c r="B671" s="46" t="s">
        <v>245</v>
      </c>
      <c r="C671" s="39" t="s">
        <v>312</v>
      </c>
      <c r="D671" s="102">
        <v>822974734</v>
      </c>
      <c r="E671" s="102">
        <v>2524924736</v>
      </c>
      <c r="F671" s="39" t="s">
        <v>252</v>
      </c>
      <c r="G671" s="81">
        <f>35941+(364+182)</f>
        <v>36487</v>
      </c>
      <c r="H671" s="50" t="str">
        <f t="shared" si="30"/>
        <v>Nov</v>
      </c>
      <c r="I671" s="51">
        <f t="shared" ca="1" si="31"/>
        <v>16</v>
      </c>
      <c r="J671" s="52"/>
      <c r="K671" s="53">
        <v>33056</v>
      </c>
      <c r="L671" s="54">
        <v>5</v>
      </c>
      <c r="M671" s="59">
        <f t="shared" si="32"/>
        <v>33056</v>
      </c>
    </row>
    <row r="672" spans="1:34">
      <c r="A672" s="39" t="s">
        <v>955</v>
      </c>
      <c r="B672" s="46" t="s">
        <v>251</v>
      </c>
      <c r="C672" s="39" t="s">
        <v>930</v>
      </c>
      <c r="D672" s="102">
        <v>635240617</v>
      </c>
      <c r="E672" s="102">
        <v>9192259651</v>
      </c>
      <c r="F672" s="39" t="s">
        <v>256</v>
      </c>
      <c r="G672" s="81">
        <f>36297+(364+182)</f>
        <v>36843</v>
      </c>
      <c r="H672" s="50" t="str">
        <f t="shared" si="30"/>
        <v>Nov</v>
      </c>
      <c r="I672" s="51">
        <f t="shared" ca="1" si="31"/>
        <v>15</v>
      </c>
      <c r="J672" s="52" t="s">
        <v>283</v>
      </c>
      <c r="K672" s="53">
        <v>47630</v>
      </c>
      <c r="L672" s="54">
        <v>3</v>
      </c>
      <c r="M672" s="59">
        <f t="shared" si="32"/>
        <v>47630</v>
      </c>
    </row>
    <row r="673" spans="1:15">
      <c r="A673" s="39" t="s">
        <v>817</v>
      </c>
      <c r="B673" s="46" t="s">
        <v>285</v>
      </c>
      <c r="C673" s="39" t="s">
        <v>767</v>
      </c>
      <c r="D673" s="102">
        <v>569882669</v>
      </c>
      <c r="E673" s="102">
        <v>2523122083</v>
      </c>
      <c r="F673" s="39" t="s">
        <v>256</v>
      </c>
      <c r="G673" s="81">
        <f>37022+(364+182)</f>
        <v>37568</v>
      </c>
      <c r="H673" s="50" t="str">
        <f t="shared" si="30"/>
        <v>Nov</v>
      </c>
      <c r="I673" s="51">
        <f t="shared" ca="1" si="31"/>
        <v>14</v>
      </c>
      <c r="J673" s="52" t="s">
        <v>262</v>
      </c>
      <c r="K673" s="53">
        <v>45100</v>
      </c>
      <c r="L673" s="54">
        <v>2</v>
      </c>
      <c r="M673" s="59">
        <f t="shared" si="32"/>
        <v>45100</v>
      </c>
    </row>
    <row r="674" spans="1:15">
      <c r="A674" s="39" t="s">
        <v>528</v>
      </c>
      <c r="B674" s="46" t="s">
        <v>266</v>
      </c>
      <c r="C674" s="39" t="s">
        <v>465</v>
      </c>
      <c r="D674" s="102">
        <v>135965371</v>
      </c>
      <c r="E674" s="102">
        <v>9195592950</v>
      </c>
      <c r="F674" s="39" t="s">
        <v>256</v>
      </c>
      <c r="G674" s="81">
        <f>37390+(364+182)</f>
        <v>37936</v>
      </c>
      <c r="H674" s="50" t="str">
        <f t="shared" si="30"/>
        <v>Nov</v>
      </c>
      <c r="I674" s="51">
        <f t="shared" ca="1" si="31"/>
        <v>12</v>
      </c>
      <c r="J674" s="52" t="s">
        <v>283</v>
      </c>
      <c r="K674" s="53">
        <v>30920</v>
      </c>
      <c r="L674" s="54">
        <v>5</v>
      </c>
      <c r="M674" s="59">
        <f t="shared" si="32"/>
        <v>30920</v>
      </c>
    </row>
    <row r="675" spans="1:15">
      <c r="A675" s="39" t="s">
        <v>621</v>
      </c>
      <c r="B675" s="46" t="s">
        <v>285</v>
      </c>
      <c r="C675" s="39" t="s">
        <v>618</v>
      </c>
      <c r="D675" s="102">
        <v>214234804</v>
      </c>
      <c r="E675" s="102">
        <v>2528908079</v>
      </c>
      <c r="F675" s="39" t="s">
        <v>256</v>
      </c>
      <c r="G675" s="81">
        <f>37390+(364+182)</f>
        <v>37936</v>
      </c>
      <c r="H675" s="50" t="str">
        <f t="shared" si="30"/>
        <v>Nov</v>
      </c>
      <c r="I675" s="51">
        <f t="shared" ca="1" si="31"/>
        <v>12</v>
      </c>
      <c r="J675" s="52" t="s">
        <v>283</v>
      </c>
      <c r="K675" s="53">
        <v>53870</v>
      </c>
      <c r="L675" s="54">
        <v>2</v>
      </c>
      <c r="M675" s="59">
        <f t="shared" si="32"/>
        <v>53870</v>
      </c>
    </row>
    <row r="676" spans="1:15">
      <c r="A676" s="39" t="s">
        <v>503</v>
      </c>
      <c r="B676" s="46" t="s">
        <v>271</v>
      </c>
      <c r="C676" s="39" t="s">
        <v>465</v>
      </c>
      <c r="D676" s="102">
        <v>708108747</v>
      </c>
      <c r="E676" s="102">
        <v>9192520526</v>
      </c>
      <c r="F676" s="39" t="s">
        <v>256</v>
      </c>
      <c r="G676" s="81">
        <f>37397+(364+182)</f>
        <v>37943</v>
      </c>
      <c r="H676" s="50" t="str">
        <f t="shared" si="30"/>
        <v>Nov</v>
      </c>
      <c r="I676" s="51">
        <f t="shared" ca="1" si="31"/>
        <v>12</v>
      </c>
      <c r="J676" s="52" t="s">
        <v>257</v>
      </c>
      <c r="K676" s="53">
        <v>75176</v>
      </c>
      <c r="L676" s="54">
        <v>3</v>
      </c>
      <c r="M676" s="59">
        <f t="shared" si="32"/>
        <v>75176</v>
      </c>
    </row>
    <row r="677" spans="1:15">
      <c r="A677" s="39" t="s">
        <v>458</v>
      </c>
      <c r="B677" s="46" t="s">
        <v>285</v>
      </c>
      <c r="C677" s="39" t="s">
        <v>456</v>
      </c>
      <c r="D677" s="102">
        <v>771953685</v>
      </c>
      <c r="E677" s="102">
        <v>2526739978</v>
      </c>
      <c r="F677" s="39" t="s">
        <v>252</v>
      </c>
      <c r="G677" s="81">
        <f>37400+(364+182)</f>
        <v>37946</v>
      </c>
      <c r="H677" s="50" t="str">
        <f t="shared" si="30"/>
        <v>Nov</v>
      </c>
      <c r="I677" s="51">
        <f t="shared" ca="1" si="31"/>
        <v>12</v>
      </c>
      <c r="J677" s="52" t="s">
        <v>257</v>
      </c>
      <c r="K677" s="53">
        <v>85130</v>
      </c>
      <c r="L677" s="54">
        <v>5</v>
      </c>
      <c r="M677" s="59">
        <f t="shared" si="32"/>
        <v>85130</v>
      </c>
    </row>
    <row r="678" spans="1:15">
      <c r="A678" s="39" t="s">
        <v>508</v>
      </c>
      <c r="B678" s="46" t="s">
        <v>285</v>
      </c>
      <c r="C678" s="39" t="s">
        <v>465</v>
      </c>
      <c r="D678" s="102">
        <v>399060898</v>
      </c>
      <c r="E678" s="102">
        <v>9195197037</v>
      </c>
      <c r="F678" s="39" t="s">
        <v>247</v>
      </c>
      <c r="G678" s="81">
        <f>37775+(364+182)</f>
        <v>38321</v>
      </c>
      <c r="H678" s="50" t="str">
        <f t="shared" si="30"/>
        <v>Nov</v>
      </c>
      <c r="I678" s="51">
        <f t="shared" ca="1" si="31"/>
        <v>11</v>
      </c>
      <c r="J678" s="52"/>
      <c r="K678" s="53">
        <v>37980</v>
      </c>
      <c r="L678" s="54">
        <v>4</v>
      </c>
      <c r="M678" s="59">
        <f t="shared" si="32"/>
        <v>37980</v>
      </c>
    </row>
    <row r="679" spans="1:15">
      <c r="A679" s="39" t="s">
        <v>516</v>
      </c>
      <c r="B679" s="46" t="s">
        <v>266</v>
      </c>
      <c r="C679" s="39" t="s">
        <v>465</v>
      </c>
      <c r="D679" s="102">
        <v>590896401</v>
      </c>
      <c r="E679" s="102">
        <v>2523122603</v>
      </c>
      <c r="F679" s="39" t="s">
        <v>256</v>
      </c>
      <c r="G679" s="81">
        <f>37775+(364+182)</f>
        <v>38321</v>
      </c>
      <c r="H679" s="50" t="str">
        <f t="shared" si="30"/>
        <v>Nov</v>
      </c>
      <c r="I679" s="51">
        <f t="shared" ca="1" si="31"/>
        <v>11</v>
      </c>
      <c r="J679" s="52" t="s">
        <v>262</v>
      </c>
      <c r="K679" s="53">
        <v>70760</v>
      </c>
      <c r="L679" s="54">
        <v>1</v>
      </c>
      <c r="M679" s="59">
        <f t="shared" si="32"/>
        <v>70760</v>
      </c>
    </row>
    <row r="680" spans="1:15">
      <c r="A680" s="39" t="s">
        <v>583</v>
      </c>
      <c r="B680" s="46" t="s">
        <v>285</v>
      </c>
      <c r="C680" s="39" t="s">
        <v>465</v>
      </c>
      <c r="D680" s="102">
        <v>249929042</v>
      </c>
      <c r="E680" s="102">
        <v>2525790872</v>
      </c>
      <c r="F680" s="39" t="s">
        <v>256</v>
      </c>
      <c r="G680" s="81">
        <f>38118+(364+182)</f>
        <v>38664</v>
      </c>
      <c r="H680" s="50" t="str">
        <f t="shared" si="30"/>
        <v>Nov</v>
      </c>
      <c r="I680" s="51">
        <f t="shared" ca="1" si="31"/>
        <v>11</v>
      </c>
      <c r="J680" s="52" t="s">
        <v>257</v>
      </c>
      <c r="K680" s="53">
        <v>61060</v>
      </c>
      <c r="L680" s="54">
        <v>5</v>
      </c>
      <c r="M680" s="59">
        <f t="shared" si="32"/>
        <v>61060</v>
      </c>
    </row>
    <row r="681" spans="1:15">
      <c r="A681" s="39" t="s">
        <v>622</v>
      </c>
      <c r="B681" s="46" t="s">
        <v>245</v>
      </c>
      <c r="C681" s="39" t="s">
        <v>618</v>
      </c>
      <c r="D681" s="102">
        <v>620072502</v>
      </c>
      <c r="E681" s="102">
        <v>9191264013</v>
      </c>
      <c r="F681" s="39" t="s">
        <v>256</v>
      </c>
      <c r="G681" s="81">
        <f>38492+(364+182)</f>
        <v>39038</v>
      </c>
      <c r="H681" s="50" t="str">
        <f t="shared" si="30"/>
        <v>Nov</v>
      </c>
      <c r="I681" s="51">
        <f t="shared" ca="1" si="31"/>
        <v>9</v>
      </c>
      <c r="J681" s="52" t="s">
        <v>276</v>
      </c>
      <c r="K681" s="53">
        <v>71400</v>
      </c>
      <c r="L681" s="54">
        <v>4</v>
      </c>
      <c r="M681" s="59">
        <f t="shared" si="32"/>
        <v>71400</v>
      </c>
    </row>
    <row r="682" spans="1:15">
      <c r="A682" s="39" t="s">
        <v>313</v>
      </c>
      <c r="B682" s="46" t="s">
        <v>245</v>
      </c>
      <c r="C682" s="39" t="s">
        <v>312</v>
      </c>
      <c r="D682" s="102">
        <v>580960042</v>
      </c>
      <c r="E682" s="102">
        <v>9197528456</v>
      </c>
      <c r="F682" s="39" t="s">
        <v>247</v>
      </c>
      <c r="G682" s="81">
        <f>38494+(364+182)</f>
        <v>39040</v>
      </c>
      <c r="H682" s="50" t="str">
        <f t="shared" si="30"/>
        <v>Nov</v>
      </c>
      <c r="I682" s="51">
        <f t="shared" ca="1" si="31"/>
        <v>9</v>
      </c>
      <c r="J682" s="52"/>
      <c r="K682" s="53">
        <v>62150</v>
      </c>
      <c r="L682" s="54">
        <v>4</v>
      </c>
      <c r="M682" s="59">
        <f t="shared" si="32"/>
        <v>62150</v>
      </c>
    </row>
    <row r="683" spans="1:15">
      <c r="A683" s="39" t="s">
        <v>830</v>
      </c>
      <c r="B683" s="46" t="s">
        <v>271</v>
      </c>
      <c r="C683" s="39" t="s">
        <v>767</v>
      </c>
      <c r="D683" s="102">
        <v>990843236</v>
      </c>
      <c r="E683" s="102">
        <v>9196245634</v>
      </c>
      <c r="F683" s="39" t="s">
        <v>256</v>
      </c>
      <c r="G683" s="81">
        <f>38501+(364+182)</f>
        <v>39047</v>
      </c>
      <c r="H683" s="50" t="str">
        <f t="shared" si="30"/>
        <v>Nov</v>
      </c>
      <c r="I683" s="51">
        <f t="shared" ca="1" si="31"/>
        <v>9</v>
      </c>
      <c r="J683" s="52" t="s">
        <v>283</v>
      </c>
      <c r="K683" s="53">
        <v>65880</v>
      </c>
      <c r="L683" s="54">
        <v>5</v>
      </c>
      <c r="M683" s="59">
        <f t="shared" si="32"/>
        <v>65880</v>
      </c>
    </row>
    <row r="684" spans="1:15">
      <c r="A684" s="39" t="s">
        <v>379</v>
      </c>
      <c r="B684" s="46" t="s">
        <v>280</v>
      </c>
      <c r="C684" s="39" t="s">
        <v>372</v>
      </c>
      <c r="D684" s="102">
        <v>676831149</v>
      </c>
      <c r="E684" s="102">
        <v>9192824485</v>
      </c>
      <c r="F684" s="39" t="s">
        <v>256</v>
      </c>
      <c r="G684" s="81">
        <f>38842+(364+182)</f>
        <v>39388</v>
      </c>
      <c r="H684" s="50" t="str">
        <f t="shared" si="30"/>
        <v>Nov</v>
      </c>
      <c r="I684" s="51">
        <f t="shared" ca="1" si="31"/>
        <v>9</v>
      </c>
      <c r="J684" s="52" t="s">
        <v>257</v>
      </c>
      <c r="K684" s="53">
        <v>71120</v>
      </c>
      <c r="L684" s="54">
        <v>4</v>
      </c>
      <c r="M684" s="59">
        <f t="shared" si="32"/>
        <v>71120</v>
      </c>
    </row>
    <row r="685" spans="1:15">
      <c r="A685" s="39" t="s">
        <v>564</v>
      </c>
      <c r="B685" s="46" t="s">
        <v>271</v>
      </c>
      <c r="C685" s="39" t="s">
        <v>465</v>
      </c>
      <c r="D685" s="102">
        <v>930314379</v>
      </c>
      <c r="E685" s="102">
        <v>2524854867</v>
      </c>
      <c r="F685" s="39" t="s">
        <v>256</v>
      </c>
      <c r="G685" s="81">
        <f>38844+(364+182)</f>
        <v>39390</v>
      </c>
      <c r="H685" s="50" t="str">
        <f t="shared" si="30"/>
        <v>Nov</v>
      </c>
      <c r="I685" s="51">
        <f t="shared" ca="1" si="31"/>
        <v>9</v>
      </c>
      <c r="J685" s="52" t="s">
        <v>267</v>
      </c>
      <c r="K685" s="53">
        <v>71490</v>
      </c>
      <c r="L685" s="54">
        <v>5</v>
      </c>
      <c r="M685" s="59">
        <f t="shared" si="32"/>
        <v>71490</v>
      </c>
    </row>
    <row r="686" spans="1:15">
      <c r="A686" s="39" t="s">
        <v>726</v>
      </c>
      <c r="B686" s="46" t="s">
        <v>285</v>
      </c>
      <c r="C686" s="39" t="s">
        <v>705</v>
      </c>
      <c r="D686" s="102">
        <v>145240921</v>
      </c>
      <c r="E686" s="102">
        <v>2525227751</v>
      </c>
      <c r="F686" s="39" t="s">
        <v>256</v>
      </c>
      <c r="G686" s="81">
        <f>38858+(364+182)</f>
        <v>39404</v>
      </c>
      <c r="H686" s="50" t="str">
        <f t="shared" si="30"/>
        <v>Nov</v>
      </c>
      <c r="I686" s="51">
        <f t="shared" ca="1" si="31"/>
        <v>8</v>
      </c>
      <c r="J686" s="52" t="s">
        <v>267</v>
      </c>
      <c r="K686" s="53">
        <v>50990</v>
      </c>
      <c r="L686" s="54">
        <v>4</v>
      </c>
      <c r="M686" s="59">
        <f t="shared" si="32"/>
        <v>50990</v>
      </c>
    </row>
    <row r="687" spans="1:15">
      <c r="A687" s="39" t="s">
        <v>422</v>
      </c>
      <c r="B687" s="46" t="s">
        <v>271</v>
      </c>
      <c r="C687" s="39" t="s">
        <v>417</v>
      </c>
      <c r="D687" s="102">
        <v>736688620</v>
      </c>
      <c r="E687" s="102">
        <v>2524562999</v>
      </c>
      <c r="F687" s="39" t="s">
        <v>261</v>
      </c>
      <c r="G687" s="81">
        <f>39222+(364+182)</f>
        <v>39768</v>
      </c>
      <c r="H687" s="50" t="str">
        <f t="shared" si="30"/>
        <v>Nov</v>
      </c>
      <c r="I687" s="51">
        <f t="shared" ca="1" si="31"/>
        <v>7</v>
      </c>
      <c r="J687" s="52" t="s">
        <v>257</v>
      </c>
      <c r="K687" s="53">
        <v>39515</v>
      </c>
      <c r="L687" s="54">
        <v>5</v>
      </c>
      <c r="M687" s="59">
        <f t="shared" si="32"/>
        <v>39515</v>
      </c>
    </row>
    <row r="688" spans="1:15">
      <c r="A688" s="45" t="s">
        <v>278</v>
      </c>
      <c r="B688" s="46" t="s">
        <v>245</v>
      </c>
      <c r="C688" s="45" t="s">
        <v>272</v>
      </c>
      <c r="D688" s="106">
        <v>771277493</v>
      </c>
      <c r="E688" s="106">
        <v>2522872439</v>
      </c>
      <c r="F688" s="45" t="s">
        <v>252</v>
      </c>
      <c r="G688" s="105">
        <f>39580+(364+182)</f>
        <v>40126</v>
      </c>
      <c r="H688" s="50" t="str">
        <f t="shared" si="30"/>
        <v>Nov</v>
      </c>
      <c r="I688" s="51">
        <f t="shared" ca="1" si="31"/>
        <v>7</v>
      </c>
      <c r="J688" s="52"/>
      <c r="K688" s="53">
        <v>10636</v>
      </c>
      <c r="L688" s="54">
        <v>4</v>
      </c>
      <c r="M688" s="59">
        <f t="shared" si="32"/>
        <v>10636</v>
      </c>
      <c r="O688" s="104"/>
    </row>
    <row r="689" spans="1:15">
      <c r="A689" s="39" t="s">
        <v>816</v>
      </c>
      <c r="B689" s="46" t="s">
        <v>271</v>
      </c>
      <c r="C689" s="39" t="s">
        <v>767</v>
      </c>
      <c r="D689" s="102">
        <v>959750235</v>
      </c>
      <c r="E689" s="102">
        <v>2528488350</v>
      </c>
      <c r="F689" s="39" t="s">
        <v>256</v>
      </c>
      <c r="G689" s="81">
        <f>39591+(364+182)</f>
        <v>40137</v>
      </c>
      <c r="H689" s="50" t="str">
        <f t="shared" si="30"/>
        <v>Nov</v>
      </c>
      <c r="I689" s="51">
        <f t="shared" ca="1" si="31"/>
        <v>6</v>
      </c>
      <c r="J689" s="52" t="s">
        <v>257</v>
      </c>
      <c r="K689" s="53">
        <v>54190</v>
      </c>
      <c r="L689" s="54">
        <v>4</v>
      </c>
      <c r="M689" s="59">
        <f t="shared" si="32"/>
        <v>54190</v>
      </c>
    </row>
    <row r="690" spans="1:15">
      <c r="A690" s="39" t="s">
        <v>320</v>
      </c>
      <c r="B690" s="46" t="s">
        <v>271</v>
      </c>
      <c r="C690" s="39" t="s">
        <v>312</v>
      </c>
      <c r="D690" s="102">
        <v>242099349</v>
      </c>
      <c r="E690" s="102">
        <v>2526576057</v>
      </c>
      <c r="F690" s="39" t="s">
        <v>256</v>
      </c>
      <c r="G690" s="81">
        <f>39955+(364+182)</f>
        <v>40501</v>
      </c>
      <c r="H690" s="50" t="str">
        <f t="shared" si="30"/>
        <v>Nov</v>
      </c>
      <c r="I690" s="51">
        <f t="shared" ca="1" si="31"/>
        <v>5</v>
      </c>
      <c r="J690" s="52" t="s">
        <v>267</v>
      </c>
      <c r="K690" s="53">
        <v>77820</v>
      </c>
      <c r="L690" s="54">
        <v>3</v>
      </c>
      <c r="M690" s="59">
        <f t="shared" si="32"/>
        <v>77820</v>
      </c>
    </row>
    <row r="691" spans="1:15">
      <c r="A691" s="39" t="s">
        <v>371</v>
      </c>
      <c r="B691" s="46" t="s">
        <v>251</v>
      </c>
      <c r="C691" s="39" t="s">
        <v>372</v>
      </c>
      <c r="D691" s="102">
        <v>640301378</v>
      </c>
      <c r="E691" s="102">
        <v>2524663056</v>
      </c>
      <c r="F691" s="39" t="s">
        <v>261</v>
      </c>
      <c r="G691" s="103">
        <f>39959+(364+182)</f>
        <v>40505</v>
      </c>
      <c r="H691" s="50" t="str">
        <f t="shared" si="30"/>
        <v>Nov</v>
      </c>
      <c r="I691" s="51">
        <f t="shared" ca="1" si="31"/>
        <v>5</v>
      </c>
      <c r="J691" s="52" t="s">
        <v>283</v>
      </c>
      <c r="K691" s="53">
        <v>46230</v>
      </c>
      <c r="L691" s="54">
        <v>2</v>
      </c>
      <c r="M691" s="59">
        <f t="shared" si="32"/>
        <v>46230</v>
      </c>
      <c r="O691" s="101"/>
    </row>
    <row r="692" spans="1:15">
      <c r="A692" s="39" t="s">
        <v>889</v>
      </c>
      <c r="B692" s="46" t="s">
        <v>285</v>
      </c>
      <c r="C692" s="39" t="s">
        <v>856</v>
      </c>
      <c r="D692" s="102">
        <v>693055639</v>
      </c>
      <c r="E692" s="102">
        <v>9195866887</v>
      </c>
      <c r="F692" s="39" t="s">
        <v>256</v>
      </c>
      <c r="G692" s="81">
        <f>32676+(364+182)</f>
        <v>33222</v>
      </c>
      <c r="H692" s="50" t="str">
        <f t="shared" si="30"/>
        <v>Dec</v>
      </c>
      <c r="I692" s="51">
        <f t="shared" ca="1" si="31"/>
        <v>25</v>
      </c>
      <c r="J692" s="52" t="s">
        <v>257</v>
      </c>
      <c r="K692" s="53">
        <v>53900</v>
      </c>
      <c r="L692" s="54">
        <v>5</v>
      </c>
      <c r="M692" s="59">
        <f t="shared" si="32"/>
        <v>53900</v>
      </c>
    </row>
    <row r="693" spans="1:15">
      <c r="A693" s="39" t="s">
        <v>659</v>
      </c>
      <c r="B693" s="46" t="s">
        <v>245</v>
      </c>
      <c r="C693" s="39" t="s">
        <v>626</v>
      </c>
      <c r="D693" s="102">
        <v>738946277</v>
      </c>
      <c r="E693" s="102">
        <v>9194331646</v>
      </c>
      <c r="F693" s="39" t="s">
        <v>256</v>
      </c>
      <c r="G693" s="81">
        <f>32677+(364+182)</f>
        <v>33223</v>
      </c>
      <c r="H693" s="50" t="str">
        <f t="shared" si="30"/>
        <v>Dec</v>
      </c>
      <c r="I693" s="51">
        <f t="shared" ca="1" si="31"/>
        <v>25</v>
      </c>
      <c r="J693" s="52" t="s">
        <v>262</v>
      </c>
      <c r="K693" s="53">
        <v>31260</v>
      </c>
      <c r="L693" s="54">
        <v>5</v>
      </c>
      <c r="M693" s="59">
        <f t="shared" si="32"/>
        <v>31260</v>
      </c>
    </row>
    <row r="694" spans="1:15">
      <c r="A694" s="39" t="s">
        <v>324</v>
      </c>
      <c r="B694" s="46" t="s">
        <v>271</v>
      </c>
      <c r="C694" s="39" t="s">
        <v>312</v>
      </c>
      <c r="D694" s="102">
        <v>513140687</v>
      </c>
      <c r="E694" s="102">
        <v>9192163497</v>
      </c>
      <c r="F694" s="39" t="s">
        <v>247</v>
      </c>
      <c r="G694" s="81">
        <f>32682+(364+182)</f>
        <v>33228</v>
      </c>
      <c r="H694" s="50" t="str">
        <f t="shared" si="30"/>
        <v>Dec</v>
      </c>
      <c r="I694" s="51">
        <f t="shared" ca="1" si="31"/>
        <v>25</v>
      </c>
      <c r="J694" s="52"/>
      <c r="K694" s="53">
        <v>42940</v>
      </c>
      <c r="L694" s="54">
        <v>1</v>
      </c>
      <c r="M694" s="59">
        <f t="shared" si="32"/>
        <v>42940</v>
      </c>
    </row>
    <row r="695" spans="1:15">
      <c r="A695" s="39" t="s">
        <v>801</v>
      </c>
      <c r="B695" s="46" t="s">
        <v>271</v>
      </c>
      <c r="C695" s="39" t="s">
        <v>767</v>
      </c>
      <c r="D695" s="102">
        <v>554029540</v>
      </c>
      <c r="E695" s="102">
        <v>2521544288</v>
      </c>
      <c r="F695" s="39" t="s">
        <v>247</v>
      </c>
      <c r="G695" s="81">
        <f>32688+(364+182)</f>
        <v>33234</v>
      </c>
      <c r="H695" s="50" t="str">
        <f t="shared" si="30"/>
        <v>Dec</v>
      </c>
      <c r="I695" s="51">
        <f t="shared" ca="1" si="31"/>
        <v>25</v>
      </c>
      <c r="J695" s="52"/>
      <c r="K695" s="53">
        <v>58650</v>
      </c>
      <c r="L695" s="54">
        <v>4</v>
      </c>
      <c r="M695" s="59">
        <f t="shared" si="32"/>
        <v>58650</v>
      </c>
    </row>
    <row r="696" spans="1:15">
      <c r="A696" s="39" t="s">
        <v>854</v>
      </c>
      <c r="B696" s="46" t="s">
        <v>285</v>
      </c>
      <c r="C696" s="39" t="s">
        <v>767</v>
      </c>
      <c r="D696" s="102">
        <v>828395582</v>
      </c>
      <c r="E696" s="102">
        <v>9198591986</v>
      </c>
      <c r="F696" s="39" t="s">
        <v>256</v>
      </c>
      <c r="G696" s="81">
        <f>33027+(364+182)</f>
        <v>33573</v>
      </c>
      <c r="H696" s="50" t="str">
        <f t="shared" si="30"/>
        <v>Dec</v>
      </c>
      <c r="I696" s="51">
        <f t="shared" ca="1" si="31"/>
        <v>24</v>
      </c>
      <c r="J696" s="52" t="s">
        <v>276</v>
      </c>
      <c r="K696" s="53">
        <v>71680</v>
      </c>
      <c r="L696" s="54">
        <v>4</v>
      </c>
      <c r="M696" s="59">
        <f t="shared" si="32"/>
        <v>71680</v>
      </c>
    </row>
    <row r="697" spans="1:15">
      <c r="A697" s="39" t="s">
        <v>327</v>
      </c>
      <c r="B697" s="46" t="s">
        <v>271</v>
      </c>
      <c r="C697" s="39" t="s">
        <v>312</v>
      </c>
      <c r="D697" s="102">
        <v>459522265</v>
      </c>
      <c r="E697" s="102">
        <v>2524633649</v>
      </c>
      <c r="F697" s="39" t="s">
        <v>256</v>
      </c>
      <c r="G697" s="81">
        <f>33029+(364+182)</f>
        <v>33575</v>
      </c>
      <c r="H697" s="50" t="str">
        <f t="shared" si="30"/>
        <v>Dec</v>
      </c>
      <c r="I697" s="51">
        <f t="shared" ca="1" si="31"/>
        <v>24</v>
      </c>
      <c r="J697" s="52" t="s">
        <v>262</v>
      </c>
      <c r="K697" s="53">
        <v>61400</v>
      </c>
      <c r="L697" s="54">
        <v>5</v>
      </c>
      <c r="M697" s="59">
        <f t="shared" si="32"/>
        <v>61400</v>
      </c>
    </row>
    <row r="698" spans="1:15">
      <c r="A698" s="39" t="s">
        <v>747</v>
      </c>
      <c r="B698" s="46" t="s">
        <v>271</v>
      </c>
      <c r="C698" s="39" t="s">
        <v>705</v>
      </c>
      <c r="D698" s="102">
        <v>617795992</v>
      </c>
      <c r="E698" s="102">
        <v>2526345909</v>
      </c>
      <c r="F698" s="39" t="s">
        <v>256</v>
      </c>
      <c r="G698" s="81">
        <f>33032+(364+182)</f>
        <v>33578</v>
      </c>
      <c r="H698" s="50" t="str">
        <f t="shared" si="30"/>
        <v>Dec</v>
      </c>
      <c r="I698" s="51">
        <f t="shared" ca="1" si="31"/>
        <v>24</v>
      </c>
      <c r="J698" s="52" t="s">
        <v>257</v>
      </c>
      <c r="K698" s="53">
        <v>43580</v>
      </c>
      <c r="L698" s="54">
        <v>5</v>
      </c>
      <c r="M698" s="59">
        <f t="shared" si="32"/>
        <v>43580</v>
      </c>
    </row>
    <row r="699" spans="1:15">
      <c r="A699" s="39" t="s">
        <v>794</v>
      </c>
      <c r="B699" s="46" t="s">
        <v>245</v>
      </c>
      <c r="C699" s="39" t="s">
        <v>767</v>
      </c>
      <c r="D699" s="102">
        <v>452255054</v>
      </c>
      <c r="E699" s="102">
        <v>9196114005</v>
      </c>
      <c r="F699" s="39" t="s">
        <v>247</v>
      </c>
      <c r="G699" s="81">
        <f>33032+(364+182)</f>
        <v>33578</v>
      </c>
      <c r="H699" s="50" t="str">
        <f t="shared" si="30"/>
        <v>Dec</v>
      </c>
      <c r="I699" s="51">
        <f t="shared" ca="1" si="31"/>
        <v>24</v>
      </c>
      <c r="J699" s="52"/>
      <c r="K699" s="53">
        <v>50840</v>
      </c>
      <c r="L699" s="54">
        <v>4</v>
      </c>
      <c r="M699" s="59">
        <f t="shared" si="32"/>
        <v>50840</v>
      </c>
    </row>
    <row r="700" spans="1:15">
      <c r="A700" s="39" t="s">
        <v>758</v>
      </c>
      <c r="B700" s="46" t="s">
        <v>245</v>
      </c>
      <c r="C700" s="39" t="s">
        <v>750</v>
      </c>
      <c r="D700" s="102">
        <v>360904659</v>
      </c>
      <c r="E700" s="102">
        <v>2523766803</v>
      </c>
      <c r="F700" s="39" t="s">
        <v>256</v>
      </c>
      <c r="G700" s="81">
        <f>33042+(364+182)</f>
        <v>33588</v>
      </c>
      <c r="H700" s="50" t="str">
        <f t="shared" si="30"/>
        <v>Dec</v>
      </c>
      <c r="I700" s="51">
        <f t="shared" ca="1" si="31"/>
        <v>24</v>
      </c>
      <c r="J700" s="52" t="s">
        <v>283</v>
      </c>
      <c r="K700" s="53">
        <v>44620</v>
      </c>
      <c r="L700" s="54">
        <v>5</v>
      </c>
      <c r="M700" s="59">
        <f t="shared" si="32"/>
        <v>44620</v>
      </c>
    </row>
    <row r="701" spans="1:15">
      <c r="A701" s="39" t="s">
        <v>442</v>
      </c>
      <c r="B701" s="46" t="s">
        <v>271</v>
      </c>
      <c r="C701" s="39" t="s">
        <v>417</v>
      </c>
      <c r="D701" s="102">
        <v>249760737</v>
      </c>
      <c r="E701" s="102">
        <v>2522969056</v>
      </c>
      <c r="F701" s="39" t="s">
        <v>247</v>
      </c>
      <c r="G701" s="81">
        <f>33403+(364+182)</f>
        <v>33949</v>
      </c>
      <c r="H701" s="50" t="str">
        <f t="shared" si="30"/>
        <v>Dec</v>
      </c>
      <c r="I701" s="51">
        <f t="shared" ca="1" si="31"/>
        <v>23</v>
      </c>
      <c r="J701" s="52"/>
      <c r="K701" s="53">
        <v>81070</v>
      </c>
      <c r="L701" s="54">
        <v>5</v>
      </c>
      <c r="M701" s="59">
        <f t="shared" si="32"/>
        <v>81070</v>
      </c>
    </row>
    <row r="702" spans="1:15">
      <c r="A702" s="39" t="s">
        <v>839</v>
      </c>
      <c r="B702" s="46" t="s">
        <v>271</v>
      </c>
      <c r="C702" s="39" t="s">
        <v>767</v>
      </c>
      <c r="D702" s="102">
        <v>638495756</v>
      </c>
      <c r="E702" s="102">
        <v>2528922252</v>
      </c>
      <c r="F702" s="39" t="s">
        <v>247</v>
      </c>
      <c r="G702" s="81">
        <f>33403+(364+182)</f>
        <v>33949</v>
      </c>
      <c r="H702" s="50" t="str">
        <f t="shared" si="30"/>
        <v>Dec</v>
      </c>
      <c r="I702" s="51">
        <f t="shared" ca="1" si="31"/>
        <v>23</v>
      </c>
      <c r="J702" s="52"/>
      <c r="K702" s="53">
        <v>44720</v>
      </c>
      <c r="L702" s="54">
        <v>2</v>
      </c>
      <c r="M702" s="59">
        <f t="shared" si="32"/>
        <v>44720</v>
      </c>
    </row>
    <row r="703" spans="1:15">
      <c r="A703" s="39" t="s">
        <v>950</v>
      </c>
      <c r="B703" s="46" t="s">
        <v>271</v>
      </c>
      <c r="C703" s="39" t="s">
        <v>930</v>
      </c>
      <c r="D703" s="102">
        <v>595022550</v>
      </c>
      <c r="E703" s="102">
        <v>9195621928</v>
      </c>
      <c r="F703" s="39" t="s">
        <v>256</v>
      </c>
      <c r="G703" s="81">
        <f>33411+(364+182)</f>
        <v>33957</v>
      </c>
      <c r="H703" s="50" t="str">
        <f t="shared" si="30"/>
        <v>Dec</v>
      </c>
      <c r="I703" s="51">
        <f t="shared" ca="1" si="31"/>
        <v>23</v>
      </c>
      <c r="J703" s="52" t="s">
        <v>262</v>
      </c>
      <c r="K703" s="53">
        <v>59490</v>
      </c>
      <c r="L703" s="54">
        <v>3</v>
      </c>
      <c r="M703" s="59">
        <f t="shared" si="32"/>
        <v>59490</v>
      </c>
    </row>
    <row r="704" spans="1:15">
      <c r="A704" s="39" t="s">
        <v>976</v>
      </c>
      <c r="B704" s="46" t="s">
        <v>271</v>
      </c>
      <c r="C704" s="39" t="s">
        <v>930</v>
      </c>
      <c r="D704" s="102">
        <v>855663308</v>
      </c>
      <c r="E704" s="102">
        <v>9195797109</v>
      </c>
      <c r="F704" s="39" t="s">
        <v>256</v>
      </c>
      <c r="G704" s="81">
        <f>34124+(364+182)</f>
        <v>34670</v>
      </c>
      <c r="H704" s="50" t="str">
        <f t="shared" si="30"/>
        <v>Dec</v>
      </c>
      <c r="I704" s="51">
        <f t="shared" ca="1" si="31"/>
        <v>21</v>
      </c>
      <c r="J704" s="52" t="s">
        <v>257</v>
      </c>
      <c r="K704" s="53">
        <v>69510</v>
      </c>
      <c r="L704" s="54">
        <v>5</v>
      </c>
      <c r="M704" s="59">
        <f t="shared" si="32"/>
        <v>69510</v>
      </c>
    </row>
    <row r="705" spans="1:15">
      <c r="A705" s="39" t="s">
        <v>488</v>
      </c>
      <c r="B705" s="46" t="s">
        <v>266</v>
      </c>
      <c r="C705" s="39" t="s">
        <v>465</v>
      </c>
      <c r="D705" s="102">
        <v>165917010</v>
      </c>
      <c r="E705" s="102">
        <v>2527038033</v>
      </c>
      <c r="F705" s="39" t="s">
        <v>247</v>
      </c>
      <c r="G705" s="81">
        <f>34125+(364+182)</f>
        <v>34671</v>
      </c>
      <c r="H705" s="50" t="str">
        <f t="shared" si="30"/>
        <v>Dec</v>
      </c>
      <c r="I705" s="51">
        <f t="shared" ca="1" si="31"/>
        <v>21</v>
      </c>
      <c r="J705" s="52"/>
      <c r="K705" s="53">
        <v>80690</v>
      </c>
      <c r="L705" s="54">
        <v>3</v>
      </c>
      <c r="M705" s="59">
        <f t="shared" si="32"/>
        <v>80690</v>
      </c>
    </row>
    <row r="706" spans="1:15">
      <c r="A706" s="39" t="s">
        <v>844</v>
      </c>
      <c r="B706" s="46" t="s">
        <v>280</v>
      </c>
      <c r="C706" s="39" t="s">
        <v>767</v>
      </c>
      <c r="D706" s="102">
        <v>422463024</v>
      </c>
      <c r="E706" s="102">
        <v>9193876146</v>
      </c>
      <c r="F706" s="39" t="s">
        <v>256</v>
      </c>
      <c r="G706" s="81">
        <f>34147+(364+182)</f>
        <v>34693</v>
      </c>
      <c r="H706" s="50" t="str">
        <f t="shared" si="30"/>
        <v>Dec</v>
      </c>
      <c r="I706" s="51">
        <f t="shared" ca="1" si="31"/>
        <v>21</v>
      </c>
      <c r="J706" s="52" t="s">
        <v>262</v>
      </c>
      <c r="K706" s="53">
        <v>88820</v>
      </c>
      <c r="L706" s="54">
        <v>2</v>
      </c>
      <c r="M706" s="59">
        <f t="shared" si="32"/>
        <v>88820</v>
      </c>
    </row>
    <row r="707" spans="1:15">
      <c r="A707" s="39" t="s">
        <v>887</v>
      </c>
      <c r="B707" s="46" t="s">
        <v>266</v>
      </c>
      <c r="C707" s="39" t="s">
        <v>856</v>
      </c>
      <c r="D707" s="102">
        <v>687623890</v>
      </c>
      <c r="E707" s="102">
        <v>2522447501</v>
      </c>
      <c r="F707" s="39" t="s">
        <v>252</v>
      </c>
      <c r="G707" s="81">
        <f>34488+(364+182)</f>
        <v>35034</v>
      </c>
      <c r="H707" s="50" t="str">
        <f t="shared" ref="H707:H743" si="33">CHOOSE(MONTH(G707),"Jan","Feb","Mar","Apr","May","Jun","Jul","Aug","Sep","Oct","Nov","Dec")</f>
        <v>Dec</v>
      </c>
      <c r="I707" s="51">
        <f t="shared" ref="I707:I743" ca="1" si="34">DATEDIF(G707,TODAY(),"Y")</f>
        <v>20</v>
      </c>
      <c r="J707" s="52"/>
      <c r="K707" s="53">
        <v>23692</v>
      </c>
      <c r="L707" s="54">
        <v>4</v>
      </c>
      <c r="M707" s="59">
        <f t="shared" ref="M707:M743" si="35">ROUND(K707*P705+K707,0)</f>
        <v>23692</v>
      </c>
    </row>
    <row r="708" spans="1:15">
      <c r="A708" s="39" t="s">
        <v>1016</v>
      </c>
      <c r="B708" s="46" t="s">
        <v>285</v>
      </c>
      <c r="C708" s="39" t="s">
        <v>930</v>
      </c>
      <c r="D708" s="102">
        <v>992674973</v>
      </c>
      <c r="E708" s="102">
        <v>2526088101</v>
      </c>
      <c r="F708" s="39" t="s">
        <v>256</v>
      </c>
      <c r="G708" s="81">
        <f>34506+(364+182)</f>
        <v>35052</v>
      </c>
      <c r="H708" s="50" t="str">
        <f t="shared" si="33"/>
        <v>Dec</v>
      </c>
      <c r="I708" s="51">
        <f t="shared" ca="1" si="34"/>
        <v>20</v>
      </c>
      <c r="J708" s="52" t="s">
        <v>267</v>
      </c>
      <c r="K708" s="53">
        <v>64780</v>
      </c>
      <c r="L708" s="54">
        <v>5</v>
      </c>
      <c r="M708" s="59">
        <f t="shared" si="35"/>
        <v>64780</v>
      </c>
    </row>
    <row r="709" spans="1:15">
      <c r="A709" s="39" t="s">
        <v>861</v>
      </c>
      <c r="B709" s="46" t="s">
        <v>271</v>
      </c>
      <c r="C709" s="39" t="s">
        <v>856</v>
      </c>
      <c r="D709" s="102">
        <v>412159105</v>
      </c>
      <c r="E709" s="102">
        <v>9198252392</v>
      </c>
      <c r="F709" s="39" t="s">
        <v>252</v>
      </c>
      <c r="G709" s="81">
        <f>34856+(364+182)</f>
        <v>35402</v>
      </c>
      <c r="H709" s="50" t="str">
        <f t="shared" si="33"/>
        <v>Dec</v>
      </c>
      <c r="I709" s="51">
        <f t="shared" ca="1" si="34"/>
        <v>19</v>
      </c>
      <c r="J709" s="52"/>
      <c r="K709" s="53">
        <v>33508</v>
      </c>
      <c r="L709" s="54">
        <v>4</v>
      </c>
      <c r="M709" s="59">
        <f t="shared" si="35"/>
        <v>33508</v>
      </c>
    </row>
    <row r="710" spans="1:15">
      <c r="A710" s="39" t="s">
        <v>924</v>
      </c>
      <c r="B710" s="46" t="s">
        <v>285</v>
      </c>
      <c r="C710" s="39" t="s">
        <v>856</v>
      </c>
      <c r="D710" s="102">
        <v>984881714</v>
      </c>
      <c r="E710" s="102">
        <v>9196973131</v>
      </c>
      <c r="F710" s="39" t="s">
        <v>256</v>
      </c>
      <c r="G710" s="81">
        <f>34862+(364+182)</f>
        <v>35408</v>
      </c>
      <c r="H710" s="50" t="str">
        <f t="shared" si="33"/>
        <v>Dec</v>
      </c>
      <c r="I710" s="51">
        <f t="shared" ca="1" si="34"/>
        <v>19</v>
      </c>
      <c r="J710" s="52" t="s">
        <v>283</v>
      </c>
      <c r="K710" s="53">
        <v>34330</v>
      </c>
      <c r="L710" s="54">
        <v>3</v>
      </c>
      <c r="M710" s="59">
        <f t="shared" si="35"/>
        <v>34330</v>
      </c>
    </row>
    <row r="711" spans="1:15">
      <c r="A711" s="39" t="s">
        <v>727</v>
      </c>
      <c r="B711" s="46" t="s">
        <v>271</v>
      </c>
      <c r="C711" s="39" t="s">
        <v>705</v>
      </c>
      <c r="D711" s="102">
        <v>803776506</v>
      </c>
      <c r="E711" s="102">
        <v>2526920236</v>
      </c>
      <c r="F711" s="39" t="s">
        <v>256</v>
      </c>
      <c r="G711" s="81">
        <f>34866+(364+182)</f>
        <v>35412</v>
      </c>
      <c r="H711" s="50" t="str">
        <f t="shared" si="33"/>
        <v>Dec</v>
      </c>
      <c r="I711" s="51">
        <f t="shared" ca="1" si="34"/>
        <v>19</v>
      </c>
      <c r="J711" s="52" t="s">
        <v>262</v>
      </c>
      <c r="K711" s="53">
        <v>77950</v>
      </c>
      <c r="L711" s="54">
        <v>4</v>
      </c>
      <c r="M711" s="59">
        <f t="shared" si="35"/>
        <v>77950</v>
      </c>
    </row>
    <row r="712" spans="1:15">
      <c r="A712" s="39" t="s">
        <v>668</v>
      </c>
      <c r="B712" s="46" t="s">
        <v>271</v>
      </c>
      <c r="C712" s="39" t="s">
        <v>626</v>
      </c>
      <c r="D712" s="102">
        <v>626767704</v>
      </c>
      <c r="E712" s="102">
        <v>2526971022</v>
      </c>
      <c r="F712" s="39" t="s">
        <v>247</v>
      </c>
      <c r="G712" s="81">
        <f>35230+(364+182)</f>
        <v>35776</v>
      </c>
      <c r="H712" s="50" t="str">
        <f t="shared" si="33"/>
        <v>Dec</v>
      </c>
      <c r="I712" s="51">
        <f t="shared" ca="1" si="34"/>
        <v>18</v>
      </c>
      <c r="J712" s="52"/>
      <c r="K712" s="53">
        <v>77930</v>
      </c>
      <c r="L712" s="54">
        <v>5</v>
      </c>
      <c r="M712" s="59">
        <f t="shared" si="35"/>
        <v>77930</v>
      </c>
    </row>
    <row r="713" spans="1:15">
      <c r="A713" s="39" t="s">
        <v>963</v>
      </c>
      <c r="B713" s="46" t="s">
        <v>266</v>
      </c>
      <c r="C713" s="39" t="s">
        <v>930</v>
      </c>
      <c r="D713" s="102">
        <v>941937371</v>
      </c>
      <c r="E713" s="102">
        <v>9195060466</v>
      </c>
      <c r="F713" s="39" t="s">
        <v>256</v>
      </c>
      <c r="G713" s="81">
        <f>35230+(364+182)</f>
        <v>35776</v>
      </c>
      <c r="H713" s="50" t="str">
        <f t="shared" si="33"/>
        <v>Dec</v>
      </c>
      <c r="I713" s="51">
        <f t="shared" ca="1" si="34"/>
        <v>18</v>
      </c>
      <c r="J713" s="52" t="s">
        <v>257</v>
      </c>
      <c r="K713" s="53">
        <v>86320</v>
      </c>
      <c r="L713" s="54">
        <v>4</v>
      </c>
      <c r="M713" s="59">
        <f t="shared" si="35"/>
        <v>86320</v>
      </c>
    </row>
    <row r="714" spans="1:15">
      <c r="A714" s="39" t="s">
        <v>789</v>
      </c>
      <c r="B714" s="46" t="s">
        <v>251</v>
      </c>
      <c r="C714" s="39" t="s">
        <v>767</v>
      </c>
      <c r="D714" s="102">
        <v>265323292</v>
      </c>
      <c r="E714" s="102">
        <v>2522939413</v>
      </c>
      <c r="F714" s="39" t="s">
        <v>256</v>
      </c>
      <c r="G714" s="81">
        <f>35590+(364+182)</f>
        <v>36136</v>
      </c>
      <c r="H714" s="50" t="str">
        <f t="shared" si="33"/>
        <v>Dec</v>
      </c>
      <c r="I714" s="51">
        <f t="shared" ca="1" si="34"/>
        <v>17</v>
      </c>
      <c r="J714" s="52" t="s">
        <v>283</v>
      </c>
      <c r="K714" s="53">
        <v>45000</v>
      </c>
      <c r="L714" s="54">
        <v>4</v>
      </c>
      <c r="M714" s="59">
        <f t="shared" si="35"/>
        <v>45000</v>
      </c>
    </row>
    <row r="715" spans="1:15">
      <c r="A715" s="39" t="s">
        <v>294</v>
      </c>
      <c r="B715" s="46" t="s">
        <v>251</v>
      </c>
      <c r="C715" s="39" t="s">
        <v>272</v>
      </c>
      <c r="D715" s="102">
        <v>481336564</v>
      </c>
      <c r="E715" s="102">
        <v>9196479087</v>
      </c>
      <c r="F715" s="39" t="s">
        <v>256</v>
      </c>
      <c r="G715" s="81">
        <f>35597+(364+182)</f>
        <v>36143</v>
      </c>
      <c r="H715" s="50" t="str">
        <f t="shared" si="33"/>
        <v>Dec</v>
      </c>
      <c r="I715" s="51">
        <f t="shared" ca="1" si="34"/>
        <v>17</v>
      </c>
      <c r="J715" s="52" t="s">
        <v>283</v>
      </c>
      <c r="K715" s="53">
        <v>72090</v>
      </c>
      <c r="L715" s="54">
        <v>5</v>
      </c>
      <c r="M715" s="59">
        <f t="shared" si="35"/>
        <v>72090</v>
      </c>
    </row>
    <row r="716" spans="1:15">
      <c r="A716" s="39" t="s">
        <v>521</v>
      </c>
      <c r="B716" s="46" t="s">
        <v>271</v>
      </c>
      <c r="C716" s="39" t="s">
        <v>465</v>
      </c>
      <c r="D716" s="102">
        <v>698869555</v>
      </c>
      <c r="E716" s="102">
        <v>2526052545</v>
      </c>
      <c r="F716" s="39" t="s">
        <v>261</v>
      </c>
      <c r="G716" s="81">
        <f>35957+(364+182)</f>
        <v>36503</v>
      </c>
      <c r="H716" s="50" t="str">
        <f t="shared" si="33"/>
        <v>Dec</v>
      </c>
      <c r="I716" s="51">
        <f t="shared" ca="1" si="34"/>
        <v>16</v>
      </c>
      <c r="J716" s="52" t="s">
        <v>267</v>
      </c>
      <c r="K716" s="53">
        <v>41615</v>
      </c>
      <c r="L716" s="54">
        <v>1</v>
      </c>
      <c r="M716" s="59">
        <f t="shared" si="35"/>
        <v>41615</v>
      </c>
    </row>
    <row r="717" spans="1:15">
      <c r="A717" s="39" t="s">
        <v>316</v>
      </c>
      <c r="B717" s="46" t="s">
        <v>285</v>
      </c>
      <c r="C717" s="39" t="s">
        <v>312</v>
      </c>
      <c r="D717" s="102">
        <v>334574480</v>
      </c>
      <c r="E717" s="102">
        <v>2525165289</v>
      </c>
      <c r="F717" s="39" t="s">
        <v>256</v>
      </c>
      <c r="G717" s="81">
        <f>35960+(364+182)</f>
        <v>36506</v>
      </c>
      <c r="H717" s="50" t="str">
        <f t="shared" si="33"/>
        <v>Dec</v>
      </c>
      <c r="I717" s="51">
        <f t="shared" ca="1" si="34"/>
        <v>16</v>
      </c>
      <c r="J717" s="52" t="s">
        <v>283</v>
      </c>
      <c r="K717" s="53">
        <v>32100</v>
      </c>
      <c r="L717" s="54">
        <v>1</v>
      </c>
      <c r="M717" s="59">
        <f t="shared" si="35"/>
        <v>32100</v>
      </c>
      <c r="O717" s="101"/>
    </row>
    <row r="718" spans="1:15">
      <c r="A718" s="39" t="s">
        <v>862</v>
      </c>
      <c r="B718" s="46" t="s">
        <v>266</v>
      </c>
      <c r="C718" s="39" t="s">
        <v>856</v>
      </c>
      <c r="D718" s="102">
        <v>889210902</v>
      </c>
      <c r="E718" s="102">
        <v>2527422559</v>
      </c>
      <c r="F718" s="39" t="s">
        <v>256</v>
      </c>
      <c r="G718" s="81">
        <f>35968+(364+182)</f>
        <v>36514</v>
      </c>
      <c r="H718" s="50" t="str">
        <f t="shared" si="33"/>
        <v>Dec</v>
      </c>
      <c r="I718" s="51">
        <f t="shared" ca="1" si="34"/>
        <v>16</v>
      </c>
      <c r="J718" s="52" t="s">
        <v>283</v>
      </c>
      <c r="K718" s="53">
        <v>48250</v>
      </c>
      <c r="L718" s="54">
        <v>3</v>
      </c>
      <c r="M718" s="59">
        <f t="shared" si="35"/>
        <v>48250</v>
      </c>
    </row>
    <row r="719" spans="1:15">
      <c r="A719" s="39" t="s">
        <v>457</v>
      </c>
      <c r="B719" s="46" t="s">
        <v>271</v>
      </c>
      <c r="C719" s="39" t="s">
        <v>456</v>
      </c>
      <c r="D719" s="102">
        <v>351268538</v>
      </c>
      <c r="E719" s="102">
        <v>2525610944</v>
      </c>
      <c r="F719" s="39" t="s">
        <v>252</v>
      </c>
      <c r="G719" s="81">
        <f>35973+(364+182)</f>
        <v>36519</v>
      </c>
      <c r="H719" s="50" t="str">
        <f t="shared" si="33"/>
        <v>Dec</v>
      </c>
      <c r="I719" s="51">
        <f t="shared" ca="1" si="34"/>
        <v>16</v>
      </c>
      <c r="J719" s="52" t="s">
        <v>283</v>
      </c>
      <c r="K719" s="53">
        <v>61860</v>
      </c>
      <c r="L719" s="54">
        <v>5</v>
      </c>
      <c r="M719" s="59">
        <f t="shared" si="35"/>
        <v>61860</v>
      </c>
    </row>
    <row r="720" spans="1:15">
      <c r="A720" s="39" t="s">
        <v>558</v>
      </c>
      <c r="B720" s="46" t="s">
        <v>280</v>
      </c>
      <c r="C720" s="39" t="s">
        <v>465</v>
      </c>
      <c r="D720" s="102">
        <v>312019803</v>
      </c>
      <c r="E720" s="102">
        <v>9197961953</v>
      </c>
      <c r="F720" s="39" t="s">
        <v>256</v>
      </c>
      <c r="G720" s="81">
        <f>36683+(364+182)</f>
        <v>37229</v>
      </c>
      <c r="H720" s="50" t="str">
        <f t="shared" si="33"/>
        <v>Dec</v>
      </c>
      <c r="I720" s="51">
        <f t="shared" ca="1" si="34"/>
        <v>14</v>
      </c>
      <c r="J720" s="52" t="s">
        <v>283</v>
      </c>
      <c r="K720" s="53">
        <v>25310</v>
      </c>
      <c r="L720" s="54">
        <v>4</v>
      </c>
      <c r="M720" s="59">
        <f t="shared" si="35"/>
        <v>25310</v>
      </c>
    </row>
    <row r="721" spans="1:15">
      <c r="A721" s="39" t="s">
        <v>693</v>
      </c>
      <c r="B721" s="46" t="s">
        <v>245</v>
      </c>
      <c r="C721" s="39" t="s">
        <v>678</v>
      </c>
      <c r="D721" s="102">
        <v>261486180</v>
      </c>
      <c r="E721" s="102">
        <v>2522523567</v>
      </c>
      <c r="F721" s="39" t="s">
        <v>247</v>
      </c>
      <c r="G721" s="81">
        <f>36690+(364+182)</f>
        <v>37236</v>
      </c>
      <c r="H721" s="50" t="str">
        <f t="shared" si="33"/>
        <v>Dec</v>
      </c>
      <c r="I721" s="51">
        <f t="shared" ca="1" si="34"/>
        <v>14</v>
      </c>
      <c r="J721" s="52"/>
      <c r="K721" s="53">
        <v>29540</v>
      </c>
      <c r="L721" s="54">
        <v>3</v>
      </c>
      <c r="M721" s="59">
        <f t="shared" si="35"/>
        <v>29540</v>
      </c>
    </row>
    <row r="722" spans="1:15">
      <c r="A722" s="39" t="s">
        <v>337</v>
      </c>
      <c r="B722" s="46" t="s">
        <v>271</v>
      </c>
      <c r="C722" s="39" t="s">
        <v>312</v>
      </c>
      <c r="D722" s="102">
        <v>831188207</v>
      </c>
      <c r="E722" s="102">
        <v>9192121334</v>
      </c>
      <c r="F722" s="39" t="s">
        <v>256</v>
      </c>
      <c r="G722" s="81">
        <f>36695+(364+182)</f>
        <v>37241</v>
      </c>
      <c r="H722" s="50" t="str">
        <f t="shared" si="33"/>
        <v>Dec</v>
      </c>
      <c r="I722" s="51">
        <f t="shared" ca="1" si="34"/>
        <v>14</v>
      </c>
      <c r="J722" s="52" t="s">
        <v>257</v>
      </c>
      <c r="K722" s="53">
        <v>71950</v>
      </c>
      <c r="L722" s="54">
        <v>5</v>
      </c>
      <c r="M722" s="59">
        <f t="shared" si="35"/>
        <v>71950</v>
      </c>
    </row>
    <row r="723" spans="1:15">
      <c r="A723" s="39" t="s">
        <v>787</v>
      </c>
      <c r="B723" s="46" t="s">
        <v>271</v>
      </c>
      <c r="C723" s="39" t="s">
        <v>767</v>
      </c>
      <c r="D723" s="102">
        <v>209846975</v>
      </c>
      <c r="E723" s="102">
        <v>2522639452</v>
      </c>
      <c r="F723" s="39" t="s">
        <v>261</v>
      </c>
      <c r="G723" s="81">
        <f>36703+(364+182)</f>
        <v>37249</v>
      </c>
      <c r="H723" s="50" t="str">
        <f t="shared" si="33"/>
        <v>Dec</v>
      </c>
      <c r="I723" s="51">
        <f t="shared" ca="1" si="34"/>
        <v>14</v>
      </c>
      <c r="J723" s="52" t="s">
        <v>276</v>
      </c>
      <c r="K723" s="53">
        <v>12545</v>
      </c>
      <c r="L723" s="54">
        <v>4</v>
      </c>
      <c r="M723" s="59">
        <f t="shared" si="35"/>
        <v>12545</v>
      </c>
    </row>
    <row r="724" spans="1:15">
      <c r="A724" s="39" t="s">
        <v>397</v>
      </c>
      <c r="B724" s="46" t="s">
        <v>266</v>
      </c>
      <c r="C724" s="39" t="s">
        <v>391</v>
      </c>
      <c r="D724" s="102">
        <v>434927073</v>
      </c>
      <c r="E724" s="102">
        <v>2528440900</v>
      </c>
      <c r="F724" s="39" t="s">
        <v>256</v>
      </c>
      <c r="G724" s="81">
        <f>37066+(364+182)</f>
        <v>37612</v>
      </c>
      <c r="H724" s="50" t="str">
        <f t="shared" si="33"/>
        <v>Dec</v>
      </c>
      <c r="I724" s="51">
        <f t="shared" ca="1" si="34"/>
        <v>13</v>
      </c>
      <c r="J724" s="52" t="s">
        <v>267</v>
      </c>
      <c r="K724" s="53">
        <v>39740</v>
      </c>
      <c r="L724" s="54">
        <v>1</v>
      </c>
      <c r="M724" s="59">
        <f t="shared" si="35"/>
        <v>39740</v>
      </c>
    </row>
    <row r="725" spans="1:15">
      <c r="A725" s="39" t="s">
        <v>527</v>
      </c>
      <c r="B725" s="46" t="s">
        <v>245</v>
      </c>
      <c r="C725" s="39" t="s">
        <v>465</v>
      </c>
      <c r="D725" s="102">
        <v>488831244</v>
      </c>
      <c r="E725" s="102">
        <v>9198979762</v>
      </c>
      <c r="F725" s="39" t="s">
        <v>261</v>
      </c>
      <c r="G725" s="81">
        <f>37074+(364+182)</f>
        <v>37620</v>
      </c>
      <c r="H725" s="50" t="str">
        <f t="shared" si="33"/>
        <v>Dec</v>
      </c>
      <c r="I725" s="51">
        <f t="shared" ca="1" si="34"/>
        <v>13</v>
      </c>
      <c r="J725" s="52" t="s">
        <v>257</v>
      </c>
      <c r="K725" s="53">
        <v>24460</v>
      </c>
      <c r="L725" s="54">
        <v>1</v>
      </c>
      <c r="M725" s="59">
        <f t="shared" si="35"/>
        <v>24460</v>
      </c>
    </row>
    <row r="726" spans="1:15">
      <c r="A726" s="39" t="s">
        <v>311</v>
      </c>
      <c r="B726" s="46" t="s">
        <v>245</v>
      </c>
      <c r="C726" s="39" t="s">
        <v>312</v>
      </c>
      <c r="D726" s="102">
        <v>365117800</v>
      </c>
      <c r="E726" s="102">
        <v>2524125146</v>
      </c>
      <c r="F726" s="39" t="s">
        <v>256</v>
      </c>
      <c r="G726" s="81">
        <f>37414+(364+182)</f>
        <v>37960</v>
      </c>
      <c r="H726" s="50" t="str">
        <f t="shared" si="33"/>
        <v>Dec</v>
      </c>
      <c r="I726" s="51">
        <f t="shared" ca="1" si="34"/>
        <v>12</v>
      </c>
      <c r="J726" s="52" t="s">
        <v>257</v>
      </c>
      <c r="K726" s="53">
        <v>66890</v>
      </c>
      <c r="L726" s="54">
        <v>5</v>
      </c>
      <c r="M726" s="59">
        <f t="shared" si="35"/>
        <v>66890</v>
      </c>
    </row>
    <row r="727" spans="1:15">
      <c r="A727" s="39" t="s">
        <v>986</v>
      </c>
      <c r="B727" s="46" t="s">
        <v>285</v>
      </c>
      <c r="C727" s="39" t="s">
        <v>930</v>
      </c>
      <c r="D727" s="102">
        <v>862698919</v>
      </c>
      <c r="E727" s="102">
        <v>2522780847</v>
      </c>
      <c r="F727" s="39" t="s">
        <v>256</v>
      </c>
      <c r="G727" s="81">
        <f>37782+(364+182)</f>
        <v>38328</v>
      </c>
      <c r="H727" s="50" t="str">
        <f t="shared" si="33"/>
        <v>Dec</v>
      </c>
      <c r="I727" s="51">
        <f t="shared" ca="1" si="34"/>
        <v>11</v>
      </c>
      <c r="J727" s="52" t="s">
        <v>262</v>
      </c>
      <c r="K727" s="53">
        <v>48280</v>
      </c>
      <c r="L727" s="54">
        <v>4</v>
      </c>
      <c r="M727" s="59">
        <f t="shared" si="35"/>
        <v>48280</v>
      </c>
    </row>
    <row r="728" spans="1:15">
      <c r="A728" s="39" t="s">
        <v>982</v>
      </c>
      <c r="B728" s="46" t="s">
        <v>245</v>
      </c>
      <c r="C728" s="39" t="s">
        <v>930</v>
      </c>
      <c r="D728" s="102">
        <v>683670378</v>
      </c>
      <c r="E728" s="102">
        <v>9196259106</v>
      </c>
      <c r="F728" s="39" t="s">
        <v>256</v>
      </c>
      <c r="G728" s="81">
        <f>37801+(364+182)</f>
        <v>38347</v>
      </c>
      <c r="H728" s="50" t="str">
        <f t="shared" si="33"/>
        <v>Dec</v>
      </c>
      <c r="I728" s="51">
        <f t="shared" ca="1" si="34"/>
        <v>11</v>
      </c>
      <c r="J728" s="52" t="s">
        <v>283</v>
      </c>
      <c r="K728" s="53">
        <v>81340</v>
      </c>
      <c r="L728" s="54">
        <v>2</v>
      </c>
      <c r="M728" s="59">
        <f t="shared" si="35"/>
        <v>81340</v>
      </c>
    </row>
    <row r="729" spans="1:15">
      <c r="A729" s="39" t="s">
        <v>290</v>
      </c>
      <c r="B729" s="46" t="s">
        <v>266</v>
      </c>
      <c r="C729" s="39" t="s">
        <v>272</v>
      </c>
      <c r="D729" s="102">
        <v>840313216</v>
      </c>
      <c r="E729" s="102">
        <v>9198449868</v>
      </c>
      <c r="F729" s="39" t="s">
        <v>256</v>
      </c>
      <c r="G729" s="81">
        <f>38523+(364+182)</f>
        <v>39069</v>
      </c>
      <c r="H729" s="50" t="str">
        <f t="shared" si="33"/>
        <v>Dec</v>
      </c>
      <c r="I729" s="51">
        <f t="shared" ca="1" si="34"/>
        <v>9</v>
      </c>
      <c r="J729" s="52" t="s">
        <v>267</v>
      </c>
      <c r="K729" s="53">
        <v>37670</v>
      </c>
      <c r="L729" s="54">
        <v>3</v>
      </c>
      <c r="M729" s="59">
        <f t="shared" si="35"/>
        <v>37670</v>
      </c>
    </row>
    <row r="730" spans="1:15">
      <c r="A730" s="39" t="s">
        <v>308</v>
      </c>
      <c r="B730" s="46" t="s">
        <v>285</v>
      </c>
      <c r="C730" s="39" t="s">
        <v>307</v>
      </c>
      <c r="D730" s="102">
        <v>534034571</v>
      </c>
      <c r="E730" s="102">
        <v>2526169135</v>
      </c>
      <c r="F730" s="39" t="s">
        <v>261</v>
      </c>
      <c r="G730" s="81">
        <f>38871+(364+182)</f>
        <v>39417</v>
      </c>
      <c r="H730" s="50" t="str">
        <f t="shared" si="33"/>
        <v>Dec</v>
      </c>
      <c r="I730" s="51">
        <f t="shared" ca="1" si="34"/>
        <v>8</v>
      </c>
      <c r="J730" s="52" t="s">
        <v>267</v>
      </c>
      <c r="K730" s="53">
        <v>46095</v>
      </c>
      <c r="L730" s="54">
        <v>3</v>
      </c>
      <c r="M730" s="59">
        <f t="shared" si="35"/>
        <v>46095</v>
      </c>
    </row>
    <row r="731" spans="1:15">
      <c r="A731" s="39" t="s">
        <v>965</v>
      </c>
      <c r="B731" s="46" t="s">
        <v>280</v>
      </c>
      <c r="C731" s="39" t="s">
        <v>930</v>
      </c>
      <c r="D731" s="102">
        <v>230192897</v>
      </c>
      <c r="E731" s="102">
        <v>2525261239</v>
      </c>
      <c r="F731" s="39" t="s">
        <v>256</v>
      </c>
      <c r="G731" s="81">
        <f>38895+(364+182)</f>
        <v>39441</v>
      </c>
      <c r="H731" s="50" t="str">
        <f t="shared" si="33"/>
        <v>Dec</v>
      </c>
      <c r="I731" s="51">
        <f t="shared" ca="1" si="34"/>
        <v>8</v>
      </c>
      <c r="J731" s="52" t="s">
        <v>262</v>
      </c>
      <c r="K731" s="53">
        <v>68860</v>
      </c>
      <c r="L731" s="54">
        <v>2</v>
      </c>
      <c r="M731" s="59">
        <f t="shared" si="35"/>
        <v>68860</v>
      </c>
    </row>
    <row r="732" spans="1:15">
      <c r="A732" s="39" t="s">
        <v>849</v>
      </c>
      <c r="B732" s="46" t="s">
        <v>285</v>
      </c>
      <c r="C732" s="39" t="s">
        <v>767</v>
      </c>
      <c r="D732" s="102">
        <v>592519945</v>
      </c>
      <c r="E732" s="102">
        <v>9195990200</v>
      </c>
      <c r="F732" s="39" t="s">
        <v>256</v>
      </c>
      <c r="G732" s="81">
        <f>38900+(364+182)</f>
        <v>39446</v>
      </c>
      <c r="H732" s="50" t="str">
        <f t="shared" si="33"/>
        <v>Dec</v>
      </c>
      <c r="I732" s="51">
        <f t="shared" ca="1" si="34"/>
        <v>8</v>
      </c>
      <c r="J732" s="52" t="s">
        <v>257</v>
      </c>
      <c r="K732" s="53">
        <v>44650</v>
      </c>
      <c r="L732" s="54">
        <v>1</v>
      </c>
      <c r="M732" s="59">
        <f t="shared" si="35"/>
        <v>44650</v>
      </c>
    </row>
    <row r="733" spans="1:15">
      <c r="A733" s="45" t="s">
        <v>265</v>
      </c>
      <c r="B733" s="46" t="s">
        <v>266</v>
      </c>
      <c r="C733" s="45" t="s">
        <v>246</v>
      </c>
      <c r="D733" s="106">
        <v>991656720</v>
      </c>
      <c r="E733" s="106">
        <v>2528138394</v>
      </c>
      <c r="F733" s="45" t="s">
        <v>256</v>
      </c>
      <c r="G733" s="105">
        <f>38901+(364+182)</f>
        <v>39447</v>
      </c>
      <c r="H733" s="50" t="str">
        <f t="shared" si="33"/>
        <v>Dec</v>
      </c>
      <c r="I733" s="51">
        <f t="shared" ca="1" si="34"/>
        <v>8</v>
      </c>
      <c r="J733" s="52" t="s">
        <v>267</v>
      </c>
      <c r="K733" s="53">
        <v>72830</v>
      </c>
      <c r="L733" s="54">
        <v>2</v>
      </c>
      <c r="M733" s="59">
        <f t="shared" si="35"/>
        <v>72830</v>
      </c>
      <c r="O733" s="104"/>
    </row>
    <row r="734" spans="1:15">
      <c r="A734" s="39" t="s">
        <v>720</v>
      </c>
      <c r="B734" s="46" t="s">
        <v>280</v>
      </c>
      <c r="C734" s="39" t="s">
        <v>705</v>
      </c>
      <c r="D734" s="102">
        <v>291803431</v>
      </c>
      <c r="E734" s="102">
        <v>2525866679</v>
      </c>
      <c r="F734" s="39" t="s">
        <v>247</v>
      </c>
      <c r="G734" s="81">
        <f>39237+(364+182)</f>
        <v>39783</v>
      </c>
      <c r="H734" s="50" t="str">
        <f t="shared" si="33"/>
        <v>Dec</v>
      </c>
      <c r="I734" s="51">
        <f t="shared" ca="1" si="34"/>
        <v>7</v>
      </c>
      <c r="J734" s="52"/>
      <c r="K734" s="53">
        <v>54000</v>
      </c>
      <c r="L734" s="54">
        <v>3</v>
      </c>
      <c r="M734" s="59">
        <f t="shared" si="35"/>
        <v>54000</v>
      </c>
    </row>
    <row r="735" spans="1:15">
      <c r="A735" s="39" t="s">
        <v>362</v>
      </c>
      <c r="B735" s="46" t="s">
        <v>266</v>
      </c>
      <c r="C735" s="39" t="s">
        <v>312</v>
      </c>
      <c r="D735" s="102">
        <v>600458368</v>
      </c>
      <c r="E735" s="102">
        <v>9197280453</v>
      </c>
      <c r="F735" s="39" t="s">
        <v>261</v>
      </c>
      <c r="G735" s="81">
        <f>39256+(364+182)</f>
        <v>39802</v>
      </c>
      <c r="H735" s="50" t="str">
        <f t="shared" si="33"/>
        <v>Dec</v>
      </c>
      <c r="I735" s="51">
        <f t="shared" ca="1" si="34"/>
        <v>7</v>
      </c>
      <c r="J735" s="52" t="s">
        <v>276</v>
      </c>
      <c r="K735" s="53">
        <v>22535</v>
      </c>
      <c r="L735" s="54">
        <v>3</v>
      </c>
      <c r="M735" s="59">
        <f t="shared" si="35"/>
        <v>22535</v>
      </c>
    </row>
    <row r="736" spans="1:15">
      <c r="A736" s="39" t="s">
        <v>309</v>
      </c>
      <c r="B736" s="46" t="s">
        <v>271</v>
      </c>
      <c r="C736" s="39" t="s">
        <v>307</v>
      </c>
      <c r="D736" s="102">
        <v>601942708</v>
      </c>
      <c r="E736" s="102">
        <v>9198085402</v>
      </c>
      <c r="F736" s="39" t="s">
        <v>261</v>
      </c>
      <c r="G736" s="81">
        <f>39606+(364+182)</f>
        <v>40152</v>
      </c>
      <c r="H736" s="50" t="str">
        <f t="shared" si="33"/>
        <v>Dec</v>
      </c>
      <c r="I736" s="51">
        <f t="shared" ca="1" si="34"/>
        <v>6</v>
      </c>
      <c r="J736" s="52" t="s">
        <v>283</v>
      </c>
      <c r="K736" s="53">
        <v>28680</v>
      </c>
      <c r="L736" s="54">
        <v>1</v>
      </c>
      <c r="M736" s="59">
        <f t="shared" si="35"/>
        <v>28680</v>
      </c>
    </row>
    <row r="737" spans="1:15">
      <c r="A737" s="39" t="s">
        <v>1059</v>
      </c>
      <c r="B737" s="46" t="s">
        <v>271</v>
      </c>
      <c r="C737" s="39" t="s">
        <v>767</v>
      </c>
      <c r="D737" s="102">
        <v>924942231</v>
      </c>
      <c r="E737" s="102">
        <v>9193279828</v>
      </c>
      <c r="F737" s="39" t="s">
        <v>261</v>
      </c>
      <c r="G737" s="81">
        <f>39620+(364+182)</f>
        <v>40166</v>
      </c>
      <c r="H737" s="50" t="str">
        <f t="shared" si="33"/>
        <v>Dec</v>
      </c>
      <c r="I737" s="51">
        <f t="shared" ca="1" si="34"/>
        <v>6</v>
      </c>
      <c r="J737" s="52" t="s">
        <v>276</v>
      </c>
      <c r="K737" s="53">
        <v>25245</v>
      </c>
      <c r="L737" s="54">
        <v>5</v>
      </c>
      <c r="M737" s="59">
        <f t="shared" si="35"/>
        <v>25245</v>
      </c>
    </row>
    <row r="738" spans="1:15">
      <c r="A738" s="39" t="s">
        <v>581</v>
      </c>
      <c r="B738" s="46" t="s">
        <v>266</v>
      </c>
      <c r="C738" s="39" t="s">
        <v>465</v>
      </c>
      <c r="D738" s="102">
        <v>425634540</v>
      </c>
      <c r="E738" s="102">
        <v>9196969994</v>
      </c>
      <c r="F738" s="39" t="s">
        <v>256</v>
      </c>
      <c r="G738" s="81">
        <f>39629+(364+182)</f>
        <v>40175</v>
      </c>
      <c r="H738" s="50" t="str">
        <f t="shared" si="33"/>
        <v>Dec</v>
      </c>
      <c r="I738" s="51">
        <f t="shared" ca="1" si="34"/>
        <v>6</v>
      </c>
      <c r="J738" s="52" t="s">
        <v>267</v>
      </c>
      <c r="K738" s="53">
        <v>34690</v>
      </c>
      <c r="L738" s="54">
        <v>2</v>
      </c>
      <c r="M738" s="59">
        <f t="shared" si="35"/>
        <v>34690</v>
      </c>
    </row>
    <row r="739" spans="1:15">
      <c r="A739" s="39" t="s">
        <v>384</v>
      </c>
      <c r="B739" s="46" t="s">
        <v>271</v>
      </c>
      <c r="C739" s="39" t="s">
        <v>381</v>
      </c>
      <c r="D739" s="102">
        <v>324622113</v>
      </c>
      <c r="E739" s="102">
        <v>9198824849</v>
      </c>
      <c r="F739" s="39" t="s">
        <v>261</v>
      </c>
      <c r="G739" s="103">
        <f>39970+(364+182)</f>
        <v>40516</v>
      </c>
      <c r="H739" s="50" t="str">
        <f t="shared" si="33"/>
        <v>Dec</v>
      </c>
      <c r="I739" s="51">
        <f t="shared" ca="1" si="34"/>
        <v>5</v>
      </c>
      <c r="J739" s="52" t="s">
        <v>283</v>
      </c>
      <c r="K739" s="53">
        <v>28625</v>
      </c>
      <c r="L739" s="54">
        <v>1</v>
      </c>
      <c r="M739" s="59">
        <f t="shared" si="35"/>
        <v>28625</v>
      </c>
      <c r="O739" s="101"/>
    </row>
    <row r="740" spans="1:15">
      <c r="A740" s="39" t="s">
        <v>981</v>
      </c>
      <c r="B740" s="46" t="s">
        <v>285</v>
      </c>
      <c r="C740" s="39" t="s">
        <v>930</v>
      </c>
      <c r="D740" s="102">
        <v>717503282</v>
      </c>
      <c r="E740" s="102">
        <v>2522400087</v>
      </c>
      <c r="F740" s="39" t="s">
        <v>247</v>
      </c>
      <c r="G740" s="81">
        <f>39977+(364+182)</f>
        <v>40523</v>
      </c>
      <c r="H740" s="50" t="str">
        <f t="shared" si="33"/>
        <v>Dec</v>
      </c>
      <c r="I740" s="51">
        <f t="shared" ca="1" si="34"/>
        <v>5</v>
      </c>
      <c r="J740" s="52"/>
      <c r="K740" s="53">
        <v>46570</v>
      </c>
      <c r="L740" s="54">
        <v>4</v>
      </c>
      <c r="M740" s="59">
        <f t="shared" si="35"/>
        <v>46570</v>
      </c>
    </row>
    <row r="741" spans="1:15">
      <c r="A741" s="39" t="s">
        <v>681</v>
      </c>
      <c r="B741" s="46" t="s">
        <v>280</v>
      </c>
      <c r="C741" s="39" t="s">
        <v>678</v>
      </c>
      <c r="D741" s="102">
        <v>478004556</v>
      </c>
      <c r="E741" s="102">
        <v>9193891189</v>
      </c>
      <c r="F741" s="39" t="s">
        <v>256</v>
      </c>
      <c r="G741" s="81">
        <f>39987+(364+182)</f>
        <v>40533</v>
      </c>
      <c r="H741" s="50" t="str">
        <f t="shared" si="33"/>
        <v>Dec</v>
      </c>
      <c r="I741" s="51">
        <f t="shared" ca="1" si="34"/>
        <v>5</v>
      </c>
      <c r="J741" s="52" t="s">
        <v>276</v>
      </c>
      <c r="K741" s="53">
        <v>62180</v>
      </c>
      <c r="L741" s="54">
        <v>2</v>
      </c>
      <c r="M741" s="59">
        <f t="shared" si="35"/>
        <v>62180</v>
      </c>
    </row>
    <row r="742" spans="1:15">
      <c r="A742" s="39" t="s">
        <v>1019</v>
      </c>
      <c r="B742" s="46" t="s">
        <v>266</v>
      </c>
      <c r="C742" s="39" t="s">
        <v>930</v>
      </c>
      <c r="D742" s="102">
        <v>929694686</v>
      </c>
      <c r="E742" s="102">
        <v>9194483888</v>
      </c>
      <c r="F742" s="39" t="s">
        <v>256</v>
      </c>
      <c r="G742" s="103">
        <f>39990+(364+182)</f>
        <v>40536</v>
      </c>
      <c r="H742" s="50" t="str">
        <f t="shared" si="33"/>
        <v>Dec</v>
      </c>
      <c r="I742" s="51">
        <f t="shared" ca="1" si="34"/>
        <v>5</v>
      </c>
      <c r="J742" s="52" t="s">
        <v>283</v>
      </c>
      <c r="K742" s="53">
        <v>70730</v>
      </c>
      <c r="L742" s="54">
        <v>1</v>
      </c>
      <c r="M742" s="59">
        <f t="shared" si="35"/>
        <v>70730</v>
      </c>
    </row>
    <row r="743" spans="1:15">
      <c r="A743" s="39" t="s">
        <v>1032</v>
      </c>
      <c r="B743" s="46" t="s">
        <v>266</v>
      </c>
      <c r="C743" s="39" t="s">
        <v>1031</v>
      </c>
      <c r="D743" s="102">
        <v>827277063</v>
      </c>
      <c r="E743" s="102">
        <v>2528873234</v>
      </c>
      <c r="F743" s="39" t="s">
        <v>252</v>
      </c>
      <c r="G743" s="81">
        <f>39997+(364+182)</f>
        <v>40543</v>
      </c>
      <c r="H743" s="50" t="str">
        <f t="shared" si="33"/>
        <v>Dec</v>
      </c>
      <c r="I743" s="51">
        <f t="shared" ca="1" si="34"/>
        <v>5</v>
      </c>
      <c r="J743" s="52"/>
      <c r="K743" s="53">
        <v>19044</v>
      </c>
      <c r="L743" s="54">
        <v>1</v>
      </c>
      <c r="M743" s="59">
        <f t="shared" si="35"/>
        <v>19044</v>
      </c>
      <c r="O743" s="101"/>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N373"/>
  <sheetViews>
    <sheetView topLeftCell="A13" zoomScaleNormal="100" zoomScalePageLayoutView="80" workbookViewId="0">
      <selection activeCell="B1" sqref="B1:B1048576"/>
    </sheetView>
  </sheetViews>
  <sheetFormatPr defaultColWidth="9.7109375" defaultRowHeight="15.75"/>
  <cols>
    <col min="1" max="1" width="39.7109375" style="126" bestFit="1" customWidth="1"/>
    <col min="2" max="2" width="39.7109375" style="126" customWidth="1"/>
    <col min="3" max="3" width="5.85546875" style="126" bestFit="1" customWidth="1"/>
    <col min="4" max="12" width="9.42578125" style="126" bestFit="1" customWidth="1"/>
    <col min="13" max="13" width="12.28515625" style="126" bestFit="1" customWidth="1"/>
    <col min="14" max="15" width="9.42578125" style="126" bestFit="1" customWidth="1"/>
    <col min="16" max="17" width="12.28515625" style="126" bestFit="1" customWidth="1"/>
    <col min="18" max="18" width="11.7109375" style="126" bestFit="1" customWidth="1"/>
    <col min="19" max="25" width="11.7109375" style="127" customWidth="1"/>
    <col min="26" max="32" width="12.85546875" style="126" customWidth="1"/>
    <col min="33" max="34" width="5.28515625" style="126" bestFit="1" customWidth="1"/>
    <col min="35" max="35" width="12" style="126" bestFit="1" customWidth="1"/>
    <col min="36" max="36" width="10" style="126" bestFit="1" customWidth="1"/>
    <col min="37" max="38" width="12.28515625" style="126" bestFit="1" customWidth="1"/>
    <col min="39" max="39" width="32.85546875" style="126" bestFit="1" customWidth="1"/>
    <col min="40" max="40" width="39.7109375" style="126" bestFit="1" customWidth="1"/>
    <col min="41" max="16384" width="9.7109375" style="126"/>
  </cols>
  <sheetData>
    <row r="1" spans="1:40">
      <c r="A1" s="135" t="s">
        <v>1398</v>
      </c>
      <c r="B1" s="135"/>
      <c r="C1" s="133" t="s">
        <v>1405</v>
      </c>
      <c r="D1" s="133" t="s">
        <v>248</v>
      </c>
      <c r="E1" s="133" t="s">
        <v>253</v>
      </c>
      <c r="F1" s="133" t="s">
        <v>258</v>
      </c>
      <c r="G1" s="133" t="s">
        <v>263</v>
      </c>
      <c r="H1" s="133" t="s">
        <v>268</v>
      </c>
      <c r="I1" s="133" t="s">
        <v>273</v>
      </c>
      <c r="J1" s="133" t="s">
        <v>249</v>
      </c>
      <c r="K1" s="133" t="s">
        <v>254</v>
      </c>
      <c r="L1" s="133" t="s">
        <v>259</v>
      </c>
      <c r="M1" s="133" t="s">
        <v>264</v>
      </c>
      <c r="N1" s="133" t="s">
        <v>269</v>
      </c>
      <c r="O1" s="133" t="s">
        <v>274</v>
      </c>
      <c r="P1" s="133" t="s">
        <v>1404</v>
      </c>
      <c r="Q1" s="133" t="s">
        <v>1403</v>
      </c>
      <c r="R1" s="133" t="s">
        <v>1402</v>
      </c>
      <c r="S1" s="132"/>
      <c r="T1" s="132"/>
      <c r="U1" s="132"/>
      <c r="V1" s="132"/>
      <c r="W1" s="132"/>
      <c r="X1" s="132"/>
      <c r="Y1" s="132"/>
      <c r="AG1" s="126">
        <f>22*12</f>
        <v>264</v>
      </c>
      <c r="AH1" s="126" t="s">
        <v>1425</v>
      </c>
      <c r="AI1" s="126" t="s">
        <v>1424</v>
      </c>
      <c r="AJ1" s="126" t="s">
        <v>1064</v>
      </c>
      <c r="AK1" s="126" t="s">
        <v>1423</v>
      </c>
      <c r="AL1" s="126" t="s">
        <v>1403</v>
      </c>
      <c r="AM1" s="126" t="s">
        <v>1422</v>
      </c>
      <c r="AN1" s="126" t="s">
        <v>1421</v>
      </c>
    </row>
    <row r="2" spans="1:40">
      <c r="A2" s="134"/>
      <c r="B2" s="134"/>
      <c r="C2" s="133" t="s">
        <v>1405</v>
      </c>
      <c r="D2" s="133" t="s">
        <v>248</v>
      </c>
      <c r="E2" s="133" t="s">
        <v>253</v>
      </c>
      <c r="F2" s="133" t="s">
        <v>258</v>
      </c>
      <c r="G2" s="133" t="s">
        <v>263</v>
      </c>
      <c r="H2" s="133" t="s">
        <v>268</v>
      </c>
      <c r="I2" s="133" t="s">
        <v>273</v>
      </c>
      <c r="J2" s="133" t="s">
        <v>249</v>
      </c>
      <c r="K2" s="133" t="s">
        <v>254</v>
      </c>
      <c r="L2" s="133" t="s">
        <v>259</v>
      </c>
      <c r="M2" s="133" t="s">
        <v>264</v>
      </c>
      <c r="N2" s="133" t="s">
        <v>269</v>
      </c>
      <c r="O2" s="133" t="s">
        <v>274</v>
      </c>
      <c r="P2" s="133" t="s">
        <v>1404</v>
      </c>
      <c r="Q2" s="133" t="s">
        <v>1403</v>
      </c>
      <c r="R2" s="133" t="s">
        <v>1402</v>
      </c>
      <c r="S2" s="132"/>
      <c r="T2" s="132"/>
      <c r="U2" s="132"/>
      <c r="V2" s="132"/>
      <c r="W2" s="132"/>
      <c r="X2" s="132"/>
      <c r="Y2" s="132"/>
      <c r="AH2" s="126">
        <v>1</v>
      </c>
      <c r="AI2" s="126" t="s">
        <v>1396</v>
      </c>
      <c r="AJ2" s="128">
        <f t="shared" ref="AJ2:AJ65" si="0">DATE(YEAR(INDEX($C$2:$O$24,INT((AH2+11)/12)+1,1)),IF(MOD(AH2,12)&lt;&gt;0,MOD(AH2,12),12),1)</f>
        <v>40909</v>
      </c>
      <c r="AK2" s="126">
        <f t="shared" ref="AK2:AK65" si="1">INDEX($D$3:$O$24,INT((AH2+11)/12),AH2-(12*(INT((AH2+11)/12)-1)))</f>
        <v>254444.04</v>
      </c>
      <c r="AL2" s="126">
        <f t="array" ref="AL2">INDEX($Q$3:$Q$24,MATCH(AN2&amp;YEAR(AJ2),$A$3:$A$24&amp;YEAR($C$3:$C$24),0))</f>
        <v>2269948</v>
      </c>
      <c r="AM2" s="126" t="s">
        <v>1398</v>
      </c>
      <c r="AN2" s="126" t="str">
        <f t="shared" ref="AN2:AN65" si="2">INDEX($A$3:$A$24,INT((AH2+11)/12))</f>
        <v>Sales Tax (313-10)</v>
      </c>
    </row>
    <row r="3" spans="1:40">
      <c r="A3" s="137" t="s">
        <v>1420</v>
      </c>
      <c r="B3" s="137"/>
      <c r="C3" s="130">
        <v>40909</v>
      </c>
      <c r="D3" s="126">
        <v>254444.04</v>
      </c>
      <c r="E3" s="126">
        <v>172370.77</v>
      </c>
      <c r="F3" s="126">
        <v>166338.4</v>
      </c>
      <c r="G3" s="126">
        <v>198050.11</v>
      </c>
      <c r="H3" s="126">
        <v>175396.57</v>
      </c>
      <c r="I3" s="126">
        <v>192730.7</v>
      </c>
      <c r="J3" s="126">
        <v>210542.91</v>
      </c>
      <c r="K3" s="126">
        <v>186995.25</v>
      </c>
      <c r="L3" s="126">
        <v>193126.16</v>
      </c>
      <c r="M3" s="126">
        <v>201075.42</v>
      </c>
      <c r="N3" s="126">
        <v>183900.06</v>
      </c>
      <c r="O3" s="126">
        <v>193134.43</v>
      </c>
      <c r="P3" s="129">
        <f t="shared" ref="P3:P26" si="3">SUM(D3:O3)</f>
        <v>2328104.8199999998</v>
      </c>
      <c r="Q3" s="140">
        <v>2269948</v>
      </c>
      <c r="R3" s="129">
        <f t="shared" ref="R3:R26" si="4">P3-Q3</f>
        <v>58156.819999999832</v>
      </c>
      <c r="AH3" s="126">
        <v>2</v>
      </c>
      <c r="AI3" s="126" t="s">
        <v>1396</v>
      </c>
      <c r="AJ3" s="128">
        <f t="shared" si="0"/>
        <v>40940</v>
      </c>
      <c r="AK3" s="126">
        <f t="shared" si="1"/>
        <v>172370.77</v>
      </c>
      <c r="AL3" s="126">
        <f t="array" ref="AL3">INDEX($Q$3:$Q$24,MATCH(AN3&amp;YEAR(AJ3),$A$3:$A$24&amp;YEAR($C$3:$C$24),0))</f>
        <v>2269948</v>
      </c>
      <c r="AM3" s="126" t="s">
        <v>1398</v>
      </c>
      <c r="AN3" s="126" t="str">
        <f t="shared" si="2"/>
        <v>Sales Tax (313-10)</v>
      </c>
    </row>
    <row r="4" spans="1:40">
      <c r="A4" s="137" t="s">
        <v>1420</v>
      </c>
      <c r="B4" s="137"/>
      <c r="C4" s="130">
        <v>41275</v>
      </c>
      <c r="D4" s="126">
        <v>266761.83</v>
      </c>
      <c r="E4" s="126">
        <v>171290.7</v>
      </c>
      <c r="F4" s="126">
        <v>174095.89</v>
      </c>
      <c r="G4" s="126">
        <v>219527.08</v>
      </c>
      <c r="H4" s="126">
        <v>192993.08</v>
      </c>
      <c r="I4" s="140"/>
      <c r="J4" s="140"/>
      <c r="K4" s="140"/>
      <c r="L4" s="140"/>
      <c r="M4" s="140"/>
      <c r="N4" s="140"/>
      <c r="O4" s="140"/>
      <c r="P4" s="129">
        <f t="shared" si="3"/>
        <v>1024668.58</v>
      </c>
      <c r="Q4" s="140">
        <v>2386855</v>
      </c>
      <c r="R4" s="129">
        <f t="shared" si="4"/>
        <v>-1362186.42</v>
      </c>
      <c r="AH4" s="126">
        <v>3</v>
      </c>
      <c r="AI4" s="126" t="s">
        <v>1396</v>
      </c>
      <c r="AJ4" s="128">
        <f t="shared" si="0"/>
        <v>40969</v>
      </c>
      <c r="AK4" s="126">
        <f t="shared" si="1"/>
        <v>166338.4</v>
      </c>
      <c r="AL4" s="126">
        <f t="array" ref="AL4">INDEX($Q$3:$Q$24,MATCH(AN4&amp;YEAR(AJ4),$A$3:$A$24&amp;YEAR($C$3:$C$24),0))</f>
        <v>2269948</v>
      </c>
      <c r="AM4" s="126" t="s">
        <v>1398</v>
      </c>
      <c r="AN4" s="126" t="str">
        <f t="shared" si="2"/>
        <v>Sales Tax (313-10)</v>
      </c>
    </row>
    <row r="5" spans="1:40">
      <c r="A5" s="137" t="s">
        <v>1419</v>
      </c>
      <c r="B5" s="137"/>
      <c r="C5" s="130">
        <v>40909</v>
      </c>
      <c r="D5" s="126">
        <v>33891.089999999997</v>
      </c>
      <c r="E5" s="126">
        <v>21130.39</v>
      </c>
      <c r="F5" s="126">
        <v>27015.23</v>
      </c>
      <c r="G5" s="126">
        <v>29858.67</v>
      </c>
      <c r="H5" s="126">
        <v>29429.32</v>
      </c>
      <c r="I5" s="126">
        <v>55879.22</v>
      </c>
      <c r="J5" s="126">
        <v>29662.74</v>
      </c>
      <c r="K5" s="126">
        <v>25699.18</v>
      </c>
      <c r="L5" s="126">
        <v>31261.79</v>
      </c>
      <c r="M5" s="126">
        <v>37199.75</v>
      </c>
      <c r="N5" s="126">
        <v>28862.53</v>
      </c>
      <c r="O5" s="126">
        <v>30683.279999999999</v>
      </c>
      <c r="P5" s="129">
        <f t="shared" si="3"/>
        <v>380573.18999999994</v>
      </c>
      <c r="Q5" s="140">
        <v>326868</v>
      </c>
      <c r="R5" s="129">
        <f t="shared" si="4"/>
        <v>53705.189999999944</v>
      </c>
      <c r="AH5" s="126">
        <v>4</v>
      </c>
      <c r="AI5" s="126" t="s">
        <v>1396</v>
      </c>
      <c r="AJ5" s="128">
        <f t="shared" si="0"/>
        <v>41000</v>
      </c>
      <c r="AK5" s="126">
        <f t="shared" si="1"/>
        <v>198050.11</v>
      </c>
      <c r="AL5" s="126">
        <f t="array" ref="AL5">INDEX($Q$3:$Q$24,MATCH(AN5&amp;YEAR(AJ5),$A$3:$A$24&amp;YEAR($C$3:$C$24),0))</f>
        <v>2269948</v>
      </c>
      <c r="AM5" s="126" t="s">
        <v>1398</v>
      </c>
      <c r="AN5" s="126" t="str">
        <f t="shared" si="2"/>
        <v>Sales Tax (313-10)</v>
      </c>
    </row>
    <row r="6" spans="1:40">
      <c r="A6" s="137" t="s">
        <v>1419</v>
      </c>
      <c r="B6" s="137"/>
      <c r="C6" s="130">
        <v>41275</v>
      </c>
      <c r="D6" s="126">
        <v>42273.53</v>
      </c>
      <c r="E6" s="126">
        <v>31845.59</v>
      </c>
      <c r="F6" s="126">
        <v>26771.77</v>
      </c>
      <c r="G6" s="126">
        <v>52875.7</v>
      </c>
      <c r="H6" s="126">
        <v>34177.94</v>
      </c>
      <c r="I6" s="140"/>
      <c r="J6" s="140"/>
      <c r="K6" s="140"/>
      <c r="L6" s="140"/>
      <c r="M6" s="140"/>
      <c r="N6" s="140"/>
      <c r="O6" s="140"/>
      <c r="P6" s="129">
        <f t="shared" si="3"/>
        <v>187944.53</v>
      </c>
      <c r="Q6" s="140">
        <v>322023</v>
      </c>
      <c r="R6" s="129">
        <f t="shared" si="4"/>
        <v>-134078.47</v>
      </c>
      <c r="AH6" s="126">
        <v>5</v>
      </c>
      <c r="AI6" s="126" t="s">
        <v>1396</v>
      </c>
      <c r="AJ6" s="128">
        <f t="shared" si="0"/>
        <v>41030</v>
      </c>
      <c r="AK6" s="126">
        <f t="shared" si="1"/>
        <v>175396.57</v>
      </c>
      <c r="AL6" s="126">
        <f t="array" ref="AL6">INDEX($Q$3:$Q$24,MATCH(AN6&amp;YEAR(AJ6),$A$3:$A$24&amp;YEAR($C$3:$C$24),0))</f>
        <v>2269948</v>
      </c>
      <c r="AM6" s="126" t="s">
        <v>1398</v>
      </c>
      <c r="AN6" s="126" t="str">
        <f t="shared" si="2"/>
        <v>Sales Tax (313-10)</v>
      </c>
    </row>
    <row r="7" spans="1:40">
      <c r="A7" s="137" t="s">
        <v>1418</v>
      </c>
      <c r="B7" s="137"/>
      <c r="C7" s="130">
        <v>40909</v>
      </c>
      <c r="D7" s="140">
        <v>0</v>
      </c>
      <c r="E7" s="140">
        <v>0</v>
      </c>
      <c r="F7" s="140">
        <v>0</v>
      </c>
      <c r="G7" s="140">
        <v>0</v>
      </c>
      <c r="H7" s="140">
        <v>0</v>
      </c>
      <c r="I7" s="140">
        <v>0</v>
      </c>
      <c r="J7" s="140">
        <v>0</v>
      </c>
      <c r="K7" s="140">
        <v>0</v>
      </c>
      <c r="L7" s="140">
        <v>0</v>
      </c>
      <c r="M7" s="140">
        <v>0</v>
      </c>
      <c r="N7" s="140">
        <v>0</v>
      </c>
      <c r="O7" s="126">
        <v>8682.44</v>
      </c>
      <c r="P7" s="129">
        <f t="shared" si="3"/>
        <v>8682.44</v>
      </c>
      <c r="Q7" s="140">
        <v>0</v>
      </c>
      <c r="R7" s="129">
        <f t="shared" si="4"/>
        <v>8682.44</v>
      </c>
      <c r="AH7" s="126">
        <v>6</v>
      </c>
      <c r="AI7" s="126" t="s">
        <v>1396</v>
      </c>
      <c r="AJ7" s="128">
        <f t="shared" si="0"/>
        <v>41061</v>
      </c>
      <c r="AK7" s="126">
        <f t="shared" si="1"/>
        <v>192730.7</v>
      </c>
      <c r="AL7" s="126">
        <f t="array" ref="AL7">INDEX($Q$3:$Q$24,MATCH(AN7&amp;YEAR(AJ7),$A$3:$A$24&amp;YEAR($C$3:$C$24),0))</f>
        <v>2269948</v>
      </c>
      <c r="AM7" s="126" t="s">
        <v>1398</v>
      </c>
      <c r="AN7" s="126" t="str">
        <f t="shared" si="2"/>
        <v>Sales Tax (313-10)</v>
      </c>
    </row>
    <row r="8" spans="1:40">
      <c r="A8" s="137" t="s">
        <v>1418</v>
      </c>
      <c r="B8" s="137"/>
      <c r="C8" s="130">
        <v>41275</v>
      </c>
      <c r="D8" s="140"/>
      <c r="E8" s="140"/>
      <c r="F8" s="140">
        <v>0</v>
      </c>
      <c r="G8" s="140">
        <v>0</v>
      </c>
      <c r="H8" s="140">
        <v>0</v>
      </c>
      <c r="I8" s="140"/>
      <c r="J8" s="140"/>
      <c r="K8" s="140"/>
      <c r="L8" s="140"/>
      <c r="M8" s="140"/>
      <c r="N8" s="140"/>
      <c r="O8" s="140"/>
      <c r="P8" s="129">
        <f t="shared" si="3"/>
        <v>0</v>
      </c>
      <c r="Q8" s="140"/>
      <c r="R8" s="129">
        <f t="shared" si="4"/>
        <v>0</v>
      </c>
      <c r="AH8" s="126">
        <v>7</v>
      </c>
      <c r="AI8" s="126" t="s">
        <v>1396</v>
      </c>
      <c r="AJ8" s="128">
        <f t="shared" si="0"/>
        <v>41091</v>
      </c>
      <c r="AK8" s="126">
        <f t="shared" si="1"/>
        <v>210542.91</v>
      </c>
      <c r="AL8" s="126">
        <f t="array" ref="AL8">INDEX($Q$3:$Q$24,MATCH(AN8&amp;YEAR(AJ8),$A$3:$A$24&amp;YEAR($C$3:$C$24),0))</f>
        <v>2269948</v>
      </c>
      <c r="AM8" s="126" t="s">
        <v>1398</v>
      </c>
      <c r="AN8" s="126" t="str">
        <f t="shared" si="2"/>
        <v>Sales Tax (313-10)</v>
      </c>
    </row>
    <row r="9" spans="1:40">
      <c r="A9" s="137" t="s">
        <v>1417</v>
      </c>
      <c r="B9" s="137"/>
      <c r="C9" s="130">
        <v>40909</v>
      </c>
      <c r="D9" s="140">
        <v>0</v>
      </c>
      <c r="E9" s="140">
        <v>0</v>
      </c>
      <c r="F9" s="140">
        <v>0</v>
      </c>
      <c r="G9" s="140">
        <v>0</v>
      </c>
      <c r="H9" s="140">
        <v>0</v>
      </c>
      <c r="I9" s="140">
        <v>0</v>
      </c>
      <c r="J9" s="140">
        <v>0</v>
      </c>
      <c r="K9" s="140">
        <v>0</v>
      </c>
      <c r="L9" s="140">
        <v>0</v>
      </c>
      <c r="M9" s="140">
        <v>0</v>
      </c>
      <c r="N9" s="140">
        <v>0</v>
      </c>
      <c r="O9" s="126">
        <v>12617.79</v>
      </c>
      <c r="P9" s="129">
        <f t="shared" si="3"/>
        <v>12617.79</v>
      </c>
      <c r="Q9" s="140">
        <v>0</v>
      </c>
      <c r="R9" s="129">
        <f t="shared" si="4"/>
        <v>12617.79</v>
      </c>
      <c r="AH9" s="126">
        <v>8</v>
      </c>
      <c r="AI9" s="126" t="s">
        <v>1396</v>
      </c>
      <c r="AJ9" s="128">
        <f t="shared" si="0"/>
        <v>41122</v>
      </c>
      <c r="AK9" s="126">
        <f t="shared" si="1"/>
        <v>186995.25</v>
      </c>
      <c r="AL9" s="126">
        <f t="array" ref="AL9">INDEX($Q$3:$Q$24,MATCH(AN9&amp;YEAR(AJ9),$A$3:$A$24&amp;YEAR($C$3:$C$24),0))</f>
        <v>2269948</v>
      </c>
      <c r="AM9" s="126" t="s">
        <v>1398</v>
      </c>
      <c r="AN9" s="126" t="str">
        <f t="shared" si="2"/>
        <v>Sales Tax (313-10)</v>
      </c>
    </row>
    <row r="10" spans="1:40">
      <c r="A10" s="137" t="s">
        <v>1417</v>
      </c>
      <c r="B10" s="137"/>
      <c r="C10" s="130">
        <v>41275</v>
      </c>
      <c r="D10" s="140"/>
      <c r="E10" s="140"/>
      <c r="F10" s="140">
        <v>0</v>
      </c>
      <c r="G10" s="140">
        <v>0</v>
      </c>
      <c r="H10" s="140">
        <v>0</v>
      </c>
      <c r="I10" s="140"/>
      <c r="J10" s="140"/>
      <c r="K10" s="140"/>
      <c r="L10" s="140"/>
      <c r="M10" s="140"/>
      <c r="N10" s="140"/>
      <c r="O10" s="140"/>
      <c r="P10" s="129">
        <f t="shared" si="3"/>
        <v>0</v>
      </c>
      <c r="Q10" s="140"/>
      <c r="R10" s="129">
        <f t="shared" si="4"/>
        <v>0</v>
      </c>
      <c r="AH10" s="126">
        <v>9</v>
      </c>
      <c r="AI10" s="126" t="s">
        <v>1396</v>
      </c>
      <c r="AJ10" s="128">
        <f t="shared" si="0"/>
        <v>41153</v>
      </c>
      <c r="AK10" s="126">
        <f t="shared" si="1"/>
        <v>193126.16</v>
      </c>
      <c r="AL10" s="126">
        <f t="array" ref="AL10">INDEX($Q$3:$Q$24,MATCH(AN10&amp;YEAR(AJ10),$A$3:$A$24&amp;YEAR($C$3:$C$24),0))</f>
        <v>2269948</v>
      </c>
      <c r="AM10" s="126" t="s">
        <v>1398</v>
      </c>
      <c r="AN10" s="126" t="str">
        <f t="shared" si="2"/>
        <v>Sales Tax (313-10)</v>
      </c>
    </row>
    <row r="11" spans="1:40">
      <c r="A11" s="131" t="s">
        <v>1408</v>
      </c>
      <c r="B11" s="131"/>
      <c r="C11" s="130">
        <v>40909</v>
      </c>
      <c r="D11" s="140">
        <v>0</v>
      </c>
      <c r="E11" s="140">
        <v>0</v>
      </c>
      <c r="F11" s="140">
        <v>0</v>
      </c>
      <c r="G11" s="140">
        <v>0</v>
      </c>
      <c r="H11" s="140">
        <v>0</v>
      </c>
      <c r="I11" s="140">
        <v>0</v>
      </c>
      <c r="J11" s="140">
        <v>0</v>
      </c>
      <c r="K11" s="140">
        <v>0</v>
      </c>
      <c r="L11" s="140">
        <v>0</v>
      </c>
      <c r="M11" s="140">
        <v>0</v>
      </c>
      <c r="N11" s="140">
        <v>0</v>
      </c>
      <c r="O11" s="140">
        <v>0</v>
      </c>
      <c r="P11" s="129">
        <f t="shared" si="3"/>
        <v>0</v>
      </c>
      <c r="Q11" s="140">
        <v>0</v>
      </c>
      <c r="R11" s="129">
        <f t="shared" si="4"/>
        <v>0</v>
      </c>
      <c r="AH11" s="126">
        <v>10</v>
      </c>
      <c r="AI11" s="126" t="s">
        <v>1396</v>
      </c>
      <c r="AJ11" s="128">
        <f t="shared" si="0"/>
        <v>41183</v>
      </c>
      <c r="AK11" s="126">
        <f t="shared" si="1"/>
        <v>201075.42</v>
      </c>
      <c r="AL11" s="126">
        <f t="array" ref="AL11">INDEX($Q$3:$Q$24,MATCH(AN11&amp;YEAR(AJ11),$A$3:$A$24&amp;YEAR($C$3:$C$24),0))</f>
        <v>2269948</v>
      </c>
      <c r="AM11" s="126" t="s">
        <v>1398</v>
      </c>
      <c r="AN11" s="126" t="str">
        <f t="shared" si="2"/>
        <v>Sales Tax (313-10)</v>
      </c>
    </row>
    <row r="12" spans="1:40">
      <c r="A12" s="131" t="s">
        <v>1408</v>
      </c>
      <c r="B12" s="131"/>
      <c r="C12" s="130">
        <v>41275</v>
      </c>
      <c r="D12" s="140">
        <v>0</v>
      </c>
      <c r="E12" s="140">
        <v>0</v>
      </c>
      <c r="F12" s="140">
        <v>0</v>
      </c>
      <c r="G12" s="140">
        <v>0</v>
      </c>
      <c r="H12" s="140">
        <v>0</v>
      </c>
      <c r="I12" s="140"/>
      <c r="J12" s="140"/>
      <c r="K12" s="140"/>
      <c r="L12" s="140"/>
      <c r="M12" s="140"/>
      <c r="N12" s="140"/>
      <c r="O12" s="140"/>
      <c r="P12" s="129">
        <f t="shared" si="3"/>
        <v>0</v>
      </c>
      <c r="Q12" s="140">
        <v>0</v>
      </c>
      <c r="R12" s="129">
        <f t="shared" si="4"/>
        <v>0</v>
      </c>
      <c r="AH12" s="126">
        <v>11</v>
      </c>
      <c r="AI12" s="126" t="s">
        <v>1396</v>
      </c>
      <c r="AJ12" s="128">
        <f t="shared" si="0"/>
        <v>41214</v>
      </c>
      <c r="AK12" s="126">
        <f t="shared" si="1"/>
        <v>183900.06</v>
      </c>
      <c r="AL12" s="126">
        <f t="array" ref="AL12">INDEX($Q$3:$Q$24,MATCH(AN12&amp;YEAR(AJ12),$A$3:$A$24&amp;YEAR($C$3:$C$24),0))</f>
        <v>2269948</v>
      </c>
      <c r="AM12" s="126" t="s">
        <v>1398</v>
      </c>
      <c r="AN12" s="126" t="str">
        <f t="shared" si="2"/>
        <v>Sales Tax (313-10)</v>
      </c>
    </row>
    <row r="13" spans="1:40">
      <c r="A13" s="137" t="s">
        <v>1416</v>
      </c>
      <c r="B13" s="137"/>
      <c r="C13" s="130">
        <v>40909</v>
      </c>
      <c r="D13" s="140">
        <v>0</v>
      </c>
      <c r="E13" s="140">
        <v>0</v>
      </c>
      <c r="F13" s="140">
        <v>0</v>
      </c>
      <c r="G13" s="140">
        <v>0</v>
      </c>
      <c r="H13" s="140">
        <v>0</v>
      </c>
      <c r="I13" s="140">
        <v>0</v>
      </c>
      <c r="J13" s="140">
        <v>0</v>
      </c>
      <c r="K13" s="140">
        <v>0</v>
      </c>
      <c r="L13" s="140">
        <v>0</v>
      </c>
      <c r="M13" s="140">
        <v>100</v>
      </c>
      <c r="N13" s="140">
        <v>0</v>
      </c>
      <c r="O13" s="140">
        <v>100</v>
      </c>
      <c r="P13" s="129">
        <f t="shared" si="3"/>
        <v>200</v>
      </c>
      <c r="Q13" s="140">
        <v>0</v>
      </c>
      <c r="R13" s="129">
        <f t="shared" si="4"/>
        <v>200</v>
      </c>
      <c r="AH13" s="126">
        <v>12</v>
      </c>
      <c r="AI13" s="126" t="s">
        <v>1396</v>
      </c>
      <c r="AJ13" s="128">
        <f t="shared" si="0"/>
        <v>41244</v>
      </c>
      <c r="AK13" s="126">
        <f t="shared" si="1"/>
        <v>193134.43</v>
      </c>
      <c r="AL13" s="126">
        <f t="array" ref="AL13">INDEX($Q$3:$Q$24,MATCH(AN13&amp;YEAR(AJ13),$A$3:$A$24&amp;YEAR($C$3:$C$24),0))</f>
        <v>2269948</v>
      </c>
      <c r="AM13" s="126" t="s">
        <v>1398</v>
      </c>
      <c r="AN13" s="126" t="str">
        <f t="shared" si="2"/>
        <v>Sales Tax (313-10)</v>
      </c>
    </row>
    <row r="14" spans="1:40">
      <c r="A14" s="137" t="s">
        <v>1416</v>
      </c>
      <c r="B14" s="137"/>
      <c r="C14" s="130">
        <v>41275</v>
      </c>
      <c r="D14" s="140">
        <v>0</v>
      </c>
      <c r="E14" s="140">
        <v>0</v>
      </c>
      <c r="F14" s="140">
        <v>0</v>
      </c>
      <c r="G14" s="140">
        <v>0</v>
      </c>
      <c r="H14" s="140">
        <v>0</v>
      </c>
      <c r="I14" s="140"/>
      <c r="J14" s="140"/>
      <c r="K14" s="140"/>
      <c r="L14" s="140"/>
      <c r="M14" s="140"/>
      <c r="N14" s="140"/>
      <c r="O14" s="140"/>
      <c r="P14" s="129">
        <f t="shared" si="3"/>
        <v>0</v>
      </c>
      <c r="Q14" s="140">
        <v>2000</v>
      </c>
      <c r="R14" s="129">
        <f t="shared" si="4"/>
        <v>-2000</v>
      </c>
      <c r="AH14" s="126">
        <v>13</v>
      </c>
      <c r="AI14" s="126" t="s">
        <v>1396</v>
      </c>
      <c r="AJ14" s="128">
        <f t="shared" si="0"/>
        <v>41275</v>
      </c>
      <c r="AK14" s="126">
        <f t="shared" si="1"/>
        <v>266761.83</v>
      </c>
      <c r="AL14" s="126">
        <f t="array" ref="AL14">INDEX($Q$3:$Q$24,MATCH(AN14&amp;YEAR(AJ14),$A$3:$A$24&amp;YEAR($C$3:$C$24),0))</f>
        <v>2386855</v>
      </c>
      <c r="AM14" s="126" t="s">
        <v>1398</v>
      </c>
      <c r="AN14" s="126" t="str">
        <f t="shared" si="2"/>
        <v>Sales Tax (313-10)</v>
      </c>
    </row>
    <row r="15" spans="1:40">
      <c r="A15" s="137" t="s">
        <v>1415</v>
      </c>
      <c r="B15" s="137"/>
      <c r="C15" s="130">
        <v>40909</v>
      </c>
      <c r="D15" s="140">
        <v>0</v>
      </c>
      <c r="E15" s="126">
        <v>4901.91</v>
      </c>
      <c r="F15" s="126">
        <v>5002.08</v>
      </c>
      <c r="G15" s="126">
        <v>4657.3</v>
      </c>
      <c r="H15" s="126">
        <v>4370.76</v>
      </c>
      <c r="I15" s="126">
        <v>3646.47</v>
      </c>
      <c r="J15" s="126">
        <v>3734.41</v>
      </c>
      <c r="K15" s="126">
        <v>3645.49</v>
      </c>
      <c r="L15" s="126">
        <v>3347.7</v>
      </c>
      <c r="M15" s="126">
        <v>3148.14</v>
      </c>
      <c r="N15" s="126">
        <v>2886.8</v>
      </c>
      <c r="O15" s="126">
        <v>4183.1100000000006</v>
      </c>
      <c r="P15" s="129">
        <f t="shared" si="3"/>
        <v>43524.170000000006</v>
      </c>
      <c r="Q15" s="140">
        <v>112500</v>
      </c>
      <c r="R15" s="129">
        <f t="shared" si="4"/>
        <v>-68975.829999999987</v>
      </c>
      <c r="AH15" s="126">
        <v>14</v>
      </c>
      <c r="AI15" s="126" t="s">
        <v>1396</v>
      </c>
      <c r="AJ15" s="128">
        <f t="shared" si="0"/>
        <v>41306</v>
      </c>
      <c r="AK15" s="126">
        <f t="shared" si="1"/>
        <v>171290.7</v>
      </c>
      <c r="AL15" s="126">
        <f t="array" ref="AL15">INDEX($Q$3:$Q$24,MATCH(AN15&amp;YEAR(AJ15),$A$3:$A$24&amp;YEAR($C$3:$C$24),0))</f>
        <v>2386855</v>
      </c>
      <c r="AM15" s="126" t="s">
        <v>1398</v>
      </c>
      <c r="AN15" s="126" t="str">
        <f t="shared" si="2"/>
        <v>Sales Tax (313-10)</v>
      </c>
    </row>
    <row r="16" spans="1:40">
      <c r="A16" s="137" t="s">
        <v>1415</v>
      </c>
      <c r="B16" s="137"/>
      <c r="C16" s="130">
        <v>41275</v>
      </c>
      <c r="D16" s="140">
        <v>0</v>
      </c>
      <c r="E16" s="126">
        <v>1446.79</v>
      </c>
      <c r="F16" s="126">
        <v>1079.8400000000001</v>
      </c>
      <c r="G16" s="126">
        <v>1082.5700000000002</v>
      </c>
      <c r="H16" s="126">
        <v>1062.55</v>
      </c>
      <c r="I16" s="140"/>
      <c r="J16" s="140"/>
      <c r="K16" s="140"/>
      <c r="L16" s="140"/>
      <c r="M16" s="140"/>
      <c r="N16" s="140"/>
      <c r="O16" s="141"/>
      <c r="P16" s="129">
        <f t="shared" si="3"/>
        <v>4671.75</v>
      </c>
      <c r="Q16" s="140">
        <v>116800</v>
      </c>
      <c r="R16" s="129">
        <f t="shared" si="4"/>
        <v>-112128.25</v>
      </c>
      <c r="AH16" s="126">
        <v>15</v>
      </c>
      <c r="AI16" s="126" t="s">
        <v>1396</v>
      </c>
      <c r="AJ16" s="128">
        <f t="shared" si="0"/>
        <v>41334</v>
      </c>
      <c r="AK16" s="126">
        <f t="shared" si="1"/>
        <v>174095.89</v>
      </c>
      <c r="AL16" s="126">
        <f t="array" ref="AL16">INDEX($Q$3:$Q$24,MATCH(AN16&amp;YEAR(AJ16),$A$3:$A$24&amp;YEAR($C$3:$C$24),0))</f>
        <v>2386855</v>
      </c>
      <c r="AM16" s="126" t="s">
        <v>1398</v>
      </c>
      <c r="AN16" s="126" t="str">
        <f t="shared" si="2"/>
        <v>Sales Tax (313-10)</v>
      </c>
    </row>
    <row r="17" spans="1:40">
      <c r="A17" s="137" t="s">
        <v>1414</v>
      </c>
      <c r="B17" s="137"/>
      <c r="C17" s="130">
        <v>40909</v>
      </c>
      <c r="D17" s="140">
        <v>0</v>
      </c>
      <c r="E17" s="140">
        <v>0</v>
      </c>
      <c r="F17" s="140">
        <v>0</v>
      </c>
      <c r="G17" s="140">
        <v>0</v>
      </c>
      <c r="H17" s="140">
        <v>0</v>
      </c>
      <c r="I17" s="140">
        <v>0</v>
      </c>
      <c r="J17" s="140">
        <v>0</v>
      </c>
      <c r="K17" s="140">
        <v>0</v>
      </c>
      <c r="L17" s="140">
        <v>0</v>
      </c>
      <c r="M17" s="140">
        <v>0</v>
      </c>
      <c r="N17" s="140">
        <v>3756.4</v>
      </c>
      <c r="O17" s="141">
        <v>6274.4</v>
      </c>
      <c r="P17" s="129">
        <f t="shared" si="3"/>
        <v>10030.799999999999</v>
      </c>
      <c r="Q17" s="140">
        <v>0</v>
      </c>
      <c r="R17" s="129">
        <f t="shared" si="4"/>
        <v>10030.799999999999</v>
      </c>
      <c r="AH17" s="126">
        <v>16</v>
      </c>
      <c r="AI17" s="126" t="s">
        <v>1396</v>
      </c>
      <c r="AJ17" s="128">
        <f t="shared" si="0"/>
        <v>41365</v>
      </c>
      <c r="AK17" s="126">
        <f t="shared" si="1"/>
        <v>219527.08</v>
      </c>
      <c r="AL17" s="126">
        <f t="array" ref="AL17">INDEX($Q$3:$Q$24,MATCH(AN17&amp;YEAR(AJ17),$A$3:$A$24&amp;YEAR($C$3:$C$24),0))</f>
        <v>2386855</v>
      </c>
      <c r="AM17" s="126" t="s">
        <v>1398</v>
      </c>
      <c r="AN17" s="126" t="str">
        <f t="shared" si="2"/>
        <v>Sales Tax (313-10)</v>
      </c>
    </row>
    <row r="18" spans="1:40">
      <c r="A18" s="137" t="s">
        <v>1414</v>
      </c>
      <c r="B18" s="137"/>
      <c r="C18" s="130">
        <v>41275</v>
      </c>
      <c r="D18" s="140"/>
      <c r="E18" s="140"/>
      <c r="F18" s="140">
        <v>165.78</v>
      </c>
      <c r="G18" s="140">
        <v>174.95</v>
      </c>
      <c r="H18" s="140">
        <v>161.86000000000001</v>
      </c>
      <c r="I18" s="140"/>
      <c r="J18" s="140"/>
      <c r="K18" s="140"/>
      <c r="L18" s="140"/>
      <c r="M18" s="140"/>
      <c r="N18" s="140"/>
      <c r="O18" s="140"/>
      <c r="P18" s="129">
        <f t="shared" si="3"/>
        <v>502.59000000000003</v>
      </c>
      <c r="Q18" s="140"/>
      <c r="R18" s="129">
        <f t="shared" si="4"/>
        <v>502.59000000000003</v>
      </c>
      <c r="AH18" s="126">
        <v>17</v>
      </c>
      <c r="AI18" s="126" t="s">
        <v>1396</v>
      </c>
      <c r="AJ18" s="128">
        <f t="shared" si="0"/>
        <v>41395</v>
      </c>
      <c r="AK18" s="126">
        <f t="shared" si="1"/>
        <v>192993.08</v>
      </c>
      <c r="AL18" s="126">
        <f t="array" ref="AL18">INDEX($Q$3:$Q$24,MATCH(AN18&amp;YEAR(AJ18),$A$3:$A$24&amp;YEAR($C$3:$C$24),0))</f>
        <v>2386855</v>
      </c>
      <c r="AM18" s="126" t="s">
        <v>1398</v>
      </c>
      <c r="AN18" s="126" t="str">
        <f t="shared" si="2"/>
        <v>Sales Tax (313-10)</v>
      </c>
    </row>
    <row r="19" spans="1:40">
      <c r="A19" s="137" t="s">
        <v>1413</v>
      </c>
      <c r="B19" s="137"/>
      <c r="C19" s="130">
        <v>40909</v>
      </c>
      <c r="D19" s="140">
        <v>0</v>
      </c>
      <c r="E19" s="140">
        <v>0</v>
      </c>
      <c r="F19" s="140">
        <v>0</v>
      </c>
      <c r="G19" s="140">
        <v>0</v>
      </c>
      <c r="H19" s="140">
        <v>0</v>
      </c>
      <c r="I19" s="140">
        <v>0</v>
      </c>
      <c r="J19" s="140">
        <v>0</v>
      </c>
      <c r="K19" s="140">
        <v>0</v>
      </c>
      <c r="L19" s="140">
        <v>0</v>
      </c>
      <c r="M19" s="140">
        <v>0</v>
      </c>
      <c r="N19" s="140">
        <v>0</v>
      </c>
      <c r="O19" s="140">
        <v>-23690.68</v>
      </c>
      <c r="P19" s="129">
        <f t="shared" si="3"/>
        <v>-23690.68</v>
      </c>
      <c r="Q19" s="140">
        <v>0</v>
      </c>
      <c r="R19" s="129">
        <f t="shared" si="4"/>
        <v>-23690.68</v>
      </c>
      <c r="AH19" s="126">
        <v>18</v>
      </c>
      <c r="AI19" s="126" t="s">
        <v>1396</v>
      </c>
      <c r="AJ19" s="128">
        <f t="shared" si="0"/>
        <v>41426</v>
      </c>
      <c r="AK19" s="126">
        <f t="shared" si="1"/>
        <v>0</v>
      </c>
      <c r="AL19" s="126">
        <f t="array" ref="AL19">INDEX($Q$3:$Q$24,MATCH(AN19&amp;YEAR(AJ19),$A$3:$A$24&amp;YEAR($C$3:$C$24),0))</f>
        <v>2386855</v>
      </c>
      <c r="AM19" s="126" t="s">
        <v>1398</v>
      </c>
      <c r="AN19" s="126" t="str">
        <f t="shared" si="2"/>
        <v>Sales Tax (313-10)</v>
      </c>
    </row>
    <row r="20" spans="1:40">
      <c r="A20" s="137" t="s">
        <v>1413</v>
      </c>
      <c r="B20" s="137"/>
      <c r="C20" s="130">
        <v>41275</v>
      </c>
      <c r="D20" s="140"/>
      <c r="E20" s="140"/>
      <c r="F20" s="140">
        <v>0</v>
      </c>
      <c r="G20" s="140">
        <v>0</v>
      </c>
      <c r="H20" s="140">
        <v>0</v>
      </c>
      <c r="I20" s="140"/>
      <c r="J20" s="140"/>
      <c r="K20" s="140"/>
      <c r="L20" s="140"/>
      <c r="M20" s="140"/>
      <c r="N20" s="140"/>
      <c r="O20" s="140"/>
      <c r="P20" s="129">
        <f t="shared" si="3"/>
        <v>0</v>
      </c>
      <c r="Q20" s="140"/>
      <c r="R20" s="129">
        <f t="shared" si="4"/>
        <v>0</v>
      </c>
      <c r="AH20" s="126">
        <v>19</v>
      </c>
      <c r="AI20" s="126" t="s">
        <v>1396</v>
      </c>
      <c r="AJ20" s="128">
        <f t="shared" si="0"/>
        <v>41456</v>
      </c>
      <c r="AK20" s="126">
        <f t="shared" si="1"/>
        <v>0</v>
      </c>
      <c r="AL20" s="126">
        <f t="array" ref="AL20">INDEX($Q$3:$Q$24,MATCH(AN20&amp;YEAR(AJ20),$A$3:$A$24&amp;YEAR($C$3:$C$24),0))</f>
        <v>2386855</v>
      </c>
      <c r="AM20" s="126" t="s">
        <v>1398</v>
      </c>
      <c r="AN20" s="126" t="str">
        <f t="shared" si="2"/>
        <v>Sales Tax (313-10)</v>
      </c>
    </row>
    <row r="21" spans="1:40">
      <c r="A21" s="137" t="s">
        <v>1412</v>
      </c>
      <c r="B21" s="137"/>
      <c r="C21" s="130">
        <v>40909</v>
      </c>
      <c r="D21" s="140">
        <v>0</v>
      </c>
      <c r="E21" s="140">
        <v>0</v>
      </c>
      <c r="F21" s="140">
        <v>12500</v>
      </c>
      <c r="G21" s="140">
        <v>0</v>
      </c>
      <c r="H21" s="140">
        <v>865.11</v>
      </c>
      <c r="I21" s="140">
        <v>338</v>
      </c>
      <c r="J21" s="140">
        <v>114</v>
      </c>
      <c r="K21" s="140">
        <v>6413.5</v>
      </c>
      <c r="L21" s="140">
        <v>-347.93</v>
      </c>
      <c r="M21" s="140">
        <v>16188.72</v>
      </c>
      <c r="N21" s="140">
        <v>23816.28</v>
      </c>
      <c r="O21" s="140">
        <v>14494.4</v>
      </c>
      <c r="P21" s="129">
        <f t="shared" si="3"/>
        <v>74382.080000000002</v>
      </c>
      <c r="Q21" s="140">
        <v>30000</v>
      </c>
      <c r="R21" s="129">
        <f t="shared" si="4"/>
        <v>44382.080000000002</v>
      </c>
      <c r="AH21" s="126">
        <v>20</v>
      </c>
      <c r="AI21" s="126" t="s">
        <v>1396</v>
      </c>
      <c r="AJ21" s="128">
        <f t="shared" si="0"/>
        <v>41487</v>
      </c>
      <c r="AK21" s="126">
        <f t="shared" si="1"/>
        <v>0</v>
      </c>
      <c r="AL21" s="126">
        <f t="array" ref="AL21">INDEX($Q$3:$Q$24,MATCH(AN21&amp;YEAR(AJ21),$A$3:$A$24&amp;YEAR($C$3:$C$24),0))</f>
        <v>2386855</v>
      </c>
      <c r="AM21" s="126" t="s">
        <v>1398</v>
      </c>
      <c r="AN21" s="126" t="str">
        <f t="shared" si="2"/>
        <v>Sales Tax (313-10)</v>
      </c>
    </row>
    <row r="22" spans="1:40">
      <c r="A22" s="137" t="s">
        <v>1412</v>
      </c>
      <c r="B22" s="137"/>
      <c r="C22" s="130">
        <v>41275</v>
      </c>
      <c r="D22" s="140">
        <v>-137.19999999999999</v>
      </c>
      <c r="E22" s="140">
        <v>-132.79</v>
      </c>
      <c r="F22" s="140">
        <v>-130.33000000000001</v>
      </c>
      <c r="G22" s="140">
        <v>55896.18</v>
      </c>
      <c r="H22" s="140">
        <v>0</v>
      </c>
      <c r="I22" s="140"/>
      <c r="J22" s="140"/>
      <c r="K22" s="140"/>
      <c r="L22" s="140"/>
      <c r="M22" s="140"/>
      <c r="N22" s="140"/>
      <c r="O22" s="140"/>
      <c r="P22" s="129">
        <f t="shared" si="3"/>
        <v>55495.86</v>
      </c>
      <c r="Q22" s="140">
        <v>35000</v>
      </c>
      <c r="R22" s="129">
        <f t="shared" si="4"/>
        <v>20495.86</v>
      </c>
      <c r="AH22" s="126">
        <v>21</v>
      </c>
      <c r="AI22" s="126" t="s">
        <v>1396</v>
      </c>
      <c r="AJ22" s="128">
        <f t="shared" si="0"/>
        <v>41518</v>
      </c>
      <c r="AK22" s="126">
        <f t="shared" si="1"/>
        <v>0</v>
      </c>
      <c r="AL22" s="126">
        <f t="array" ref="AL22">INDEX($Q$3:$Q$24,MATCH(AN22&amp;YEAR(AJ22),$A$3:$A$24&amp;YEAR($C$3:$C$24),0))</f>
        <v>2386855</v>
      </c>
      <c r="AM22" s="126" t="s">
        <v>1398</v>
      </c>
      <c r="AN22" s="126" t="str">
        <f t="shared" si="2"/>
        <v>Sales Tax (313-10)</v>
      </c>
    </row>
    <row r="23" spans="1:40">
      <c r="A23" s="137" t="s">
        <v>1411</v>
      </c>
      <c r="B23" s="137"/>
      <c r="C23" s="130">
        <v>40909</v>
      </c>
      <c r="D23" s="140">
        <v>0</v>
      </c>
      <c r="E23" s="140">
        <v>0</v>
      </c>
      <c r="F23" s="140">
        <v>0</v>
      </c>
      <c r="G23" s="140">
        <v>0</v>
      </c>
      <c r="H23" s="140">
        <v>0</v>
      </c>
      <c r="I23" s="140">
        <v>0</v>
      </c>
      <c r="J23" s="140">
        <v>0</v>
      </c>
      <c r="K23" s="140">
        <v>0</v>
      </c>
      <c r="L23" s="140">
        <v>0</v>
      </c>
      <c r="M23" s="140">
        <v>29947173.149999999</v>
      </c>
      <c r="N23" s="140">
        <v>0</v>
      </c>
      <c r="O23" s="140">
        <v>0</v>
      </c>
      <c r="P23" s="129">
        <f t="shared" si="3"/>
        <v>29947173.149999999</v>
      </c>
      <c r="Q23" s="140">
        <v>21934381</v>
      </c>
      <c r="R23" s="129">
        <f t="shared" si="4"/>
        <v>8012792.1499999985</v>
      </c>
      <c r="AH23" s="126">
        <v>22</v>
      </c>
      <c r="AI23" s="126" t="s">
        <v>1396</v>
      </c>
      <c r="AJ23" s="128">
        <f t="shared" si="0"/>
        <v>41548</v>
      </c>
      <c r="AK23" s="126">
        <f t="shared" si="1"/>
        <v>0</v>
      </c>
      <c r="AL23" s="126">
        <f t="array" ref="AL23">INDEX($Q$3:$Q$24,MATCH(AN23&amp;YEAR(AJ23),$A$3:$A$24&amp;YEAR($C$3:$C$24),0))</f>
        <v>2386855</v>
      </c>
      <c r="AM23" s="126" t="s">
        <v>1398</v>
      </c>
      <c r="AN23" s="126" t="str">
        <f t="shared" si="2"/>
        <v>Sales Tax (313-10)</v>
      </c>
    </row>
    <row r="24" spans="1:40">
      <c r="A24" s="137" t="s">
        <v>1411</v>
      </c>
      <c r="B24" s="137"/>
      <c r="C24" s="130">
        <v>41275</v>
      </c>
      <c r="D24" s="140">
        <v>0</v>
      </c>
      <c r="E24" s="140">
        <v>0</v>
      </c>
      <c r="F24" s="140">
        <v>0</v>
      </c>
      <c r="G24" s="140">
        <v>0</v>
      </c>
      <c r="H24" s="140">
        <v>0</v>
      </c>
      <c r="I24" s="140"/>
      <c r="J24" s="140"/>
      <c r="K24" s="140"/>
      <c r="L24" s="140"/>
      <c r="M24" s="140"/>
      <c r="N24" s="140"/>
      <c r="O24" s="140"/>
      <c r="P24" s="129">
        <f t="shared" si="3"/>
        <v>0</v>
      </c>
      <c r="Q24" s="140">
        <v>0</v>
      </c>
      <c r="R24" s="129">
        <f t="shared" si="4"/>
        <v>0</v>
      </c>
      <c r="AH24" s="126">
        <v>23</v>
      </c>
      <c r="AI24" s="126" t="s">
        <v>1396</v>
      </c>
      <c r="AJ24" s="128">
        <f t="shared" si="0"/>
        <v>41579</v>
      </c>
      <c r="AK24" s="126">
        <f t="shared" si="1"/>
        <v>0</v>
      </c>
      <c r="AL24" s="126">
        <f t="array" ref="AL24">INDEX($Q$3:$Q$24,MATCH(AN24&amp;YEAR(AJ24),$A$3:$A$24&amp;YEAR($C$3:$C$24),0))</f>
        <v>2386855</v>
      </c>
      <c r="AM24" s="126" t="s">
        <v>1398</v>
      </c>
      <c r="AN24" s="126" t="str">
        <f t="shared" si="2"/>
        <v>Sales Tax (313-10)</v>
      </c>
    </row>
    <row r="25" spans="1:40">
      <c r="A25" s="137" t="s">
        <v>1410</v>
      </c>
      <c r="B25" s="137"/>
      <c r="C25" s="130">
        <v>40909</v>
      </c>
      <c r="D25" s="129">
        <f t="shared" ref="D25:O25" si="5">SUM(D3+D5+D7+D9+D11+D13+D15+D17+D19+D21+D23)</f>
        <v>288335.13</v>
      </c>
      <c r="E25" s="129">
        <f t="shared" si="5"/>
        <v>198403.06999999998</v>
      </c>
      <c r="F25" s="129">
        <f t="shared" si="5"/>
        <v>210855.71</v>
      </c>
      <c r="G25" s="129">
        <f t="shared" si="5"/>
        <v>232566.07999999996</v>
      </c>
      <c r="H25" s="129">
        <f t="shared" si="5"/>
        <v>210061.76</v>
      </c>
      <c r="I25" s="129">
        <f t="shared" si="5"/>
        <v>252594.39</v>
      </c>
      <c r="J25" s="129">
        <f t="shared" si="5"/>
        <v>244054.06</v>
      </c>
      <c r="K25" s="129">
        <f t="shared" si="5"/>
        <v>222753.41999999998</v>
      </c>
      <c r="L25" s="129">
        <f t="shared" si="5"/>
        <v>227387.72000000003</v>
      </c>
      <c r="M25" s="129">
        <f t="shared" si="5"/>
        <v>30204885.18</v>
      </c>
      <c r="N25" s="129">
        <f t="shared" si="5"/>
        <v>243222.06999999998</v>
      </c>
      <c r="O25" s="129">
        <f t="shared" si="5"/>
        <v>246479.16999999998</v>
      </c>
      <c r="P25" s="129">
        <f t="shared" si="3"/>
        <v>32781597.760000002</v>
      </c>
      <c r="Q25" s="129">
        <f>SUM(Q3+Q5+Q7+Q9+Q11+Q13+Q15+Q17+Q19+Q21+Q23)</f>
        <v>24673697</v>
      </c>
      <c r="R25" s="129">
        <f t="shared" si="4"/>
        <v>8107900.7600000016</v>
      </c>
      <c r="Z25" s="138"/>
      <c r="AA25" s="138"/>
      <c r="AB25" s="138"/>
      <c r="AC25" s="138"/>
      <c r="AD25" s="138"/>
      <c r="AE25" s="138"/>
      <c r="AF25" s="138"/>
      <c r="AH25" s="126">
        <v>24</v>
      </c>
      <c r="AI25" s="126" t="s">
        <v>1396</v>
      </c>
      <c r="AJ25" s="128">
        <f t="shared" si="0"/>
        <v>41609</v>
      </c>
      <c r="AK25" s="126">
        <f t="shared" si="1"/>
        <v>0</v>
      </c>
      <c r="AL25" s="126">
        <f t="array" ref="AL25">INDEX($Q$3:$Q$24,MATCH(AN25&amp;YEAR(AJ25),$A$3:$A$24&amp;YEAR($C$3:$C$24),0))</f>
        <v>2386855</v>
      </c>
      <c r="AM25" s="126" t="s">
        <v>1398</v>
      </c>
      <c r="AN25" s="126" t="str">
        <f t="shared" si="2"/>
        <v>Sales Tax (313-10)</v>
      </c>
    </row>
    <row r="26" spans="1:40">
      <c r="A26" s="137" t="s">
        <v>1410</v>
      </c>
      <c r="B26" s="137"/>
      <c r="C26" s="130">
        <v>41275</v>
      </c>
      <c r="D26" s="129">
        <f t="shared" ref="D26:O26" si="6">SUM(D4+D6+D8+D10+D12+D14+D16+D18+D20+D22+D24)</f>
        <v>308898.15999999997</v>
      </c>
      <c r="E26" s="129">
        <f t="shared" si="6"/>
        <v>204450.29</v>
      </c>
      <c r="F26" s="129">
        <f t="shared" si="6"/>
        <v>201982.95</v>
      </c>
      <c r="G26" s="129">
        <f t="shared" si="6"/>
        <v>329556.47999999998</v>
      </c>
      <c r="H26" s="129">
        <f t="shared" si="6"/>
        <v>228395.42999999996</v>
      </c>
      <c r="I26" s="129">
        <f t="shared" si="6"/>
        <v>0</v>
      </c>
      <c r="J26" s="129">
        <f t="shared" si="6"/>
        <v>0</v>
      </c>
      <c r="K26" s="129">
        <f t="shared" si="6"/>
        <v>0</v>
      </c>
      <c r="L26" s="129">
        <f t="shared" si="6"/>
        <v>0</v>
      </c>
      <c r="M26" s="129">
        <f t="shared" si="6"/>
        <v>0</v>
      </c>
      <c r="N26" s="129">
        <f t="shared" si="6"/>
        <v>0</v>
      </c>
      <c r="O26" s="129">
        <f t="shared" si="6"/>
        <v>0</v>
      </c>
      <c r="P26" s="129">
        <f t="shared" si="3"/>
        <v>1273283.3099999998</v>
      </c>
      <c r="Q26" s="129">
        <f>SUM(Q4+Q6+Q8+Q10+Q12+Q14+Q16+Q18+Q20+Q22+Q24)</f>
        <v>2862678</v>
      </c>
      <c r="R26" s="129">
        <f t="shared" si="4"/>
        <v>-1589394.6900000002</v>
      </c>
      <c r="Z26" s="138"/>
      <c r="AA26" s="138"/>
      <c r="AB26" s="138"/>
      <c r="AC26" s="138"/>
      <c r="AD26" s="138"/>
      <c r="AE26" s="138"/>
      <c r="AF26" s="138"/>
      <c r="AH26" s="126">
        <v>25</v>
      </c>
      <c r="AI26" s="126" t="s">
        <v>1396</v>
      </c>
      <c r="AJ26" s="128">
        <f t="shared" si="0"/>
        <v>40909</v>
      </c>
      <c r="AK26" s="126">
        <f t="shared" si="1"/>
        <v>33891.089999999997</v>
      </c>
      <c r="AL26" s="126">
        <f t="array" ref="AL26">INDEX($Q$3:$Q$24,MATCH(AN26&amp;YEAR(AJ26),$A$3:$A$24&amp;YEAR($C$3:$C$24),0))</f>
        <v>326868</v>
      </c>
      <c r="AM26" s="126" t="s">
        <v>1398</v>
      </c>
      <c r="AN26" s="126" t="str">
        <f t="shared" si="2"/>
        <v>Use Tax (313-11)</v>
      </c>
    </row>
    <row r="27" spans="1:40">
      <c r="C27" s="136"/>
      <c r="Z27" s="138"/>
      <c r="AA27" s="138"/>
      <c r="AB27" s="138"/>
      <c r="AC27" s="138"/>
      <c r="AD27" s="138"/>
      <c r="AE27" s="138"/>
      <c r="AF27" s="138"/>
      <c r="AH27" s="126">
        <v>26</v>
      </c>
      <c r="AI27" s="126" t="s">
        <v>1396</v>
      </c>
      <c r="AJ27" s="128">
        <f t="shared" si="0"/>
        <v>40940</v>
      </c>
      <c r="AK27" s="126">
        <f t="shared" si="1"/>
        <v>21130.39</v>
      </c>
      <c r="AL27" s="126">
        <f t="array" ref="AL27">INDEX($Q$3:$Q$24,MATCH(AN27&amp;YEAR(AJ27),$A$3:$A$24&amp;YEAR($C$3:$C$24),0))</f>
        <v>326868</v>
      </c>
      <c r="AM27" s="126" t="s">
        <v>1398</v>
      </c>
      <c r="AN27" s="126" t="str">
        <f t="shared" si="2"/>
        <v>Use Tax (313-11)</v>
      </c>
    </row>
    <row r="28" spans="1:40">
      <c r="C28" s="136"/>
      <c r="Z28" s="138"/>
      <c r="AA28" s="138"/>
      <c r="AB28" s="138"/>
      <c r="AC28" s="138"/>
      <c r="AD28" s="138"/>
      <c r="AE28" s="138"/>
      <c r="AF28" s="138"/>
      <c r="AH28" s="126">
        <v>27</v>
      </c>
      <c r="AI28" s="126" t="s">
        <v>1396</v>
      </c>
      <c r="AJ28" s="128">
        <f t="shared" si="0"/>
        <v>40969</v>
      </c>
      <c r="AK28" s="126">
        <f t="shared" si="1"/>
        <v>27015.23</v>
      </c>
      <c r="AL28" s="126">
        <f t="array" ref="AL28">INDEX($Q$3:$Q$24,MATCH(AN28&amp;YEAR(AJ28),$A$3:$A$24&amp;YEAR($C$3:$C$24),0))</f>
        <v>326868</v>
      </c>
      <c r="AM28" s="126" t="s">
        <v>1398</v>
      </c>
      <c r="AN28" s="126" t="str">
        <f t="shared" si="2"/>
        <v>Use Tax (313-11)</v>
      </c>
    </row>
    <row r="29" spans="1:40">
      <c r="A29" s="139" t="s">
        <v>1409</v>
      </c>
      <c r="B29" s="139"/>
      <c r="C29" s="134"/>
      <c r="D29" s="134"/>
      <c r="E29" s="134"/>
      <c r="F29" s="134"/>
      <c r="G29" s="134"/>
      <c r="H29" s="134"/>
      <c r="I29" s="134"/>
      <c r="J29" s="134"/>
      <c r="K29" s="134"/>
      <c r="L29" s="134"/>
      <c r="M29" s="134"/>
      <c r="N29" s="134"/>
      <c r="O29" s="134"/>
      <c r="P29" s="134"/>
      <c r="Q29" s="134"/>
      <c r="R29" s="134"/>
      <c r="Z29" s="138"/>
      <c r="AA29" s="138"/>
      <c r="AB29" s="138"/>
      <c r="AC29" s="138"/>
      <c r="AD29" s="138"/>
      <c r="AE29" s="138"/>
      <c r="AF29" s="138"/>
      <c r="AH29" s="126">
        <v>28</v>
      </c>
      <c r="AI29" s="126" t="s">
        <v>1396</v>
      </c>
      <c r="AJ29" s="128">
        <f t="shared" si="0"/>
        <v>41000</v>
      </c>
      <c r="AK29" s="126">
        <f t="shared" si="1"/>
        <v>29858.67</v>
      </c>
      <c r="AL29" s="126">
        <f t="array" ref="AL29">INDEX($Q$3:$Q$24,MATCH(AN29&amp;YEAR(AJ29),$A$3:$A$24&amp;YEAR($C$3:$C$24),0))</f>
        <v>326868</v>
      </c>
      <c r="AM29" s="126" t="s">
        <v>1398</v>
      </c>
      <c r="AN29" s="126" t="str">
        <f t="shared" si="2"/>
        <v>Use Tax (313-11)</v>
      </c>
    </row>
    <row r="30" spans="1:40">
      <c r="A30" s="134"/>
      <c r="B30" s="134"/>
      <c r="C30" s="133" t="s">
        <v>1405</v>
      </c>
      <c r="D30" s="133" t="s">
        <v>248</v>
      </c>
      <c r="E30" s="133" t="s">
        <v>253</v>
      </c>
      <c r="F30" s="133" t="s">
        <v>258</v>
      </c>
      <c r="G30" s="133" t="s">
        <v>263</v>
      </c>
      <c r="H30" s="133" t="s">
        <v>268</v>
      </c>
      <c r="I30" s="133" t="s">
        <v>273</v>
      </c>
      <c r="J30" s="133" t="s">
        <v>249</v>
      </c>
      <c r="K30" s="133" t="s">
        <v>254</v>
      </c>
      <c r="L30" s="133" t="s">
        <v>259</v>
      </c>
      <c r="M30" s="133" t="s">
        <v>264</v>
      </c>
      <c r="N30" s="133" t="s">
        <v>269</v>
      </c>
      <c r="O30" s="133" t="s">
        <v>274</v>
      </c>
      <c r="P30" s="133" t="s">
        <v>1404</v>
      </c>
      <c r="Q30" s="133" t="s">
        <v>1403</v>
      </c>
      <c r="R30" s="133" t="s">
        <v>1402</v>
      </c>
      <c r="S30" s="132"/>
      <c r="T30" s="132"/>
      <c r="U30" s="132"/>
      <c r="V30" s="132"/>
      <c r="W30" s="132"/>
      <c r="X30" s="132"/>
      <c r="Y30" s="132"/>
      <c r="Z30" s="138"/>
      <c r="AA30" s="138"/>
      <c r="AB30" s="138"/>
      <c r="AC30" s="138"/>
      <c r="AD30" s="138"/>
      <c r="AE30" s="138"/>
      <c r="AF30" s="138"/>
      <c r="AH30" s="126">
        <v>29</v>
      </c>
      <c r="AI30" s="126" t="s">
        <v>1396</v>
      </c>
      <c r="AJ30" s="128">
        <f t="shared" si="0"/>
        <v>41030</v>
      </c>
      <c r="AK30" s="126">
        <f t="shared" si="1"/>
        <v>29429.32</v>
      </c>
      <c r="AL30" s="126">
        <f t="array" ref="AL30">INDEX($Q$3:$Q$24,MATCH(AN30&amp;YEAR(AJ30),$A$3:$A$24&amp;YEAR($C$3:$C$24),0))</f>
        <v>326868</v>
      </c>
      <c r="AM30" s="126" t="s">
        <v>1398</v>
      </c>
      <c r="AN30" s="126" t="str">
        <f t="shared" si="2"/>
        <v>Use Tax (313-11)</v>
      </c>
    </row>
    <row r="31" spans="1:40">
      <c r="A31" s="137" t="s">
        <v>1408</v>
      </c>
      <c r="B31" s="137"/>
      <c r="C31" s="130">
        <v>41275</v>
      </c>
      <c r="D31" s="126">
        <v>0</v>
      </c>
      <c r="E31" s="126">
        <v>0</v>
      </c>
      <c r="F31" s="126">
        <v>0</v>
      </c>
      <c r="G31" s="126">
        <v>0</v>
      </c>
      <c r="H31" s="126">
        <v>114241.33</v>
      </c>
      <c r="P31" s="129">
        <f>SUM(D31:O31)</f>
        <v>114241.33</v>
      </c>
      <c r="Q31" s="126">
        <v>237429</v>
      </c>
      <c r="R31" s="129">
        <f t="shared" ref="R31:R37" si="7">P31-Q31</f>
        <v>-123187.67</v>
      </c>
      <c r="Z31" s="138"/>
      <c r="AA31" s="138"/>
      <c r="AB31" s="138"/>
      <c r="AC31" s="138"/>
      <c r="AD31" s="138"/>
      <c r="AE31" s="138"/>
      <c r="AF31" s="138"/>
      <c r="AH31" s="126">
        <v>30</v>
      </c>
      <c r="AI31" s="126" t="s">
        <v>1396</v>
      </c>
      <c r="AJ31" s="128">
        <f t="shared" si="0"/>
        <v>41061</v>
      </c>
      <c r="AK31" s="126">
        <f t="shared" si="1"/>
        <v>55879.22</v>
      </c>
      <c r="AL31" s="126">
        <f t="array" ref="AL31">INDEX($Q$3:$Q$24,MATCH(AN31&amp;YEAR(AJ31),$A$3:$A$24&amp;YEAR($C$3:$C$24),0))</f>
        <v>326868</v>
      </c>
      <c r="AM31" s="126" t="s">
        <v>1398</v>
      </c>
      <c r="AN31" s="126" t="str">
        <f t="shared" si="2"/>
        <v>Use Tax (313-11)</v>
      </c>
    </row>
    <row r="32" spans="1:40">
      <c r="A32" s="137" t="s">
        <v>1401</v>
      </c>
      <c r="B32" s="137"/>
      <c r="C32" s="130">
        <v>40909</v>
      </c>
      <c r="D32" s="126">
        <v>0</v>
      </c>
      <c r="E32" s="126">
        <v>739.75</v>
      </c>
      <c r="F32" s="126">
        <v>1052.76</v>
      </c>
      <c r="G32" s="126">
        <v>1269.5899999999999</v>
      </c>
      <c r="H32" s="126">
        <v>1558.22</v>
      </c>
      <c r="I32" s="126">
        <v>1549.29</v>
      </c>
      <c r="J32" s="126">
        <v>1322.24</v>
      </c>
      <c r="K32" s="126">
        <v>1573.63</v>
      </c>
      <c r="L32" s="126">
        <v>1703.17</v>
      </c>
      <c r="M32" s="126">
        <v>1880.54</v>
      </c>
      <c r="N32" s="126">
        <v>2680.05</v>
      </c>
      <c r="O32" s="127">
        <v>-4211.5599999999995</v>
      </c>
      <c r="P32" s="129">
        <f>SUM(D32:O32)</f>
        <v>11117.679999999998</v>
      </c>
      <c r="Q32" s="126">
        <v>0</v>
      </c>
      <c r="R32" s="129">
        <f t="shared" si="7"/>
        <v>11117.679999999998</v>
      </c>
      <c r="AH32" s="126">
        <v>31</v>
      </c>
      <c r="AI32" s="126" t="s">
        <v>1396</v>
      </c>
      <c r="AJ32" s="128">
        <f t="shared" si="0"/>
        <v>41091</v>
      </c>
      <c r="AK32" s="126">
        <f t="shared" si="1"/>
        <v>29662.74</v>
      </c>
      <c r="AL32" s="126">
        <f t="array" ref="AL32">INDEX($Q$3:$Q$24,MATCH(AN32&amp;YEAR(AJ32),$A$3:$A$24&amp;YEAR($C$3:$C$24),0))</f>
        <v>326868</v>
      </c>
      <c r="AM32" s="126" t="s">
        <v>1398</v>
      </c>
      <c r="AN32" s="126" t="str">
        <f t="shared" si="2"/>
        <v>Use Tax (313-11)</v>
      </c>
    </row>
    <row r="33" spans="1:40">
      <c r="A33" s="137" t="s">
        <v>1401</v>
      </c>
      <c r="B33" s="137"/>
      <c r="C33" s="130">
        <v>41275</v>
      </c>
      <c r="D33" s="126">
        <v>0</v>
      </c>
      <c r="E33" s="126">
        <v>3886.42</v>
      </c>
      <c r="F33" s="126">
        <v>3481</v>
      </c>
      <c r="G33" s="126">
        <v>3919.18</v>
      </c>
      <c r="H33" s="126">
        <v>3883.8</v>
      </c>
      <c r="P33" s="129">
        <f>SUM(D33:O33)</f>
        <v>15170.400000000001</v>
      </c>
      <c r="Q33" s="126">
        <v>0</v>
      </c>
      <c r="R33" s="129">
        <f t="shared" si="7"/>
        <v>15170.400000000001</v>
      </c>
      <c r="AH33" s="126">
        <v>32</v>
      </c>
      <c r="AI33" s="126" t="s">
        <v>1396</v>
      </c>
      <c r="AJ33" s="128">
        <f t="shared" si="0"/>
        <v>41122</v>
      </c>
      <c r="AK33" s="126">
        <f t="shared" si="1"/>
        <v>25699.18</v>
      </c>
      <c r="AL33" s="126">
        <f t="array" ref="AL33">INDEX($Q$3:$Q$24,MATCH(AN33&amp;YEAR(AJ33),$A$3:$A$24&amp;YEAR($C$3:$C$24),0))</f>
        <v>326868</v>
      </c>
      <c r="AM33" s="126" t="s">
        <v>1398</v>
      </c>
      <c r="AN33" s="126" t="str">
        <f t="shared" si="2"/>
        <v>Use Tax (313-11)</v>
      </c>
    </row>
    <row r="34" spans="1:40">
      <c r="A34" s="137" t="s">
        <v>1400</v>
      </c>
      <c r="B34" s="137"/>
      <c r="C34" s="130">
        <v>40909</v>
      </c>
      <c r="D34" s="126">
        <v>148616.32999999999</v>
      </c>
      <c r="E34" s="126">
        <v>148616.32999999999</v>
      </c>
      <c r="F34" s="126">
        <v>148616.32999999999</v>
      </c>
      <c r="G34" s="126">
        <v>148616.32999999999</v>
      </c>
      <c r="H34" s="126">
        <v>148616.32999999999</v>
      </c>
      <c r="I34" s="126">
        <v>148616.32999999999</v>
      </c>
      <c r="J34" s="126">
        <v>148616.32999999999</v>
      </c>
      <c r="K34" s="126">
        <v>148616.32999999999</v>
      </c>
      <c r="L34" s="126">
        <v>148616.32999999999</v>
      </c>
      <c r="M34" s="126">
        <v>934685.64</v>
      </c>
      <c r="N34" s="126">
        <v>187683.61</v>
      </c>
      <c r="O34" s="126">
        <v>187683.61</v>
      </c>
      <c r="P34" s="129">
        <f>SUM(D34:O34)</f>
        <v>2647599.8299999996</v>
      </c>
      <c r="Q34" s="126">
        <v>0</v>
      </c>
      <c r="R34" s="129">
        <f t="shared" si="7"/>
        <v>2647599.8299999996</v>
      </c>
      <c r="AH34" s="126">
        <v>33</v>
      </c>
      <c r="AI34" s="126" t="s">
        <v>1396</v>
      </c>
      <c r="AJ34" s="128">
        <f t="shared" si="0"/>
        <v>41153</v>
      </c>
      <c r="AK34" s="126">
        <f t="shared" si="1"/>
        <v>31261.79</v>
      </c>
      <c r="AL34" s="126">
        <f t="array" ref="AL34">INDEX($Q$3:$Q$24,MATCH(AN34&amp;YEAR(AJ34),$A$3:$A$24&amp;YEAR($C$3:$C$24),0))</f>
        <v>326868</v>
      </c>
      <c r="AM34" s="126" t="s">
        <v>1398</v>
      </c>
      <c r="AN34" s="126" t="str">
        <f t="shared" si="2"/>
        <v>Use Tax (313-11)</v>
      </c>
    </row>
    <row r="35" spans="1:40">
      <c r="A35" s="137" t="s">
        <v>1400</v>
      </c>
      <c r="B35" s="137"/>
      <c r="C35" s="130">
        <v>41275</v>
      </c>
      <c r="D35" s="126">
        <v>187683.61</v>
      </c>
      <c r="E35" s="126">
        <v>187683.61</v>
      </c>
      <c r="F35" s="126">
        <v>188285.53</v>
      </c>
      <c r="G35" s="126">
        <v>188285.53</v>
      </c>
      <c r="H35" s="126">
        <v>188285.53</v>
      </c>
      <c r="P35" s="129">
        <f>SUM(D35:O35)</f>
        <v>940223.81</v>
      </c>
      <c r="Q35" s="126">
        <v>0</v>
      </c>
      <c r="R35" s="129">
        <f t="shared" si="7"/>
        <v>940223.81</v>
      </c>
      <c r="AH35" s="126">
        <v>34</v>
      </c>
      <c r="AI35" s="126" t="s">
        <v>1396</v>
      </c>
      <c r="AJ35" s="128">
        <f t="shared" si="0"/>
        <v>41183</v>
      </c>
      <c r="AK35" s="126">
        <f t="shared" si="1"/>
        <v>37199.75</v>
      </c>
      <c r="AL35" s="126">
        <f t="array" ref="AL35">INDEX($Q$3:$Q$24,MATCH(AN35&amp;YEAR(AJ35),$A$3:$A$24&amp;YEAR($C$3:$C$24),0))</f>
        <v>326868</v>
      </c>
      <c r="AM35" s="126" t="s">
        <v>1398</v>
      </c>
      <c r="AN35" s="126" t="str">
        <f t="shared" si="2"/>
        <v>Use Tax (313-11)</v>
      </c>
    </row>
    <row r="36" spans="1:40">
      <c r="A36" s="137" t="s">
        <v>1407</v>
      </c>
      <c r="B36" s="137"/>
      <c r="C36" s="130">
        <v>40909</v>
      </c>
      <c r="D36" s="129">
        <f t="shared" ref="D36:Q36" si="8">SUM(D32+D34)</f>
        <v>148616.32999999999</v>
      </c>
      <c r="E36" s="129">
        <f t="shared" si="8"/>
        <v>149356.07999999999</v>
      </c>
      <c r="F36" s="129">
        <f t="shared" si="8"/>
        <v>149669.09</v>
      </c>
      <c r="G36" s="129">
        <f t="shared" si="8"/>
        <v>149885.91999999998</v>
      </c>
      <c r="H36" s="129">
        <f t="shared" si="8"/>
        <v>150174.54999999999</v>
      </c>
      <c r="I36" s="129">
        <f t="shared" si="8"/>
        <v>150165.62</v>
      </c>
      <c r="J36" s="129">
        <f t="shared" si="8"/>
        <v>149938.56999999998</v>
      </c>
      <c r="K36" s="129">
        <f t="shared" si="8"/>
        <v>150189.96</v>
      </c>
      <c r="L36" s="129">
        <f t="shared" si="8"/>
        <v>150319.5</v>
      </c>
      <c r="M36" s="129">
        <f t="shared" si="8"/>
        <v>936566.18</v>
      </c>
      <c r="N36" s="129">
        <f t="shared" si="8"/>
        <v>190363.65999999997</v>
      </c>
      <c r="O36" s="129">
        <f t="shared" si="8"/>
        <v>183472.05</v>
      </c>
      <c r="P36" s="129">
        <f t="shared" si="8"/>
        <v>2658717.5099999998</v>
      </c>
      <c r="Q36" s="129">
        <f t="shared" si="8"/>
        <v>0</v>
      </c>
      <c r="R36" s="129">
        <f t="shared" si="7"/>
        <v>2658717.5099999998</v>
      </c>
      <c r="Z36" s="138"/>
      <c r="AA36" s="138"/>
      <c r="AB36" s="138"/>
      <c r="AC36" s="138"/>
      <c r="AD36" s="138"/>
      <c r="AE36" s="138"/>
      <c r="AF36" s="138"/>
      <c r="AH36" s="126">
        <v>35</v>
      </c>
      <c r="AI36" s="126" t="s">
        <v>1396</v>
      </c>
      <c r="AJ36" s="128">
        <f t="shared" si="0"/>
        <v>41214</v>
      </c>
      <c r="AK36" s="126">
        <f t="shared" si="1"/>
        <v>28862.53</v>
      </c>
      <c r="AL36" s="126">
        <f t="array" ref="AL36">INDEX($Q$3:$Q$24,MATCH(AN36&amp;YEAR(AJ36),$A$3:$A$24&amp;YEAR($C$3:$C$24),0))</f>
        <v>326868</v>
      </c>
      <c r="AM36" s="126" t="s">
        <v>1398</v>
      </c>
      <c r="AN36" s="126" t="str">
        <f t="shared" si="2"/>
        <v>Use Tax (313-11)</v>
      </c>
    </row>
    <row r="37" spans="1:40">
      <c r="A37" s="137" t="s">
        <v>1407</v>
      </c>
      <c r="B37" s="137"/>
      <c r="C37" s="130">
        <v>41275</v>
      </c>
      <c r="D37" s="129">
        <f t="shared" ref="D37:O37" si="9">SUM(D31+D33+D35)</f>
        <v>187683.61</v>
      </c>
      <c r="E37" s="129">
        <f t="shared" si="9"/>
        <v>191570.03</v>
      </c>
      <c r="F37" s="129">
        <f t="shared" si="9"/>
        <v>191766.53</v>
      </c>
      <c r="G37" s="129">
        <f t="shared" si="9"/>
        <v>192204.71</v>
      </c>
      <c r="H37" s="129">
        <f t="shared" si="9"/>
        <v>306410.66000000003</v>
      </c>
      <c r="I37" s="129">
        <f t="shared" si="9"/>
        <v>0</v>
      </c>
      <c r="J37" s="129">
        <f t="shared" si="9"/>
        <v>0</v>
      </c>
      <c r="K37" s="129">
        <f t="shared" si="9"/>
        <v>0</v>
      </c>
      <c r="L37" s="129">
        <f t="shared" si="9"/>
        <v>0</v>
      </c>
      <c r="M37" s="129">
        <f t="shared" si="9"/>
        <v>0</v>
      </c>
      <c r="N37" s="129">
        <f t="shared" si="9"/>
        <v>0</v>
      </c>
      <c r="O37" s="129">
        <f t="shared" si="9"/>
        <v>0</v>
      </c>
      <c r="P37" s="129">
        <f>SUM(D37:O37)</f>
        <v>1069635.54</v>
      </c>
      <c r="Q37" s="129">
        <f>SUM(Q31+Q33+Q35)</f>
        <v>237429</v>
      </c>
      <c r="R37" s="129">
        <f t="shared" si="7"/>
        <v>832206.54</v>
      </c>
      <c r="AH37" s="126">
        <v>36</v>
      </c>
      <c r="AI37" s="126" t="s">
        <v>1396</v>
      </c>
      <c r="AJ37" s="128">
        <f t="shared" si="0"/>
        <v>41244</v>
      </c>
      <c r="AK37" s="126">
        <f t="shared" si="1"/>
        <v>30683.279999999999</v>
      </c>
      <c r="AL37" s="126">
        <f t="array" ref="AL37">INDEX($Q$3:$Q$24,MATCH(AN37&amp;YEAR(AJ37),$A$3:$A$24&amp;YEAR($C$3:$C$24),0))</f>
        <v>326868</v>
      </c>
      <c r="AM37" s="126" t="s">
        <v>1398</v>
      </c>
      <c r="AN37" s="126" t="str">
        <f t="shared" si="2"/>
        <v>Use Tax (313-11)</v>
      </c>
    </row>
    <row r="38" spans="1:40">
      <c r="C38" s="136"/>
      <c r="AH38" s="126">
        <v>37</v>
      </c>
      <c r="AI38" s="126" t="s">
        <v>1396</v>
      </c>
      <c r="AJ38" s="128">
        <f t="shared" si="0"/>
        <v>41275</v>
      </c>
      <c r="AK38" s="126">
        <f t="shared" si="1"/>
        <v>42273.53</v>
      </c>
      <c r="AL38" s="126">
        <f t="array" ref="AL38">INDEX($Q$3:$Q$24,MATCH(AN38&amp;YEAR(AJ38),$A$3:$A$24&amp;YEAR($C$3:$C$24),0))</f>
        <v>322023</v>
      </c>
      <c r="AM38" s="126" t="s">
        <v>1398</v>
      </c>
      <c r="AN38" s="126" t="str">
        <f t="shared" si="2"/>
        <v>Use Tax (313-11)</v>
      </c>
    </row>
    <row r="39" spans="1:40">
      <c r="AH39" s="126">
        <v>38</v>
      </c>
      <c r="AI39" s="126" t="s">
        <v>1396</v>
      </c>
      <c r="AJ39" s="128">
        <f t="shared" si="0"/>
        <v>41306</v>
      </c>
      <c r="AK39" s="126">
        <f t="shared" si="1"/>
        <v>31845.59</v>
      </c>
      <c r="AL39" s="126">
        <f t="array" ref="AL39">INDEX($Q$3:$Q$24,MATCH(AN39&amp;YEAR(AJ39),$A$3:$A$24&amp;YEAR($C$3:$C$24),0))</f>
        <v>322023</v>
      </c>
      <c r="AM39" s="126" t="s">
        <v>1398</v>
      </c>
      <c r="AN39" s="126" t="str">
        <f t="shared" si="2"/>
        <v>Use Tax (313-11)</v>
      </c>
    </row>
    <row r="40" spans="1:40">
      <c r="A40" s="135" t="s">
        <v>1406</v>
      </c>
      <c r="B40" s="135"/>
      <c r="C40" s="134"/>
      <c r="D40" s="134"/>
      <c r="E40" s="134"/>
      <c r="F40" s="134"/>
      <c r="G40" s="134"/>
      <c r="H40" s="134"/>
      <c r="I40" s="134"/>
      <c r="J40" s="134"/>
      <c r="K40" s="134"/>
      <c r="L40" s="134"/>
      <c r="M40" s="134"/>
      <c r="N40" s="134"/>
      <c r="O40" s="134"/>
      <c r="P40" s="134"/>
      <c r="Q40" s="134"/>
      <c r="R40" s="134"/>
      <c r="AH40" s="126">
        <v>39</v>
      </c>
      <c r="AI40" s="126" t="s">
        <v>1396</v>
      </c>
      <c r="AJ40" s="128">
        <f t="shared" si="0"/>
        <v>41334</v>
      </c>
      <c r="AK40" s="126">
        <f t="shared" si="1"/>
        <v>26771.77</v>
      </c>
      <c r="AL40" s="126">
        <f t="array" ref="AL40">INDEX($Q$3:$Q$24,MATCH(AN40&amp;YEAR(AJ40),$A$3:$A$24&amp;YEAR($C$3:$C$24),0))</f>
        <v>322023</v>
      </c>
      <c r="AM40" s="126" t="s">
        <v>1398</v>
      </c>
      <c r="AN40" s="126" t="str">
        <f t="shared" si="2"/>
        <v>Use Tax (313-11)</v>
      </c>
    </row>
    <row r="41" spans="1:40">
      <c r="A41" s="134"/>
      <c r="B41" s="134"/>
      <c r="C41" s="133" t="s">
        <v>1405</v>
      </c>
      <c r="D41" s="133" t="s">
        <v>248</v>
      </c>
      <c r="E41" s="133" t="s">
        <v>253</v>
      </c>
      <c r="F41" s="133" t="s">
        <v>258</v>
      </c>
      <c r="G41" s="133" t="s">
        <v>263</v>
      </c>
      <c r="H41" s="133" t="s">
        <v>268</v>
      </c>
      <c r="I41" s="133" t="s">
        <v>273</v>
      </c>
      <c r="J41" s="133" t="s">
        <v>249</v>
      </c>
      <c r="K41" s="133" t="s">
        <v>254</v>
      </c>
      <c r="L41" s="133" t="s">
        <v>259</v>
      </c>
      <c r="M41" s="133" t="s">
        <v>264</v>
      </c>
      <c r="N41" s="133" t="s">
        <v>269</v>
      </c>
      <c r="O41" s="133" t="s">
        <v>274</v>
      </c>
      <c r="P41" s="133" t="s">
        <v>1404</v>
      </c>
      <c r="Q41" s="133" t="s">
        <v>1403</v>
      </c>
      <c r="R41" s="133" t="s">
        <v>1402</v>
      </c>
      <c r="S41" s="132"/>
      <c r="T41" s="132"/>
      <c r="U41" s="132"/>
      <c r="V41" s="132"/>
      <c r="W41" s="132"/>
      <c r="X41" s="132"/>
      <c r="Y41" s="132"/>
      <c r="AH41" s="126">
        <v>40</v>
      </c>
      <c r="AI41" s="126" t="s">
        <v>1396</v>
      </c>
      <c r="AJ41" s="128">
        <f t="shared" si="0"/>
        <v>41365</v>
      </c>
      <c r="AK41" s="126">
        <f t="shared" si="1"/>
        <v>52875.7</v>
      </c>
      <c r="AL41" s="126">
        <f t="array" ref="AL41">INDEX($Q$3:$Q$24,MATCH(AN41&amp;YEAR(AJ41),$A$3:$A$24&amp;YEAR($C$3:$C$24),0))</f>
        <v>322023</v>
      </c>
      <c r="AM41" s="126" t="s">
        <v>1398</v>
      </c>
      <c r="AN41" s="126" t="str">
        <f t="shared" si="2"/>
        <v>Use Tax (313-11)</v>
      </c>
    </row>
    <row r="42" spans="1:40">
      <c r="A42" s="131" t="s">
        <v>1401</v>
      </c>
      <c r="B42" s="131"/>
      <c r="C42" s="130">
        <v>40909</v>
      </c>
      <c r="D42" s="126">
        <v>0</v>
      </c>
      <c r="E42" s="126">
        <v>0</v>
      </c>
      <c r="F42" s="126">
        <v>0</v>
      </c>
      <c r="G42" s="126">
        <v>0</v>
      </c>
      <c r="H42" s="126">
        <v>0</v>
      </c>
      <c r="I42" s="126">
        <v>0</v>
      </c>
      <c r="J42" s="126">
        <v>0</v>
      </c>
      <c r="K42" s="126">
        <v>0</v>
      </c>
      <c r="L42" s="126">
        <v>0</v>
      </c>
      <c r="M42" s="126">
        <v>0</v>
      </c>
      <c r="N42" s="126">
        <v>5915.68</v>
      </c>
      <c r="O42" s="127">
        <v>6593.04</v>
      </c>
      <c r="P42" s="129">
        <f t="shared" ref="P42:P47" si="10">SUM(D42:O42)</f>
        <v>12508.720000000001</v>
      </c>
      <c r="Q42" s="126">
        <v>0</v>
      </c>
      <c r="R42" s="129">
        <f t="shared" ref="R42:R47" si="11">P42-Q42</f>
        <v>12508.720000000001</v>
      </c>
      <c r="AH42" s="126">
        <v>41</v>
      </c>
      <c r="AI42" s="126" t="s">
        <v>1396</v>
      </c>
      <c r="AJ42" s="128">
        <f t="shared" si="0"/>
        <v>41395</v>
      </c>
      <c r="AK42" s="126">
        <f t="shared" si="1"/>
        <v>34177.94</v>
      </c>
      <c r="AL42" s="126">
        <f t="array" ref="AL42">INDEX($Q$3:$Q$24,MATCH(AN42&amp;YEAR(AJ42),$A$3:$A$24&amp;YEAR($C$3:$C$24),0))</f>
        <v>322023</v>
      </c>
      <c r="AM42" s="126" t="s">
        <v>1398</v>
      </c>
      <c r="AN42" s="126" t="str">
        <f t="shared" si="2"/>
        <v>Use Tax (313-11)</v>
      </c>
    </row>
    <row r="43" spans="1:40">
      <c r="A43" s="131" t="s">
        <v>1401</v>
      </c>
      <c r="B43" s="131"/>
      <c r="C43" s="130">
        <v>41275</v>
      </c>
      <c r="D43" s="126">
        <v>1042.33</v>
      </c>
      <c r="E43" s="126">
        <v>874.1</v>
      </c>
      <c r="F43" s="126">
        <v>871.01</v>
      </c>
      <c r="G43" s="126">
        <v>788.14</v>
      </c>
      <c r="H43" s="126">
        <v>754.98</v>
      </c>
      <c r="P43" s="129">
        <f t="shared" si="10"/>
        <v>4330.5599999999995</v>
      </c>
      <c r="Q43" s="126">
        <v>0</v>
      </c>
      <c r="R43" s="129">
        <f t="shared" si="11"/>
        <v>4330.5599999999995</v>
      </c>
      <c r="AH43" s="126">
        <v>42</v>
      </c>
      <c r="AI43" s="126" t="s">
        <v>1396</v>
      </c>
      <c r="AJ43" s="128">
        <f t="shared" si="0"/>
        <v>41426</v>
      </c>
      <c r="AK43" s="126">
        <f t="shared" si="1"/>
        <v>0</v>
      </c>
      <c r="AL43" s="126">
        <f t="array" ref="AL43">INDEX($Q$3:$Q$24,MATCH(AN43&amp;YEAR(AJ43),$A$3:$A$24&amp;YEAR($C$3:$C$24),0))</f>
        <v>322023</v>
      </c>
      <c r="AM43" s="126" t="s">
        <v>1398</v>
      </c>
      <c r="AN43" s="126" t="str">
        <f t="shared" si="2"/>
        <v>Use Tax (313-11)</v>
      </c>
    </row>
    <row r="44" spans="1:40">
      <c r="A44" s="131" t="s">
        <v>1400</v>
      </c>
      <c r="B44" s="131"/>
      <c r="C44" s="130">
        <v>40909</v>
      </c>
      <c r="D44" s="126">
        <v>0</v>
      </c>
      <c r="E44" s="126">
        <v>0</v>
      </c>
      <c r="F44" s="126">
        <v>0</v>
      </c>
      <c r="G44" s="126">
        <v>0</v>
      </c>
      <c r="H44" s="126">
        <v>0</v>
      </c>
      <c r="I44" s="126">
        <v>0</v>
      </c>
      <c r="J44" s="126">
        <v>0</v>
      </c>
      <c r="K44" s="126">
        <v>0</v>
      </c>
      <c r="L44" s="126">
        <v>0</v>
      </c>
      <c r="M44" s="126">
        <v>7206733.8399999999</v>
      </c>
      <c r="N44" s="126">
        <v>0</v>
      </c>
      <c r="O44" s="126">
        <v>0</v>
      </c>
      <c r="P44" s="129">
        <f t="shared" si="10"/>
        <v>7206733.8399999999</v>
      </c>
      <c r="Q44" s="126">
        <v>0</v>
      </c>
      <c r="R44" s="129">
        <f t="shared" si="11"/>
        <v>7206733.8399999999</v>
      </c>
      <c r="AH44" s="126">
        <v>43</v>
      </c>
      <c r="AI44" s="126" t="s">
        <v>1396</v>
      </c>
      <c r="AJ44" s="128">
        <f t="shared" si="0"/>
        <v>41456</v>
      </c>
      <c r="AK44" s="126">
        <f t="shared" si="1"/>
        <v>0</v>
      </c>
      <c r="AL44" s="126">
        <f t="array" ref="AL44">INDEX($Q$3:$Q$24,MATCH(AN44&amp;YEAR(AJ44),$A$3:$A$24&amp;YEAR($C$3:$C$24),0))</f>
        <v>322023</v>
      </c>
      <c r="AM44" s="126" t="s">
        <v>1398</v>
      </c>
      <c r="AN44" s="126" t="str">
        <f t="shared" si="2"/>
        <v>Use Tax (313-11)</v>
      </c>
    </row>
    <row r="45" spans="1:40">
      <c r="A45" s="131" t="s">
        <v>1400</v>
      </c>
      <c r="B45" s="131"/>
      <c r="C45" s="130">
        <v>41275</v>
      </c>
      <c r="D45" s="126">
        <v>0</v>
      </c>
      <c r="E45" s="126">
        <v>0</v>
      </c>
      <c r="F45" s="126">
        <v>0</v>
      </c>
      <c r="G45" s="126">
        <v>0</v>
      </c>
      <c r="H45" s="126">
        <v>0</v>
      </c>
      <c r="P45" s="129">
        <f t="shared" si="10"/>
        <v>0</v>
      </c>
      <c r="Q45" s="126">
        <v>0</v>
      </c>
      <c r="R45" s="129">
        <f t="shared" si="11"/>
        <v>0</v>
      </c>
      <c r="AH45" s="126">
        <v>44</v>
      </c>
      <c r="AI45" s="126" t="s">
        <v>1396</v>
      </c>
      <c r="AJ45" s="128">
        <f t="shared" si="0"/>
        <v>41487</v>
      </c>
      <c r="AK45" s="126">
        <f t="shared" si="1"/>
        <v>0</v>
      </c>
      <c r="AL45" s="126">
        <f t="array" ref="AL45">INDEX($Q$3:$Q$24,MATCH(AN45&amp;YEAR(AJ45),$A$3:$A$24&amp;YEAR($C$3:$C$24),0))</f>
        <v>322023</v>
      </c>
      <c r="AM45" s="126" t="s">
        <v>1398</v>
      </c>
      <c r="AN45" s="126" t="str">
        <f t="shared" si="2"/>
        <v>Use Tax (313-11)</v>
      </c>
    </row>
    <row r="46" spans="1:40">
      <c r="A46" s="131" t="s">
        <v>1399</v>
      </c>
      <c r="B46" s="131"/>
      <c r="C46" s="130">
        <v>40909</v>
      </c>
      <c r="D46" s="129">
        <f t="shared" ref="D46:O46" si="12">SUM(D42+D44)</f>
        <v>0</v>
      </c>
      <c r="E46" s="129">
        <f t="shared" si="12"/>
        <v>0</v>
      </c>
      <c r="F46" s="129">
        <f t="shared" si="12"/>
        <v>0</v>
      </c>
      <c r="G46" s="129">
        <f t="shared" si="12"/>
        <v>0</v>
      </c>
      <c r="H46" s="129">
        <f t="shared" si="12"/>
        <v>0</v>
      </c>
      <c r="I46" s="129">
        <f t="shared" si="12"/>
        <v>0</v>
      </c>
      <c r="J46" s="129">
        <f t="shared" si="12"/>
        <v>0</v>
      </c>
      <c r="K46" s="129">
        <f t="shared" si="12"/>
        <v>0</v>
      </c>
      <c r="L46" s="129">
        <f t="shared" si="12"/>
        <v>0</v>
      </c>
      <c r="M46" s="129">
        <f t="shared" si="12"/>
        <v>7206733.8399999999</v>
      </c>
      <c r="N46" s="129">
        <f t="shared" si="12"/>
        <v>5915.68</v>
      </c>
      <c r="O46" s="129">
        <f t="shared" si="12"/>
        <v>6593.04</v>
      </c>
      <c r="P46" s="129">
        <f t="shared" si="10"/>
        <v>7219242.5599999996</v>
      </c>
      <c r="Q46" s="129">
        <f>SUM(Q42+Q44)</f>
        <v>0</v>
      </c>
      <c r="R46" s="129">
        <f t="shared" si="11"/>
        <v>7219242.5599999996</v>
      </c>
      <c r="AH46" s="126">
        <v>45</v>
      </c>
      <c r="AI46" s="126" t="s">
        <v>1396</v>
      </c>
      <c r="AJ46" s="128">
        <f t="shared" si="0"/>
        <v>41518</v>
      </c>
      <c r="AK46" s="126">
        <f t="shared" si="1"/>
        <v>0</v>
      </c>
      <c r="AL46" s="126">
        <f t="array" ref="AL46">INDEX($Q$3:$Q$24,MATCH(AN46&amp;YEAR(AJ46),$A$3:$A$24&amp;YEAR($C$3:$C$24),0))</f>
        <v>322023</v>
      </c>
      <c r="AM46" s="126" t="s">
        <v>1398</v>
      </c>
      <c r="AN46" s="126" t="str">
        <f t="shared" si="2"/>
        <v>Use Tax (313-11)</v>
      </c>
    </row>
    <row r="47" spans="1:40">
      <c r="A47" s="131" t="s">
        <v>1399</v>
      </c>
      <c r="B47" s="131"/>
      <c r="C47" s="130">
        <v>41275</v>
      </c>
      <c r="D47" s="129">
        <f t="shared" ref="D47:O47" si="13">SUM(D43+D45)</f>
        <v>1042.33</v>
      </c>
      <c r="E47" s="129">
        <f t="shared" si="13"/>
        <v>874.1</v>
      </c>
      <c r="F47" s="129">
        <f t="shared" si="13"/>
        <v>871.01</v>
      </c>
      <c r="G47" s="129">
        <f t="shared" si="13"/>
        <v>788.14</v>
      </c>
      <c r="H47" s="129">
        <f t="shared" si="13"/>
        <v>754.98</v>
      </c>
      <c r="I47" s="129">
        <f t="shared" si="13"/>
        <v>0</v>
      </c>
      <c r="J47" s="129">
        <f t="shared" si="13"/>
        <v>0</v>
      </c>
      <c r="K47" s="129">
        <f t="shared" si="13"/>
        <v>0</v>
      </c>
      <c r="L47" s="129">
        <f t="shared" si="13"/>
        <v>0</v>
      </c>
      <c r="M47" s="129">
        <f t="shared" si="13"/>
        <v>0</v>
      </c>
      <c r="N47" s="129">
        <f t="shared" si="13"/>
        <v>0</v>
      </c>
      <c r="O47" s="129">
        <f t="shared" si="13"/>
        <v>0</v>
      </c>
      <c r="P47" s="129">
        <f t="shared" si="10"/>
        <v>4330.5599999999995</v>
      </c>
      <c r="Q47" s="129">
        <f>SUM(Q43+Q45)</f>
        <v>0</v>
      </c>
      <c r="R47" s="129">
        <f t="shared" si="11"/>
        <v>4330.5599999999995</v>
      </c>
      <c r="AH47" s="126">
        <v>46</v>
      </c>
      <c r="AI47" s="126" t="s">
        <v>1396</v>
      </c>
      <c r="AJ47" s="128">
        <f t="shared" si="0"/>
        <v>41548</v>
      </c>
      <c r="AK47" s="126">
        <f t="shared" si="1"/>
        <v>0</v>
      </c>
      <c r="AL47" s="126">
        <f t="array" ref="AL47">INDEX($Q$3:$Q$24,MATCH(AN47&amp;YEAR(AJ47),$A$3:$A$24&amp;YEAR($C$3:$C$24),0))</f>
        <v>322023</v>
      </c>
      <c r="AM47" s="126" t="s">
        <v>1398</v>
      </c>
      <c r="AN47" s="126" t="str">
        <f t="shared" si="2"/>
        <v>Use Tax (313-11)</v>
      </c>
    </row>
    <row r="48" spans="1:40">
      <c r="AH48" s="126">
        <v>47</v>
      </c>
      <c r="AI48" s="126" t="s">
        <v>1396</v>
      </c>
      <c r="AJ48" s="128">
        <f t="shared" si="0"/>
        <v>41579</v>
      </c>
      <c r="AK48" s="126">
        <f t="shared" si="1"/>
        <v>0</v>
      </c>
      <c r="AL48" s="126">
        <f t="array" ref="AL48">INDEX($Q$3:$Q$24,MATCH(AN48&amp;YEAR(AJ48),$A$3:$A$24&amp;YEAR($C$3:$C$24),0))</f>
        <v>322023</v>
      </c>
      <c r="AM48" s="126" t="s">
        <v>1398</v>
      </c>
      <c r="AN48" s="126" t="str">
        <f t="shared" si="2"/>
        <v>Use Tax (313-11)</v>
      </c>
    </row>
    <row r="49" spans="34:40">
      <c r="AH49" s="126">
        <v>48</v>
      </c>
      <c r="AI49" s="126" t="s">
        <v>1396</v>
      </c>
      <c r="AJ49" s="128">
        <f t="shared" si="0"/>
        <v>41609</v>
      </c>
      <c r="AK49" s="126">
        <f t="shared" si="1"/>
        <v>0</v>
      </c>
      <c r="AL49" s="126">
        <f t="array" ref="AL49">INDEX($Q$3:$Q$24,MATCH(AN49&amp;YEAR(AJ49),$A$3:$A$24&amp;YEAR($C$3:$C$24),0))</f>
        <v>322023</v>
      </c>
      <c r="AM49" s="126" t="s">
        <v>1398</v>
      </c>
      <c r="AN49" s="126" t="str">
        <f t="shared" si="2"/>
        <v>Use Tax (313-11)</v>
      </c>
    </row>
    <row r="50" spans="34:40">
      <c r="AH50" s="126">
        <v>49</v>
      </c>
      <c r="AI50" s="126" t="s">
        <v>1396</v>
      </c>
      <c r="AJ50" s="128">
        <f t="shared" si="0"/>
        <v>40909</v>
      </c>
      <c r="AK50" s="126">
        <f t="shared" si="1"/>
        <v>0</v>
      </c>
      <c r="AL50" s="126">
        <f t="array" ref="AL50">INDEX($Q$3:$Q$24,MATCH(AN50&amp;YEAR(AJ50),$A$3:$A$24&amp;YEAR($C$3:$C$24),0))</f>
        <v>0</v>
      </c>
      <c r="AM50" s="126" t="s">
        <v>1398</v>
      </c>
      <c r="AN50" s="126" t="str">
        <f t="shared" si="2"/>
        <v>Taxpayer Assd Use Tax Accrual (313-98)</v>
      </c>
    </row>
    <row r="51" spans="34:40">
      <c r="AH51" s="126">
        <v>50</v>
      </c>
      <c r="AI51" s="126" t="s">
        <v>1396</v>
      </c>
      <c r="AJ51" s="128">
        <f t="shared" si="0"/>
        <v>40940</v>
      </c>
      <c r="AK51" s="126">
        <f t="shared" si="1"/>
        <v>0</v>
      </c>
      <c r="AL51" s="126">
        <f t="array" ref="AL51">INDEX($Q$3:$Q$24,MATCH(AN51&amp;YEAR(AJ51),$A$3:$A$24&amp;YEAR($C$3:$C$24),0))</f>
        <v>0</v>
      </c>
      <c r="AM51" s="126" t="s">
        <v>1398</v>
      </c>
      <c r="AN51" s="126" t="str">
        <f t="shared" si="2"/>
        <v>Taxpayer Assd Use Tax Accrual (313-98)</v>
      </c>
    </row>
    <row r="52" spans="34:40">
      <c r="AH52" s="126">
        <v>51</v>
      </c>
      <c r="AI52" s="126" t="s">
        <v>1396</v>
      </c>
      <c r="AJ52" s="128">
        <f t="shared" si="0"/>
        <v>40969</v>
      </c>
      <c r="AK52" s="126">
        <f t="shared" si="1"/>
        <v>0</v>
      </c>
      <c r="AL52" s="126">
        <f t="array" ref="AL52">INDEX($Q$3:$Q$24,MATCH(AN52&amp;YEAR(AJ52),$A$3:$A$24&amp;YEAR($C$3:$C$24),0))</f>
        <v>0</v>
      </c>
      <c r="AM52" s="126" t="s">
        <v>1398</v>
      </c>
      <c r="AN52" s="126" t="str">
        <f t="shared" si="2"/>
        <v>Taxpayer Assd Use Tax Accrual (313-98)</v>
      </c>
    </row>
    <row r="53" spans="34:40">
      <c r="AH53" s="126">
        <v>52</v>
      </c>
      <c r="AI53" s="126" t="s">
        <v>1396</v>
      </c>
      <c r="AJ53" s="128">
        <f t="shared" si="0"/>
        <v>41000</v>
      </c>
      <c r="AK53" s="126">
        <f t="shared" si="1"/>
        <v>0</v>
      </c>
      <c r="AL53" s="126">
        <f t="array" ref="AL53">INDEX($Q$3:$Q$24,MATCH(AN53&amp;YEAR(AJ53),$A$3:$A$24&amp;YEAR($C$3:$C$24),0))</f>
        <v>0</v>
      </c>
      <c r="AM53" s="126" t="s">
        <v>1398</v>
      </c>
      <c r="AN53" s="126" t="str">
        <f t="shared" si="2"/>
        <v>Taxpayer Assd Use Tax Accrual (313-98)</v>
      </c>
    </row>
    <row r="54" spans="34:40">
      <c r="AH54" s="126">
        <v>53</v>
      </c>
      <c r="AI54" s="126" t="s">
        <v>1396</v>
      </c>
      <c r="AJ54" s="128">
        <f t="shared" si="0"/>
        <v>41030</v>
      </c>
      <c r="AK54" s="126">
        <f t="shared" si="1"/>
        <v>0</v>
      </c>
      <c r="AL54" s="126">
        <f t="array" ref="AL54">INDEX($Q$3:$Q$24,MATCH(AN54&amp;YEAR(AJ54),$A$3:$A$24&amp;YEAR($C$3:$C$24),0))</f>
        <v>0</v>
      </c>
      <c r="AM54" s="126" t="s">
        <v>1398</v>
      </c>
      <c r="AN54" s="126" t="str">
        <f t="shared" si="2"/>
        <v>Taxpayer Assd Use Tax Accrual (313-98)</v>
      </c>
    </row>
    <row r="55" spans="34:40">
      <c r="AH55" s="126">
        <v>54</v>
      </c>
      <c r="AI55" s="126" t="s">
        <v>1396</v>
      </c>
      <c r="AJ55" s="128">
        <f t="shared" si="0"/>
        <v>41061</v>
      </c>
      <c r="AK55" s="126">
        <f t="shared" si="1"/>
        <v>0</v>
      </c>
      <c r="AL55" s="126">
        <f t="array" ref="AL55">INDEX($Q$3:$Q$24,MATCH(AN55&amp;YEAR(AJ55),$A$3:$A$24&amp;YEAR($C$3:$C$24),0))</f>
        <v>0</v>
      </c>
      <c r="AM55" s="126" t="s">
        <v>1398</v>
      </c>
      <c r="AN55" s="126" t="str">
        <f t="shared" si="2"/>
        <v>Taxpayer Assd Use Tax Accrual (313-98)</v>
      </c>
    </row>
    <row r="56" spans="34:40">
      <c r="AH56" s="126">
        <v>55</v>
      </c>
      <c r="AI56" s="126" t="s">
        <v>1396</v>
      </c>
      <c r="AJ56" s="128">
        <f t="shared" si="0"/>
        <v>41091</v>
      </c>
      <c r="AK56" s="126">
        <f t="shared" si="1"/>
        <v>0</v>
      </c>
      <c r="AL56" s="126">
        <f t="array" ref="AL56">INDEX($Q$3:$Q$24,MATCH(AN56&amp;YEAR(AJ56),$A$3:$A$24&amp;YEAR($C$3:$C$24),0))</f>
        <v>0</v>
      </c>
      <c r="AM56" s="126" t="s">
        <v>1398</v>
      </c>
      <c r="AN56" s="126" t="str">
        <f t="shared" si="2"/>
        <v>Taxpayer Assd Use Tax Accrual (313-98)</v>
      </c>
    </row>
    <row r="57" spans="34:40">
      <c r="AH57" s="126">
        <v>56</v>
      </c>
      <c r="AI57" s="126" t="s">
        <v>1396</v>
      </c>
      <c r="AJ57" s="128">
        <f t="shared" si="0"/>
        <v>41122</v>
      </c>
      <c r="AK57" s="126">
        <f t="shared" si="1"/>
        <v>0</v>
      </c>
      <c r="AL57" s="126">
        <f t="array" ref="AL57">INDEX($Q$3:$Q$24,MATCH(AN57&amp;YEAR(AJ57),$A$3:$A$24&amp;YEAR($C$3:$C$24),0))</f>
        <v>0</v>
      </c>
      <c r="AM57" s="126" t="s">
        <v>1398</v>
      </c>
      <c r="AN57" s="126" t="str">
        <f t="shared" si="2"/>
        <v>Taxpayer Assd Use Tax Accrual (313-98)</v>
      </c>
    </row>
    <row r="58" spans="34:40">
      <c r="AH58" s="126">
        <v>57</v>
      </c>
      <c r="AI58" s="126" t="s">
        <v>1396</v>
      </c>
      <c r="AJ58" s="128">
        <f t="shared" si="0"/>
        <v>41153</v>
      </c>
      <c r="AK58" s="126">
        <f t="shared" si="1"/>
        <v>0</v>
      </c>
      <c r="AL58" s="126">
        <f t="array" ref="AL58">INDEX($Q$3:$Q$24,MATCH(AN58&amp;YEAR(AJ58),$A$3:$A$24&amp;YEAR($C$3:$C$24),0))</f>
        <v>0</v>
      </c>
      <c r="AM58" s="126" t="s">
        <v>1398</v>
      </c>
      <c r="AN58" s="126" t="str">
        <f t="shared" si="2"/>
        <v>Taxpayer Assd Use Tax Accrual (313-98)</v>
      </c>
    </row>
    <row r="59" spans="34:40">
      <c r="AH59" s="126">
        <v>58</v>
      </c>
      <c r="AI59" s="126" t="s">
        <v>1396</v>
      </c>
      <c r="AJ59" s="128">
        <f t="shared" si="0"/>
        <v>41183</v>
      </c>
      <c r="AK59" s="126">
        <f t="shared" si="1"/>
        <v>0</v>
      </c>
      <c r="AL59" s="126">
        <f t="array" ref="AL59">INDEX($Q$3:$Q$24,MATCH(AN59&amp;YEAR(AJ59),$A$3:$A$24&amp;YEAR($C$3:$C$24),0))</f>
        <v>0</v>
      </c>
      <c r="AM59" s="126" t="s">
        <v>1398</v>
      </c>
      <c r="AN59" s="126" t="str">
        <f t="shared" si="2"/>
        <v>Taxpayer Assd Use Tax Accrual (313-98)</v>
      </c>
    </row>
    <row r="60" spans="34:40">
      <c r="AH60" s="126">
        <v>59</v>
      </c>
      <c r="AI60" s="126" t="s">
        <v>1396</v>
      </c>
      <c r="AJ60" s="128">
        <f t="shared" si="0"/>
        <v>41214</v>
      </c>
      <c r="AK60" s="126">
        <f t="shared" si="1"/>
        <v>0</v>
      </c>
      <c r="AL60" s="126">
        <f t="array" ref="AL60">INDEX($Q$3:$Q$24,MATCH(AN60&amp;YEAR(AJ60),$A$3:$A$24&amp;YEAR($C$3:$C$24),0))</f>
        <v>0</v>
      </c>
      <c r="AM60" s="126" t="s">
        <v>1398</v>
      </c>
      <c r="AN60" s="126" t="str">
        <f t="shared" si="2"/>
        <v>Taxpayer Assd Use Tax Accrual (313-98)</v>
      </c>
    </row>
    <row r="61" spans="34:40">
      <c r="AH61" s="126">
        <v>60</v>
      </c>
      <c r="AI61" s="126" t="s">
        <v>1396</v>
      </c>
      <c r="AJ61" s="128">
        <f t="shared" si="0"/>
        <v>41244</v>
      </c>
      <c r="AK61" s="126">
        <f t="shared" si="1"/>
        <v>8682.44</v>
      </c>
      <c r="AL61" s="126">
        <f t="array" ref="AL61">INDEX($Q$3:$Q$24,MATCH(AN61&amp;YEAR(AJ61),$A$3:$A$24&amp;YEAR($C$3:$C$24),0))</f>
        <v>0</v>
      </c>
      <c r="AM61" s="126" t="s">
        <v>1398</v>
      </c>
      <c r="AN61" s="126" t="str">
        <f t="shared" si="2"/>
        <v>Taxpayer Assd Use Tax Accrual (313-98)</v>
      </c>
    </row>
    <row r="62" spans="34:40">
      <c r="AH62" s="126">
        <v>61</v>
      </c>
      <c r="AI62" s="126" t="s">
        <v>1396</v>
      </c>
      <c r="AJ62" s="128">
        <f t="shared" si="0"/>
        <v>41275</v>
      </c>
      <c r="AK62" s="126">
        <f t="shared" si="1"/>
        <v>0</v>
      </c>
      <c r="AL62" s="126">
        <f t="array" ref="AL62">INDEX($Q$3:$Q$24,MATCH(AN62&amp;YEAR(AJ62),$A$3:$A$24&amp;YEAR($C$3:$C$24),0))</f>
        <v>0</v>
      </c>
      <c r="AM62" s="126" t="s">
        <v>1398</v>
      </c>
      <c r="AN62" s="126" t="str">
        <f t="shared" si="2"/>
        <v>Taxpayer Assd Use Tax Accrual (313-98)</v>
      </c>
    </row>
    <row r="63" spans="34:40">
      <c r="AH63" s="126">
        <v>62</v>
      </c>
      <c r="AI63" s="126" t="s">
        <v>1396</v>
      </c>
      <c r="AJ63" s="128">
        <f t="shared" si="0"/>
        <v>41306</v>
      </c>
      <c r="AK63" s="126">
        <f t="shared" si="1"/>
        <v>0</v>
      </c>
      <c r="AL63" s="126">
        <f t="array" ref="AL63">INDEX($Q$3:$Q$24,MATCH(AN63&amp;YEAR(AJ63),$A$3:$A$24&amp;YEAR($C$3:$C$24),0))</f>
        <v>0</v>
      </c>
      <c r="AM63" s="126" t="s">
        <v>1398</v>
      </c>
      <c r="AN63" s="126" t="str">
        <f t="shared" si="2"/>
        <v>Taxpayer Assd Use Tax Accrual (313-98)</v>
      </c>
    </row>
    <row r="64" spans="34:40">
      <c r="AH64" s="126">
        <v>63</v>
      </c>
      <c r="AI64" s="126" t="s">
        <v>1396</v>
      </c>
      <c r="AJ64" s="128">
        <f t="shared" si="0"/>
        <v>41334</v>
      </c>
      <c r="AK64" s="126">
        <f t="shared" si="1"/>
        <v>0</v>
      </c>
      <c r="AL64" s="126">
        <f t="array" ref="AL64">INDEX($Q$3:$Q$24,MATCH(AN64&amp;YEAR(AJ64),$A$3:$A$24&amp;YEAR($C$3:$C$24),0))</f>
        <v>0</v>
      </c>
      <c r="AM64" s="126" t="s">
        <v>1398</v>
      </c>
      <c r="AN64" s="126" t="str">
        <f t="shared" si="2"/>
        <v>Taxpayer Assd Use Tax Accrual (313-98)</v>
      </c>
    </row>
    <row r="65" spans="34:40">
      <c r="AH65" s="126">
        <v>64</v>
      </c>
      <c r="AI65" s="126" t="s">
        <v>1396</v>
      </c>
      <c r="AJ65" s="128">
        <f t="shared" si="0"/>
        <v>41365</v>
      </c>
      <c r="AK65" s="126">
        <f t="shared" si="1"/>
        <v>0</v>
      </c>
      <c r="AL65" s="126">
        <f t="array" ref="AL65">INDEX($Q$3:$Q$24,MATCH(AN65&amp;YEAR(AJ65),$A$3:$A$24&amp;YEAR($C$3:$C$24),0))</f>
        <v>0</v>
      </c>
      <c r="AM65" s="126" t="s">
        <v>1398</v>
      </c>
      <c r="AN65" s="126" t="str">
        <f t="shared" si="2"/>
        <v>Taxpayer Assd Use Tax Accrual (313-98)</v>
      </c>
    </row>
    <row r="66" spans="34:40">
      <c r="AH66" s="126">
        <v>65</v>
      </c>
      <c r="AI66" s="126" t="s">
        <v>1396</v>
      </c>
      <c r="AJ66" s="128">
        <f t="shared" ref="AJ66:AJ129" si="14">DATE(YEAR(INDEX($C$2:$O$24,INT((AH66+11)/12)+1,1)),IF(MOD(AH66,12)&lt;&gt;0,MOD(AH66,12),12),1)</f>
        <v>41395</v>
      </c>
      <c r="AK66" s="126">
        <f t="shared" ref="AK66:AK129" si="15">INDEX($D$3:$O$24,INT((AH66+11)/12),AH66-(12*(INT((AH66+11)/12)-1)))</f>
        <v>0</v>
      </c>
      <c r="AL66" s="126">
        <f t="array" ref="AL66">INDEX($Q$3:$Q$24,MATCH(AN66&amp;YEAR(AJ66),$A$3:$A$24&amp;YEAR($C$3:$C$24),0))</f>
        <v>0</v>
      </c>
      <c r="AM66" s="126" t="s">
        <v>1398</v>
      </c>
      <c r="AN66" s="126" t="str">
        <f t="shared" ref="AN66:AN129" si="16">INDEX($A$3:$A$24,INT((AH66+11)/12))</f>
        <v>Taxpayer Assd Use Tax Accrual (313-98)</v>
      </c>
    </row>
    <row r="67" spans="34:40">
      <c r="AH67" s="126">
        <v>66</v>
      </c>
      <c r="AI67" s="126" t="s">
        <v>1396</v>
      </c>
      <c r="AJ67" s="128">
        <f t="shared" si="14"/>
        <v>41426</v>
      </c>
      <c r="AK67" s="126">
        <f t="shared" si="15"/>
        <v>0</v>
      </c>
      <c r="AL67" s="126">
        <f t="array" ref="AL67">INDEX($Q$3:$Q$24,MATCH(AN67&amp;YEAR(AJ67),$A$3:$A$24&amp;YEAR($C$3:$C$24),0))</f>
        <v>0</v>
      </c>
      <c r="AM67" s="126" t="s">
        <v>1398</v>
      </c>
      <c r="AN67" s="126" t="str">
        <f t="shared" si="16"/>
        <v>Taxpayer Assd Use Tax Accrual (313-98)</v>
      </c>
    </row>
    <row r="68" spans="34:40">
      <c r="AH68" s="126">
        <v>67</v>
      </c>
      <c r="AI68" s="126" t="s">
        <v>1396</v>
      </c>
      <c r="AJ68" s="128">
        <f t="shared" si="14"/>
        <v>41456</v>
      </c>
      <c r="AK68" s="126">
        <f t="shared" si="15"/>
        <v>0</v>
      </c>
      <c r="AL68" s="126">
        <f t="array" ref="AL68">INDEX($Q$3:$Q$24,MATCH(AN68&amp;YEAR(AJ68),$A$3:$A$24&amp;YEAR($C$3:$C$24),0))</f>
        <v>0</v>
      </c>
      <c r="AM68" s="126" t="s">
        <v>1398</v>
      </c>
      <c r="AN68" s="126" t="str">
        <f t="shared" si="16"/>
        <v>Taxpayer Assd Use Tax Accrual (313-98)</v>
      </c>
    </row>
    <row r="69" spans="34:40">
      <c r="AH69" s="126">
        <v>68</v>
      </c>
      <c r="AI69" s="126" t="s">
        <v>1396</v>
      </c>
      <c r="AJ69" s="128">
        <f t="shared" si="14"/>
        <v>41487</v>
      </c>
      <c r="AK69" s="126">
        <f t="shared" si="15"/>
        <v>0</v>
      </c>
      <c r="AL69" s="126">
        <f t="array" ref="AL69">INDEX($Q$3:$Q$24,MATCH(AN69&amp;YEAR(AJ69),$A$3:$A$24&amp;YEAR($C$3:$C$24),0))</f>
        <v>0</v>
      </c>
      <c r="AM69" s="126" t="s">
        <v>1398</v>
      </c>
      <c r="AN69" s="126" t="str">
        <f t="shared" si="16"/>
        <v>Taxpayer Assd Use Tax Accrual (313-98)</v>
      </c>
    </row>
    <row r="70" spans="34:40">
      <c r="AH70" s="126">
        <v>69</v>
      </c>
      <c r="AI70" s="126" t="s">
        <v>1396</v>
      </c>
      <c r="AJ70" s="128">
        <f t="shared" si="14"/>
        <v>41518</v>
      </c>
      <c r="AK70" s="126">
        <f t="shared" si="15"/>
        <v>0</v>
      </c>
      <c r="AL70" s="126">
        <f t="array" ref="AL70">INDEX($Q$3:$Q$24,MATCH(AN70&amp;YEAR(AJ70),$A$3:$A$24&amp;YEAR($C$3:$C$24),0))</f>
        <v>0</v>
      </c>
      <c r="AM70" s="126" t="s">
        <v>1398</v>
      </c>
      <c r="AN70" s="126" t="str">
        <f t="shared" si="16"/>
        <v>Taxpayer Assd Use Tax Accrual (313-98)</v>
      </c>
    </row>
    <row r="71" spans="34:40">
      <c r="AH71" s="126">
        <v>70</v>
      </c>
      <c r="AI71" s="126" t="s">
        <v>1396</v>
      </c>
      <c r="AJ71" s="128">
        <f t="shared" si="14"/>
        <v>41548</v>
      </c>
      <c r="AK71" s="126">
        <f t="shared" si="15"/>
        <v>0</v>
      </c>
      <c r="AL71" s="126">
        <f t="array" ref="AL71">INDEX($Q$3:$Q$24,MATCH(AN71&amp;YEAR(AJ71),$A$3:$A$24&amp;YEAR($C$3:$C$24),0))</f>
        <v>0</v>
      </c>
      <c r="AM71" s="126" t="s">
        <v>1398</v>
      </c>
      <c r="AN71" s="126" t="str">
        <f t="shared" si="16"/>
        <v>Taxpayer Assd Use Tax Accrual (313-98)</v>
      </c>
    </row>
    <row r="72" spans="34:40">
      <c r="AH72" s="126">
        <v>71</v>
      </c>
      <c r="AI72" s="126" t="s">
        <v>1396</v>
      </c>
      <c r="AJ72" s="128">
        <f t="shared" si="14"/>
        <v>41579</v>
      </c>
      <c r="AK72" s="126">
        <f t="shared" si="15"/>
        <v>0</v>
      </c>
      <c r="AL72" s="126">
        <f t="array" ref="AL72">INDEX($Q$3:$Q$24,MATCH(AN72&amp;YEAR(AJ72),$A$3:$A$24&amp;YEAR($C$3:$C$24),0))</f>
        <v>0</v>
      </c>
      <c r="AM72" s="126" t="s">
        <v>1398</v>
      </c>
      <c r="AN72" s="126" t="str">
        <f t="shared" si="16"/>
        <v>Taxpayer Assd Use Tax Accrual (313-98)</v>
      </c>
    </row>
    <row r="73" spans="34:40">
      <c r="AH73" s="126">
        <v>72</v>
      </c>
      <c r="AI73" s="126" t="s">
        <v>1396</v>
      </c>
      <c r="AJ73" s="128">
        <f t="shared" si="14"/>
        <v>41609</v>
      </c>
      <c r="AK73" s="126">
        <f t="shared" si="15"/>
        <v>0</v>
      </c>
      <c r="AL73" s="126">
        <f t="array" ref="AL73">INDEX($Q$3:$Q$24,MATCH(AN73&amp;YEAR(AJ73),$A$3:$A$24&amp;YEAR($C$3:$C$24),0))</f>
        <v>0</v>
      </c>
      <c r="AM73" s="126" t="s">
        <v>1398</v>
      </c>
      <c r="AN73" s="126" t="str">
        <f t="shared" si="16"/>
        <v>Taxpayer Assd Use Tax Accrual (313-98)</v>
      </c>
    </row>
    <row r="74" spans="34:40">
      <c r="AH74" s="126">
        <v>73</v>
      </c>
      <c r="AI74" s="126" t="s">
        <v>1396</v>
      </c>
      <c r="AJ74" s="128">
        <f t="shared" si="14"/>
        <v>40909</v>
      </c>
      <c r="AK74" s="126">
        <f t="shared" si="15"/>
        <v>0</v>
      </c>
      <c r="AL74" s="126">
        <f t="array" ref="AL74">INDEX($Q$3:$Q$24,MATCH(AN74&amp;YEAR(AJ74),$A$3:$A$24&amp;YEAR($C$3:$C$24),0))</f>
        <v>0</v>
      </c>
      <c r="AM74" s="126" t="s">
        <v>1398</v>
      </c>
      <c r="AN74" s="126" t="str">
        <f t="shared" si="16"/>
        <v>Taxpayer Assd Sales Tax Accrual (313-99)</v>
      </c>
    </row>
    <row r="75" spans="34:40">
      <c r="AH75" s="126">
        <v>74</v>
      </c>
      <c r="AI75" s="126" t="s">
        <v>1396</v>
      </c>
      <c r="AJ75" s="128">
        <f t="shared" si="14"/>
        <v>40940</v>
      </c>
      <c r="AK75" s="126">
        <f t="shared" si="15"/>
        <v>0</v>
      </c>
      <c r="AL75" s="126">
        <f t="array" ref="AL75">INDEX($Q$3:$Q$24,MATCH(AN75&amp;YEAR(AJ75),$A$3:$A$24&amp;YEAR($C$3:$C$24),0))</f>
        <v>0</v>
      </c>
      <c r="AM75" s="126" t="s">
        <v>1398</v>
      </c>
      <c r="AN75" s="126" t="str">
        <f t="shared" si="16"/>
        <v>Taxpayer Assd Sales Tax Accrual (313-99)</v>
      </c>
    </row>
    <row r="76" spans="34:40">
      <c r="AH76" s="126">
        <v>75</v>
      </c>
      <c r="AI76" s="126" t="s">
        <v>1396</v>
      </c>
      <c r="AJ76" s="128">
        <f t="shared" si="14"/>
        <v>40969</v>
      </c>
      <c r="AK76" s="126">
        <f t="shared" si="15"/>
        <v>0</v>
      </c>
      <c r="AL76" s="126">
        <f t="array" ref="AL76">INDEX($Q$3:$Q$24,MATCH(AN76&amp;YEAR(AJ76),$A$3:$A$24&amp;YEAR($C$3:$C$24),0))</f>
        <v>0</v>
      </c>
      <c r="AM76" s="126" t="s">
        <v>1398</v>
      </c>
      <c r="AN76" s="126" t="str">
        <f t="shared" si="16"/>
        <v>Taxpayer Assd Sales Tax Accrual (313-99)</v>
      </c>
    </row>
    <row r="77" spans="34:40">
      <c r="AH77" s="126">
        <v>76</v>
      </c>
      <c r="AI77" s="126" t="s">
        <v>1396</v>
      </c>
      <c r="AJ77" s="128">
        <f t="shared" si="14"/>
        <v>41000</v>
      </c>
      <c r="AK77" s="126">
        <f t="shared" si="15"/>
        <v>0</v>
      </c>
      <c r="AL77" s="126">
        <f t="array" ref="AL77">INDEX($Q$3:$Q$24,MATCH(AN77&amp;YEAR(AJ77),$A$3:$A$24&amp;YEAR($C$3:$C$24),0))</f>
        <v>0</v>
      </c>
      <c r="AM77" s="126" t="s">
        <v>1398</v>
      </c>
      <c r="AN77" s="126" t="str">
        <f t="shared" si="16"/>
        <v>Taxpayer Assd Sales Tax Accrual (313-99)</v>
      </c>
    </row>
    <row r="78" spans="34:40">
      <c r="AH78" s="126">
        <v>77</v>
      </c>
      <c r="AI78" s="126" t="s">
        <v>1396</v>
      </c>
      <c r="AJ78" s="128">
        <f t="shared" si="14"/>
        <v>41030</v>
      </c>
      <c r="AK78" s="126">
        <f t="shared" si="15"/>
        <v>0</v>
      </c>
      <c r="AL78" s="126">
        <f t="array" ref="AL78">INDEX($Q$3:$Q$24,MATCH(AN78&amp;YEAR(AJ78),$A$3:$A$24&amp;YEAR($C$3:$C$24),0))</f>
        <v>0</v>
      </c>
      <c r="AM78" s="126" t="s">
        <v>1398</v>
      </c>
      <c r="AN78" s="126" t="str">
        <f t="shared" si="16"/>
        <v>Taxpayer Assd Sales Tax Accrual (313-99)</v>
      </c>
    </row>
    <row r="79" spans="34:40">
      <c r="AH79" s="126">
        <v>78</v>
      </c>
      <c r="AI79" s="126" t="s">
        <v>1396</v>
      </c>
      <c r="AJ79" s="128">
        <f t="shared" si="14"/>
        <v>41061</v>
      </c>
      <c r="AK79" s="126">
        <f t="shared" si="15"/>
        <v>0</v>
      </c>
      <c r="AL79" s="126">
        <f t="array" ref="AL79">INDEX($Q$3:$Q$24,MATCH(AN79&amp;YEAR(AJ79),$A$3:$A$24&amp;YEAR($C$3:$C$24),0))</f>
        <v>0</v>
      </c>
      <c r="AM79" s="126" t="s">
        <v>1398</v>
      </c>
      <c r="AN79" s="126" t="str">
        <f t="shared" si="16"/>
        <v>Taxpayer Assd Sales Tax Accrual (313-99)</v>
      </c>
    </row>
    <row r="80" spans="34:40">
      <c r="AH80" s="126">
        <v>79</v>
      </c>
      <c r="AI80" s="126" t="s">
        <v>1396</v>
      </c>
      <c r="AJ80" s="128">
        <f t="shared" si="14"/>
        <v>41091</v>
      </c>
      <c r="AK80" s="126">
        <f t="shared" si="15"/>
        <v>0</v>
      </c>
      <c r="AL80" s="126">
        <f t="array" ref="AL80">INDEX($Q$3:$Q$24,MATCH(AN80&amp;YEAR(AJ80),$A$3:$A$24&amp;YEAR($C$3:$C$24),0))</f>
        <v>0</v>
      </c>
      <c r="AM80" s="126" t="s">
        <v>1398</v>
      </c>
      <c r="AN80" s="126" t="str">
        <f t="shared" si="16"/>
        <v>Taxpayer Assd Sales Tax Accrual (313-99)</v>
      </c>
    </row>
    <row r="81" spans="34:40">
      <c r="AH81" s="126">
        <v>80</v>
      </c>
      <c r="AI81" s="126" t="s">
        <v>1396</v>
      </c>
      <c r="AJ81" s="128">
        <f t="shared" si="14"/>
        <v>41122</v>
      </c>
      <c r="AK81" s="126">
        <f t="shared" si="15"/>
        <v>0</v>
      </c>
      <c r="AL81" s="126">
        <f t="array" ref="AL81">INDEX($Q$3:$Q$24,MATCH(AN81&amp;YEAR(AJ81),$A$3:$A$24&amp;YEAR($C$3:$C$24),0))</f>
        <v>0</v>
      </c>
      <c r="AM81" s="126" t="s">
        <v>1398</v>
      </c>
      <c r="AN81" s="126" t="str">
        <f t="shared" si="16"/>
        <v>Taxpayer Assd Sales Tax Accrual (313-99)</v>
      </c>
    </row>
    <row r="82" spans="34:40">
      <c r="AH82" s="126">
        <v>81</v>
      </c>
      <c r="AI82" s="126" t="s">
        <v>1396</v>
      </c>
      <c r="AJ82" s="128">
        <f t="shared" si="14"/>
        <v>41153</v>
      </c>
      <c r="AK82" s="126">
        <f t="shared" si="15"/>
        <v>0</v>
      </c>
      <c r="AL82" s="126">
        <f t="array" ref="AL82">INDEX($Q$3:$Q$24,MATCH(AN82&amp;YEAR(AJ82),$A$3:$A$24&amp;YEAR($C$3:$C$24),0))</f>
        <v>0</v>
      </c>
      <c r="AM82" s="126" t="s">
        <v>1398</v>
      </c>
      <c r="AN82" s="126" t="str">
        <f t="shared" si="16"/>
        <v>Taxpayer Assd Sales Tax Accrual (313-99)</v>
      </c>
    </row>
    <row r="83" spans="34:40">
      <c r="AH83" s="126">
        <v>82</v>
      </c>
      <c r="AI83" s="126" t="s">
        <v>1396</v>
      </c>
      <c r="AJ83" s="128">
        <f t="shared" si="14"/>
        <v>41183</v>
      </c>
      <c r="AK83" s="126">
        <f t="shared" si="15"/>
        <v>0</v>
      </c>
      <c r="AL83" s="126">
        <f t="array" ref="AL83">INDEX($Q$3:$Q$24,MATCH(AN83&amp;YEAR(AJ83),$A$3:$A$24&amp;YEAR($C$3:$C$24),0))</f>
        <v>0</v>
      </c>
      <c r="AM83" s="126" t="s">
        <v>1398</v>
      </c>
      <c r="AN83" s="126" t="str">
        <f t="shared" si="16"/>
        <v>Taxpayer Assd Sales Tax Accrual (313-99)</v>
      </c>
    </row>
    <row r="84" spans="34:40">
      <c r="AH84" s="126">
        <v>83</v>
      </c>
      <c r="AI84" s="126" t="s">
        <v>1396</v>
      </c>
      <c r="AJ84" s="128">
        <f t="shared" si="14"/>
        <v>41214</v>
      </c>
      <c r="AK84" s="126">
        <f t="shared" si="15"/>
        <v>0</v>
      </c>
      <c r="AL84" s="126">
        <f t="array" ref="AL84">INDEX($Q$3:$Q$24,MATCH(AN84&amp;YEAR(AJ84),$A$3:$A$24&amp;YEAR($C$3:$C$24),0))</f>
        <v>0</v>
      </c>
      <c r="AM84" s="126" t="s">
        <v>1398</v>
      </c>
      <c r="AN84" s="126" t="str">
        <f t="shared" si="16"/>
        <v>Taxpayer Assd Sales Tax Accrual (313-99)</v>
      </c>
    </row>
    <row r="85" spans="34:40">
      <c r="AH85" s="126">
        <v>84</v>
      </c>
      <c r="AI85" s="126" t="s">
        <v>1396</v>
      </c>
      <c r="AJ85" s="128">
        <f t="shared" si="14"/>
        <v>41244</v>
      </c>
      <c r="AK85" s="126">
        <f t="shared" si="15"/>
        <v>12617.79</v>
      </c>
      <c r="AL85" s="126">
        <f t="array" ref="AL85">INDEX($Q$3:$Q$24,MATCH(AN85&amp;YEAR(AJ85),$A$3:$A$24&amp;YEAR($C$3:$C$24),0))</f>
        <v>0</v>
      </c>
      <c r="AM85" s="126" t="s">
        <v>1398</v>
      </c>
      <c r="AN85" s="126" t="str">
        <f t="shared" si="16"/>
        <v>Taxpayer Assd Sales Tax Accrual (313-99)</v>
      </c>
    </row>
    <row r="86" spans="34:40">
      <c r="AH86" s="126">
        <v>85</v>
      </c>
      <c r="AI86" s="126" t="s">
        <v>1396</v>
      </c>
      <c r="AJ86" s="128">
        <f t="shared" si="14"/>
        <v>41275</v>
      </c>
      <c r="AK86" s="126">
        <f t="shared" si="15"/>
        <v>0</v>
      </c>
      <c r="AL86" s="126">
        <f t="array" ref="AL86">INDEX($Q$3:$Q$24,MATCH(AN86&amp;YEAR(AJ86),$A$3:$A$24&amp;YEAR($C$3:$C$24),0))</f>
        <v>0</v>
      </c>
      <c r="AM86" s="126" t="s">
        <v>1398</v>
      </c>
      <c r="AN86" s="126" t="str">
        <f t="shared" si="16"/>
        <v>Taxpayer Assd Sales Tax Accrual (313-99)</v>
      </c>
    </row>
    <row r="87" spans="34:40">
      <c r="AH87" s="126">
        <v>86</v>
      </c>
      <c r="AI87" s="126" t="s">
        <v>1396</v>
      </c>
      <c r="AJ87" s="128">
        <f t="shared" si="14"/>
        <v>41306</v>
      </c>
      <c r="AK87" s="126">
        <f t="shared" si="15"/>
        <v>0</v>
      </c>
      <c r="AL87" s="126">
        <f t="array" ref="AL87">INDEX($Q$3:$Q$24,MATCH(AN87&amp;YEAR(AJ87),$A$3:$A$24&amp;YEAR($C$3:$C$24),0))</f>
        <v>0</v>
      </c>
      <c r="AM87" s="126" t="s">
        <v>1398</v>
      </c>
      <c r="AN87" s="126" t="str">
        <f t="shared" si="16"/>
        <v>Taxpayer Assd Sales Tax Accrual (313-99)</v>
      </c>
    </row>
    <row r="88" spans="34:40">
      <c r="AH88" s="126">
        <v>87</v>
      </c>
      <c r="AI88" s="126" t="s">
        <v>1396</v>
      </c>
      <c r="AJ88" s="128">
        <f t="shared" si="14"/>
        <v>41334</v>
      </c>
      <c r="AK88" s="126">
        <f t="shared" si="15"/>
        <v>0</v>
      </c>
      <c r="AL88" s="126">
        <f t="array" ref="AL88">INDEX($Q$3:$Q$24,MATCH(AN88&amp;YEAR(AJ88),$A$3:$A$24&amp;YEAR($C$3:$C$24),0))</f>
        <v>0</v>
      </c>
      <c r="AM88" s="126" t="s">
        <v>1398</v>
      </c>
      <c r="AN88" s="126" t="str">
        <f t="shared" si="16"/>
        <v>Taxpayer Assd Sales Tax Accrual (313-99)</v>
      </c>
    </row>
    <row r="89" spans="34:40">
      <c r="AH89" s="126">
        <v>88</v>
      </c>
      <c r="AI89" s="126" t="s">
        <v>1396</v>
      </c>
      <c r="AJ89" s="128">
        <f t="shared" si="14"/>
        <v>41365</v>
      </c>
      <c r="AK89" s="126">
        <f t="shared" si="15"/>
        <v>0</v>
      </c>
      <c r="AL89" s="126">
        <f t="array" ref="AL89">INDEX($Q$3:$Q$24,MATCH(AN89&amp;YEAR(AJ89),$A$3:$A$24&amp;YEAR($C$3:$C$24),0))</f>
        <v>0</v>
      </c>
      <c r="AM89" s="126" t="s">
        <v>1398</v>
      </c>
      <c r="AN89" s="126" t="str">
        <f t="shared" si="16"/>
        <v>Taxpayer Assd Sales Tax Accrual (313-99)</v>
      </c>
    </row>
    <row r="90" spans="34:40">
      <c r="AH90" s="126">
        <v>89</v>
      </c>
      <c r="AI90" s="126" t="s">
        <v>1396</v>
      </c>
      <c r="AJ90" s="128">
        <f t="shared" si="14"/>
        <v>41395</v>
      </c>
      <c r="AK90" s="126">
        <f t="shared" si="15"/>
        <v>0</v>
      </c>
      <c r="AL90" s="126">
        <f t="array" ref="AL90">INDEX($Q$3:$Q$24,MATCH(AN90&amp;YEAR(AJ90),$A$3:$A$24&amp;YEAR($C$3:$C$24),0))</f>
        <v>0</v>
      </c>
      <c r="AM90" s="126" t="s">
        <v>1398</v>
      </c>
      <c r="AN90" s="126" t="str">
        <f t="shared" si="16"/>
        <v>Taxpayer Assd Sales Tax Accrual (313-99)</v>
      </c>
    </row>
    <row r="91" spans="34:40">
      <c r="AH91" s="126">
        <v>90</v>
      </c>
      <c r="AI91" s="126" t="s">
        <v>1396</v>
      </c>
      <c r="AJ91" s="128">
        <f t="shared" si="14"/>
        <v>41426</v>
      </c>
      <c r="AK91" s="126">
        <f t="shared" si="15"/>
        <v>0</v>
      </c>
      <c r="AL91" s="126">
        <f t="array" ref="AL91">INDEX($Q$3:$Q$24,MATCH(AN91&amp;YEAR(AJ91),$A$3:$A$24&amp;YEAR($C$3:$C$24),0))</f>
        <v>0</v>
      </c>
      <c r="AM91" s="126" t="s">
        <v>1398</v>
      </c>
      <c r="AN91" s="126" t="str">
        <f t="shared" si="16"/>
        <v>Taxpayer Assd Sales Tax Accrual (313-99)</v>
      </c>
    </row>
    <row r="92" spans="34:40">
      <c r="AH92" s="126">
        <v>91</v>
      </c>
      <c r="AI92" s="126" t="s">
        <v>1396</v>
      </c>
      <c r="AJ92" s="128">
        <f t="shared" si="14"/>
        <v>41456</v>
      </c>
      <c r="AK92" s="126">
        <f t="shared" si="15"/>
        <v>0</v>
      </c>
      <c r="AL92" s="126">
        <f t="array" ref="AL92">INDEX($Q$3:$Q$24,MATCH(AN92&amp;YEAR(AJ92),$A$3:$A$24&amp;YEAR($C$3:$C$24),0))</f>
        <v>0</v>
      </c>
      <c r="AM92" s="126" t="s">
        <v>1398</v>
      </c>
      <c r="AN92" s="126" t="str">
        <f t="shared" si="16"/>
        <v>Taxpayer Assd Sales Tax Accrual (313-99)</v>
      </c>
    </row>
    <row r="93" spans="34:40">
      <c r="AH93" s="126">
        <v>92</v>
      </c>
      <c r="AI93" s="126" t="s">
        <v>1396</v>
      </c>
      <c r="AJ93" s="128">
        <f t="shared" si="14"/>
        <v>41487</v>
      </c>
      <c r="AK93" s="126">
        <f t="shared" si="15"/>
        <v>0</v>
      </c>
      <c r="AL93" s="126">
        <f t="array" ref="AL93">INDEX($Q$3:$Q$24,MATCH(AN93&amp;YEAR(AJ93),$A$3:$A$24&amp;YEAR($C$3:$C$24),0))</f>
        <v>0</v>
      </c>
      <c r="AM93" s="126" t="s">
        <v>1398</v>
      </c>
      <c r="AN93" s="126" t="str">
        <f t="shared" si="16"/>
        <v>Taxpayer Assd Sales Tax Accrual (313-99)</v>
      </c>
    </row>
    <row r="94" spans="34:40">
      <c r="AH94" s="126">
        <v>93</v>
      </c>
      <c r="AI94" s="126" t="s">
        <v>1396</v>
      </c>
      <c r="AJ94" s="128">
        <f t="shared" si="14"/>
        <v>41518</v>
      </c>
      <c r="AK94" s="126">
        <f t="shared" si="15"/>
        <v>0</v>
      </c>
      <c r="AL94" s="126">
        <f t="array" ref="AL94">INDEX($Q$3:$Q$24,MATCH(AN94&amp;YEAR(AJ94),$A$3:$A$24&amp;YEAR($C$3:$C$24),0))</f>
        <v>0</v>
      </c>
      <c r="AM94" s="126" t="s">
        <v>1398</v>
      </c>
      <c r="AN94" s="126" t="str">
        <f t="shared" si="16"/>
        <v>Taxpayer Assd Sales Tax Accrual (313-99)</v>
      </c>
    </row>
    <row r="95" spans="34:40">
      <c r="AH95" s="126">
        <v>94</v>
      </c>
      <c r="AI95" s="126" t="s">
        <v>1396</v>
      </c>
      <c r="AJ95" s="128">
        <f t="shared" si="14"/>
        <v>41548</v>
      </c>
      <c r="AK95" s="126">
        <f t="shared" si="15"/>
        <v>0</v>
      </c>
      <c r="AL95" s="126">
        <f t="array" ref="AL95">INDEX($Q$3:$Q$24,MATCH(AN95&amp;YEAR(AJ95),$A$3:$A$24&amp;YEAR($C$3:$C$24),0))</f>
        <v>0</v>
      </c>
      <c r="AM95" s="126" t="s">
        <v>1398</v>
      </c>
      <c r="AN95" s="126" t="str">
        <f t="shared" si="16"/>
        <v>Taxpayer Assd Sales Tax Accrual (313-99)</v>
      </c>
    </row>
    <row r="96" spans="34:40">
      <c r="AH96" s="126">
        <v>95</v>
      </c>
      <c r="AI96" s="126" t="s">
        <v>1396</v>
      </c>
      <c r="AJ96" s="128">
        <f t="shared" si="14"/>
        <v>41579</v>
      </c>
      <c r="AK96" s="126">
        <f t="shared" si="15"/>
        <v>0</v>
      </c>
      <c r="AL96" s="126">
        <f t="array" ref="AL96">INDEX($Q$3:$Q$24,MATCH(AN96&amp;YEAR(AJ96),$A$3:$A$24&amp;YEAR($C$3:$C$24),0))</f>
        <v>0</v>
      </c>
      <c r="AM96" s="126" t="s">
        <v>1398</v>
      </c>
      <c r="AN96" s="126" t="str">
        <f t="shared" si="16"/>
        <v>Taxpayer Assd Sales Tax Accrual (313-99)</v>
      </c>
    </row>
    <row r="97" spans="34:40">
      <c r="AH97" s="126">
        <v>96</v>
      </c>
      <c r="AI97" s="126" t="s">
        <v>1396</v>
      </c>
      <c r="AJ97" s="128">
        <f t="shared" si="14"/>
        <v>41609</v>
      </c>
      <c r="AK97" s="126">
        <f t="shared" si="15"/>
        <v>0</v>
      </c>
      <c r="AL97" s="126">
        <f t="array" ref="AL97">INDEX($Q$3:$Q$24,MATCH(AN97&amp;YEAR(AJ97),$A$3:$A$24&amp;YEAR($C$3:$C$24),0))</f>
        <v>0</v>
      </c>
      <c r="AM97" s="126" t="s">
        <v>1398</v>
      </c>
      <c r="AN97" s="126" t="str">
        <f t="shared" si="16"/>
        <v>Taxpayer Assd Sales Tax Accrual (313-99)</v>
      </c>
    </row>
    <row r="98" spans="34:40">
      <c r="AH98" s="126">
        <v>97</v>
      </c>
      <c r="AI98" s="126" t="s">
        <v>1396</v>
      </c>
      <c r="AJ98" s="128">
        <f t="shared" si="14"/>
        <v>40909</v>
      </c>
      <c r="AK98" s="126">
        <f t="shared" si="15"/>
        <v>0</v>
      </c>
      <c r="AL98" s="126">
        <f t="array" ref="AL98">INDEX($Q$3:$Q$24,MATCH(AN98&amp;YEAR(AJ98),$A$3:$A$24&amp;YEAR($C$3:$C$24),0))</f>
        <v>0</v>
      </c>
      <c r="AM98" s="126" t="s">
        <v>1398</v>
      </c>
      <c r="AN98" s="126" t="str">
        <f t="shared" si="16"/>
        <v>Intergovernment Revenue (330-**)</v>
      </c>
    </row>
    <row r="99" spans="34:40">
      <c r="AH99" s="126">
        <v>98</v>
      </c>
      <c r="AI99" s="126" t="s">
        <v>1396</v>
      </c>
      <c r="AJ99" s="128">
        <f t="shared" si="14"/>
        <v>40940</v>
      </c>
      <c r="AK99" s="126">
        <f t="shared" si="15"/>
        <v>0</v>
      </c>
      <c r="AL99" s="126">
        <f t="array" ref="AL99">INDEX($Q$3:$Q$24,MATCH(AN99&amp;YEAR(AJ99),$A$3:$A$24&amp;YEAR($C$3:$C$24),0))</f>
        <v>0</v>
      </c>
      <c r="AM99" s="126" t="s">
        <v>1398</v>
      </c>
      <c r="AN99" s="126" t="str">
        <f t="shared" si="16"/>
        <v>Intergovernment Revenue (330-**)</v>
      </c>
    </row>
    <row r="100" spans="34:40">
      <c r="AH100" s="126">
        <v>99</v>
      </c>
      <c r="AI100" s="126" t="s">
        <v>1396</v>
      </c>
      <c r="AJ100" s="128">
        <f t="shared" si="14"/>
        <v>40969</v>
      </c>
      <c r="AK100" s="126">
        <f t="shared" si="15"/>
        <v>0</v>
      </c>
      <c r="AL100" s="126">
        <f t="array" ref="AL100">INDEX($Q$3:$Q$24,MATCH(AN100&amp;YEAR(AJ100),$A$3:$A$24&amp;YEAR($C$3:$C$24),0))</f>
        <v>0</v>
      </c>
      <c r="AM100" s="126" t="s">
        <v>1398</v>
      </c>
      <c r="AN100" s="126" t="str">
        <f t="shared" si="16"/>
        <v>Intergovernment Revenue (330-**)</v>
      </c>
    </row>
    <row r="101" spans="34:40">
      <c r="AH101" s="126">
        <v>100</v>
      </c>
      <c r="AI101" s="126" t="s">
        <v>1396</v>
      </c>
      <c r="AJ101" s="128">
        <f t="shared" si="14"/>
        <v>41000</v>
      </c>
      <c r="AK101" s="126">
        <f t="shared" si="15"/>
        <v>0</v>
      </c>
      <c r="AL101" s="126">
        <f t="array" ref="AL101">INDEX($Q$3:$Q$24,MATCH(AN101&amp;YEAR(AJ101),$A$3:$A$24&amp;YEAR($C$3:$C$24),0))</f>
        <v>0</v>
      </c>
      <c r="AM101" s="126" t="s">
        <v>1398</v>
      </c>
      <c r="AN101" s="126" t="str">
        <f t="shared" si="16"/>
        <v>Intergovernment Revenue (330-**)</v>
      </c>
    </row>
    <row r="102" spans="34:40">
      <c r="AH102" s="126">
        <v>101</v>
      </c>
      <c r="AI102" s="126" t="s">
        <v>1396</v>
      </c>
      <c r="AJ102" s="128">
        <f t="shared" si="14"/>
        <v>41030</v>
      </c>
      <c r="AK102" s="126">
        <f t="shared" si="15"/>
        <v>0</v>
      </c>
      <c r="AL102" s="126">
        <f t="array" ref="AL102">INDEX($Q$3:$Q$24,MATCH(AN102&amp;YEAR(AJ102),$A$3:$A$24&amp;YEAR($C$3:$C$24),0))</f>
        <v>0</v>
      </c>
      <c r="AM102" s="126" t="s">
        <v>1398</v>
      </c>
      <c r="AN102" s="126" t="str">
        <f t="shared" si="16"/>
        <v>Intergovernment Revenue (330-**)</v>
      </c>
    </row>
    <row r="103" spans="34:40">
      <c r="AH103" s="126">
        <v>102</v>
      </c>
      <c r="AI103" s="126" t="s">
        <v>1396</v>
      </c>
      <c r="AJ103" s="128">
        <f t="shared" si="14"/>
        <v>41061</v>
      </c>
      <c r="AK103" s="126">
        <f t="shared" si="15"/>
        <v>0</v>
      </c>
      <c r="AL103" s="126">
        <f t="array" ref="AL103">INDEX($Q$3:$Q$24,MATCH(AN103&amp;YEAR(AJ103),$A$3:$A$24&amp;YEAR($C$3:$C$24),0))</f>
        <v>0</v>
      </c>
      <c r="AM103" s="126" t="s">
        <v>1398</v>
      </c>
      <c r="AN103" s="126" t="str">
        <f t="shared" si="16"/>
        <v>Intergovernment Revenue (330-**)</v>
      </c>
    </row>
    <row r="104" spans="34:40">
      <c r="AH104" s="126">
        <v>103</v>
      </c>
      <c r="AI104" s="126" t="s">
        <v>1396</v>
      </c>
      <c r="AJ104" s="128">
        <f t="shared" si="14"/>
        <v>41091</v>
      </c>
      <c r="AK104" s="126">
        <f t="shared" si="15"/>
        <v>0</v>
      </c>
      <c r="AL104" s="126">
        <f t="array" ref="AL104">INDEX($Q$3:$Q$24,MATCH(AN104&amp;YEAR(AJ104),$A$3:$A$24&amp;YEAR($C$3:$C$24),0))</f>
        <v>0</v>
      </c>
      <c r="AM104" s="126" t="s">
        <v>1398</v>
      </c>
      <c r="AN104" s="126" t="str">
        <f t="shared" si="16"/>
        <v>Intergovernment Revenue (330-**)</v>
      </c>
    </row>
    <row r="105" spans="34:40">
      <c r="AH105" s="126">
        <v>104</v>
      </c>
      <c r="AI105" s="126" t="s">
        <v>1396</v>
      </c>
      <c r="AJ105" s="128">
        <f t="shared" si="14"/>
        <v>41122</v>
      </c>
      <c r="AK105" s="126">
        <f t="shared" si="15"/>
        <v>0</v>
      </c>
      <c r="AL105" s="126">
        <f t="array" ref="AL105">INDEX($Q$3:$Q$24,MATCH(AN105&amp;YEAR(AJ105),$A$3:$A$24&amp;YEAR($C$3:$C$24),0))</f>
        <v>0</v>
      </c>
      <c r="AM105" s="126" t="s">
        <v>1398</v>
      </c>
      <c r="AN105" s="126" t="str">
        <f t="shared" si="16"/>
        <v>Intergovernment Revenue (330-**)</v>
      </c>
    </row>
    <row r="106" spans="34:40">
      <c r="AH106" s="126">
        <v>105</v>
      </c>
      <c r="AI106" s="126" t="s">
        <v>1396</v>
      </c>
      <c r="AJ106" s="128">
        <f t="shared" si="14"/>
        <v>41153</v>
      </c>
      <c r="AK106" s="126">
        <f t="shared" si="15"/>
        <v>0</v>
      </c>
      <c r="AL106" s="126">
        <f t="array" ref="AL106">INDEX($Q$3:$Q$24,MATCH(AN106&amp;YEAR(AJ106),$A$3:$A$24&amp;YEAR($C$3:$C$24),0))</f>
        <v>0</v>
      </c>
      <c r="AM106" s="126" t="s">
        <v>1398</v>
      </c>
      <c r="AN106" s="126" t="str">
        <f t="shared" si="16"/>
        <v>Intergovernment Revenue (330-**)</v>
      </c>
    </row>
    <row r="107" spans="34:40">
      <c r="AH107" s="126">
        <v>106</v>
      </c>
      <c r="AI107" s="126" t="s">
        <v>1396</v>
      </c>
      <c r="AJ107" s="128">
        <f t="shared" si="14"/>
        <v>41183</v>
      </c>
      <c r="AK107" s="126">
        <f t="shared" si="15"/>
        <v>0</v>
      </c>
      <c r="AL107" s="126">
        <f t="array" ref="AL107">INDEX($Q$3:$Q$24,MATCH(AN107&amp;YEAR(AJ107),$A$3:$A$24&amp;YEAR($C$3:$C$24),0))</f>
        <v>0</v>
      </c>
      <c r="AM107" s="126" t="s">
        <v>1398</v>
      </c>
      <c r="AN107" s="126" t="str">
        <f t="shared" si="16"/>
        <v>Intergovernment Revenue (330-**)</v>
      </c>
    </row>
    <row r="108" spans="34:40">
      <c r="AH108" s="126">
        <v>107</v>
      </c>
      <c r="AI108" s="126" t="s">
        <v>1396</v>
      </c>
      <c r="AJ108" s="128">
        <f t="shared" si="14"/>
        <v>41214</v>
      </c>
      <c r="AK108" s="126">
        <f t="shared" si="15"/>
        <v>0</v>
      </c>
      <c r="AL108" s="126">
        <f t="array" ref="AL108">INDEX($Q$3:$Q$24,MATCH(AN108&amp;YEAR(AJ108),$A$3:$A$24&amp;YEAR($C$3:$C$24),0))</f>
        <v>0</v>
      </c>
      <c r="AM108" s="126" t="s">
        <v>1398</v>
      </c>
      <c r="AN108" s="126" t="str">
        <f t="shared" si="16"/>
        <v>Intergovernment Revenue (330-**)</v>
      </c>
    </row>
    <row r="109" spans="34:40">
      <c r="AH109" s="126">
        <v>108</v>
      </c>
      <c r="AI109" s="126" t="s">
        <v>1396</v>
      </c>
      <c r="AJ109" s="128">
        <f t="shared" si="14"/>
        <v>41244</v>
      </c>
      <c r="AK109" s="126">
        <f t="shared" si="15"/>
        <v>0</v>
      </c>
      <c r="AL109" s="126">
        <f t="array" ref="AL109">INDEX($Q$3:$Q$24,MATCH(AN109&amp;YEAR(AJ109),$A$3:$A$24&amp;YEAR($C$3:$C$24),0))</f>
        <v>0</v>
      </c>
      <c r="AM109" s="126" t="s">
        <v>1398</v>
      </c>
      <c r="AN109" s="126" t="str">
        <f t="shared" si="16"/>
        <v>Intergovernment Revenue (330-**)</v>
      </c>
    </row>
    <row r="110" spans="34:40">
      <c r="AH110" s="126">
        <v>109</v>
      </c>
      <c r="AI110" s="126" t="s">
        <v>1396</v>
      </c>
      <c r="AJ110" s="128">
        <f t="shared" si="14"/>
        <v>41275</v>
      </c>
      <c r="AK110" s="126">
        <f t="shared" si="15"/>
        <v>0</v>
      </c>
      <c r="AL110" s="126">
        <f t="array" ref="AL110">INDEX($Q$3:$Q$24,MATCH(AN110&amp;YEAR(AJ110),$A$3:$A$24&amp;YEAR($C$3:$C$24),0))</f>
        <v>0</v>
      </c>
      <c r="AM110" s="126" t="s">
        <v>1398</v>
      </c>
      <c r="AN110" s="126" t="str">
        <f t="shared" si="16"/>
        <v>Intergovernment Revenue (330-**)</v>
      </c>
    </row>
    <row r="111" spans="34:40">
      <c r="AH111" s="126">
        <v>110</v>
      </c>
      <c r="AI111" s="126" t="s">
        <v>1396</v>
      </c>
      <c r="AJ111" s="128">
        <f t="shared" si="14"/>
        <v>41306</v>
      </c>
      <c r="AK111" s="126">
        <f t="shared" si="15"/>
        <v>0</v>
      </c>
      <c r="AL111" s="126">
        <f t="array" ref="AL111">INDEX($Q$3:$Q$24,MATCH(AN111&amp;YEAR(AJ111),$A$3:$A$24&amp;YEAR($C$3:$C$24),0))</f>
        <v>0</v>
      </c>
      <c r="AM111" s="126" t="s">
        <v>1398</v>
      </c>
      <c r="AN111" s="126" t="str">
        <f t="shared" si="16"/>
        <v>Intergovernment Revenue (330-**)</v>
      </c>
    </row>
    <row r="112" spans="34:40">
      <c r="AH112" s="126">
        <v>111</v>
      </c>
      <c r="AI112" s="126" t="s">
        <v>1396</v>
      </c>
      <c r="AJ112" s="128">
        <f t="shared" si="14"/>
        <v>41334</v>
      </c>
      <c r="AK112" s="126">
        <f t="shared" si="15"/>
        <v>0</v>
      </c>
      <c r="AL112" s="126">
        <f t="array" ref="AL112">INDEX($Q$3:$Q$24,MATCH(AN112&amp;YEAR(AJ112),$A$3:$A$24&amp;YEAR($C$3:$C$24),0))</f>
        <v>0</v>
      </c>
      <c r="AM112" s="126" t="s">
        <v>1398</v>
      </c>
      <c r="AN112" s="126" t="str">
        <f t="shared" si="16"/>
        <v>Intergovernment Revenue (330-**)</v>
      </c>
    </row>
    <row r="113" spans="34:40">
      <c r="AH113" s="126">
        <v>112</v>
      </c>
      <c r="AI113" s="126" t="s">
        <v>1396</v>
      </c>
      <c r="AJ113" s="128">
        <f t="shared" si="14"/>
        <v>41365</v>
      </c>
      <c r="AK113" s="126">
        <f t="shared" si="15"/>
        <v>0</v>
      </c>
      <c r="AL113" s="126">
        <f t="array" ref="AL113">INDEX($Q$3:$Q$24,MATCH(AN113&amp;YEAR(AJ113),$A$3:$A$24&amp;YEAR($C$3:$C$24),0))</f>
        <v>0</v>
      </c>
      <c r="AM113" s="126" t="s">
        <v>1398</v>
      </c>
      <c r="AN113" s="126" t="str">
        <f t="shared" si="16"/>
        <v>Intergovernment Revenue (330-**)</v>
      </c>
    </row>
    <row r="114" spans="34:40">
      <c r="AH114" s="126">
        <v>113</v>
      </c>
      <c r="AI114" s="126" t="s">
        <v>1396</v>
      </c>
      <c r="AJ114" s="128">
        <f t="shared" si="14"/>
        <v>41395</v>
      </c>
      <c r="AK114" s="126">
        <f t="shared" si="15"/>
        <v>0</v>
      </c>
      <c r="AL114" s="126">
        <f t="array" ref="AL114">INDEX($Q$3:$Q$24,MATCH(AN114&amp;YEAR(AJ114),$A$3:$A$24&amp;YEAR($C$3:$C$24),0))</f>
        <v>0</v>
      </c>
      <c r="AM114" s="126" t="s">
        <v>1398</v>
      </c>
      <c r="AN114" s="126" t="str">
        <f t="shared" si="16"/>
        <v>Intergovernment Revenue (330-**)</v>
      </c>
    </row>
    <row r="115" spans="34:40">
      <c r="AH115" s="126">
        <v>114</v>
      </c>
      <c r="AI115" s="126" t="s">
        <v>1396</v>
      </c>
      <c r="AJ115" s="128">
        <f t="shared" si="14"/>
        <v>41426</v>
      </c>
      <c r="AK115" s="126">
        <f t="shared" si="15"/>
        <v>0</v>
      </c>
      <c r="AL115" s="126">
        <f t="array" ref="AL115">INDEX($Q$3:$Q$24,MATCH(AN115&amp;YEAR(AJ115),$A$3:$A$24&amp;YEAR($C$3:$C$24),0))</f>
        <v>0</v>
      </c>
      <c r="AM115" s="126" t="s">
        <v>1398</v>
      </c>
      <c r="AN115" s="126" t="str">
        <f t="shared" si="16"/>
        <v>Intergovernment Revenue (330-**)</v>
      </c>
    </row>
    <row r="116" spans="34:40">
      <c r="AH116" s="126">
        <v>115</v>
      </c>
      <c r="AI116" s="126" t="s">
        <v>1396</v>
      </c>
      <c r="AJ116" s="128">
        <f t="shared" si="14"/>
        <v>41456</v>
      </c>
      <c r="AK116" s="126">
        <f t="shared" si="15"/>
        <v>0</v>
      </c>
      <c r="AL116" s="126">
        <f t="array" ref="AL116">INDEX($Q$3:$Q$24,MATCH(AN116&amp;YEAR(AJ116),$A$3:$A$24&amp;YEAR($C$3:$C$24),0))</f>
        <v>0</v>
      </c>
      <c r="AM116" s="126" t="s">
        <v>1398</v>
      </c>
      <c r="AN116" s="126" t="str">
        <f t="shared" si="16"/>
        <v>Intergovernment Revenue (330-**)</v>
      </c>
    </row>
    <row r="117" spans="34:40">
      <c r="AH117" s="126">
        <v>116</v>
      </c>
      <c r="AI117" s="126" t="s">
        <v>1396</v>
      </c>
      <c r="AJ117" s="128">
        <f t="shared" si="14"/>
        <v>41487</v>
      </c>
      <c r="AK117" s="126">
        <f t="shared" si="15"/>
        <v>0</v>
      </c>
      <c r="AL117" s="126">
        <f t="array" ref="AL117">INDEX($Q$3:$Q$24,MATCH(AN117&amp;YEAR(AJ117),$A$3:$A$24&amp;YEAR($C$3:$C$24),0))</f>
        <v>0</v>
      </c>
      <c r="AM117" s="126" t="s">
        <v>1398</v>
      </c>
      <c r="AN117" s="126" t="str">
        <f t="shared" si="16"/>
        <v>Intergovernment Revenue (330-**)</v>
      </c>
    </row>
    <row r="118" spans="34:40">
      <c r="AH118" s="126">
        <v>117</v>
      </c>
      <c r="AI118" s="126" t="s">
        <v>1396</v>
      </c>
      <c r="AJ118" s="128">
        <f t="shared" si="14"/>
        <v>41518</v>
      </c>
      <c r="AK118" s="126">
        <f t="shared" si="15"/>
        <v>0</v>
      </c>
      <c r="AL118" s="126">
        <f t="array" ref="AL118">INDEX($Q$3:$Q$24,MATCH(AN118&amp;YEAR(AJ118),$A$3:$A$24&amp;YEAR($C$3:$C$24),0))</f>
        <v>0</v>
      </c>
      <c r="AM118" s="126" t="s">
        <v>1398</v>
      </c>
      <c r="AN118" s="126" t="str">
        <f t="shared" si="16"/>
        <v>Intergovernment Revenue (330-**)</v>
      </c>
    </row>
    <row r="119" spans="34:40">
      <c r="AH119" s="126">
        <v>118</v>
      </c>
      <c r="AI119" s="126" t="s">
        <v>1396</v>
      </c>
      <c r="AJ119" s="128">
        <f t="shared" si="14"/>
        <v>41548</v>
      </c>
      <c r="AK119" s="126">
        <f t="shared" si="15"/>
        <v>0</v>
      </c>
      <c r="AL119" s="126">
        <f t="array" ref="AL119">INDEX($Q$3:$Q$24,MATCH(AN119&amp;YEAR(AJ119),$A$3:$A$24&amp;YEAR($C$3:$C$24),0))</f>
        <v>0</v>
      </c>
      <c r="AM119" s="126" t="s">
        <v>1398</v>
      </c>
      <c r="AN119" s="126" t="str">
        <f t="shared" si="16"/>
        <v>Intergovernment Revenue (330-**)</v>
      </c>
    </row>
    <row r="120" spans="34:40">
      <c r="AH120" s="126">
        <v>119</v>
      </c>
      <c r="AI120" s="126" t="s">
        <v>1396</v>
      </c>
      <c r="AJ120" s="128">
        <f t="shared" si="14"/>
        <v>41579</v>
      </c>
      <c r="AK120" s="126">
        <f t="shared" si="15"/>
        <v>0</v>
      </c>
      <c r="AL120" s="126">
        <f t="array" ref="AL120">INDEX($Q$3:$Q$24,MATCH(AN120&amp;YEAR(AJ120),$A$3:$A$24&amp;YEAR($C$3:$C$24),0))</f>
        <v>0</v>
      </c>
      <c r="AM120" s="126" t="s">
        <v>1398</v>
      </c>
      <c r="AN120" s="126" t="str">
        <f t="shared" si="16"/>
        <v>Intergovernment Revenue (330-**)</v>
      </c>
    </row>
    <row r="121" spans="34:40">
      <c r="AH121" s="126">
        <v>120</v>
      </c>
      <c r="AI121" s="126" t="s">
        <v>1396</v>
      </c>
      <c r="AJ121" s="128">
        <f t="shared" si="14"/>
        <v>41609</v>
      </c>
      <c r="AK121" s="126">
        <f t="shared" si="15"/>
        <v>0</v>
      </c>
      <c r="AL121" s="126">
        <f t="array" ref="AL121">INDEX($Q$3:$Q$24,MATCH(AN121&amp;YEAR(AJ121),$A$3:$A$24&amp;YEAR($C$3:$C$24),0))</f>
        <v>0</v>
      </c>
      <c r="AM121" s="126" t="s">
        <v>1398</v>
      </c>
      <c r="AN121" s="126" t="str">
        <f t="shared" si="16"/>
        <v>Intergovernment Revenue (330-**)</v>
      </c>
    </row>
    <row r="122" spans="34:40">
      <c r="AH122" s="126">
        <v>121</v>
      </c>
      <c r="AI122" s="126" t="s">
        <v>1396</v>
      </c>
      <c r="AJ122" s="128">
        <f t="shared" si="14"/>
        <v>40909</v>
      </c>
      <c r="AK122" s="126">
        <f t="shared" si="15"/>
        <v>0</v>
      </c>
      <c r="AL122" s="126">
        <f t="array" ref="AL122">INDEX($Q$3:$Q$24,MATCH(AN122&amp;YEAR(AJ122),$A$3:$A$24&amp;YEAR($C$3:$C$24),0))</f>
        <v>0</v>
      </c>
      <c r="AM122" s="126" t="s">
        <v>1398</v>
      </c>
      <c r="AN122" s="126" t="str">
        <f t="shared" si="16"/>
        <v>Misc Revenue (360-10)</v>
      </c>
    </row>
    <row r="123" spans="34:40">
      <c r="AH123" s="126">
        <v>122</v>
      </c>
      <c r="AI123" s="126" t="s">
        <v>1396</v>
      </c>
      <c r="AJ123" s="128">
        <f t="shared" si="14"/>
        <v>40940</v>
      </c>
      <c r="AK123" s="126">
        <f t="shared" si="15"/>
        <v>0</v>
      </c>
      <c r="AL123" s="126">
        <f t="array" ref="AL123">INDEX($Q$3:$Q$24,MATCH(AN123&amp;YEAR(AJ123),$A$3:$A$24&amp;YEAR($C$3:$C$24),0))</f>
        <v>0</v>
      </c>
      <c r="AM123" s="126" t="s">
        <v>1398</v>
      </c>
      <c r="AN123" s="126" t="str">
        <f t="shared" si="16"/>
        <v>Misc Revenue (360-10)</v>
      </c>
    </row>
    <row r="124" spans="34:40">
      <c r="AH124" s="126">
        <v>123</v>
      </c>
      <c r="AI124" s="126" t="s">
        <v>1396</v>
      </c>
      <c r="AJ124" s="128">
        <f t="shared" si="14"/>
        <v>40969</v>
      </c>
      <c r="AK124" s="126">
        <f t="shared" si="15"/>
        <v>0</v>
      </c>
      <c r="AL124" s="126">
        <f t="array" ref="AL124">INDEX($Q$3:$Q$24,MATCH(AN124&amp;YEAR(AJ124),$A$3:$A$24&amp;YEAR($C$3:$C$24),0))</f>
        <v>0</v>
      </c>
      <c r="AM124" s="126" t="s">
        <v>1398</v>
      </c>
      <c r="AN124" s="126" t="str">
        <f t="shared" si="16"/>
        <v>Misc Revenue (360-10)</v>
      </c>
    </row>
    <row r="125" spans="34:40">
      <c r="AH125" s="126">
        <v>124</v>
      </c>
      <c r="AI125" s="126" t="s">
        <v>1396</v>
      </c>
      <c r="AJ125" s="128">
        <f t="shared" si="14"/>
        <v>41000</v>
      </c>
      <c r="AK125" s="126">
        <f t="shared" si="15"/>
        <v>0</v>
      </c>
      <c r="AL125" s="126">
        <f t="array" ref="AL125">INDEX($Q$3:$Q$24,MATCH(AN125&amp;YEAR(AJ125),$A$3:$A$24&amp;YEAR($C$3:$C$24),0))</f>
        <v>0</v>
      </c>
      <c r="AM125" s="126" t="s">
        <v>1398</v>
      </c>
      <c r="AN125" s="126" t="str">
        <f t="shared" si="16"/>
        <v>Misc Revenue (360-10)</v>
      </c>
    </row>
    <row r="126" spans="34:40">
      <c r="AH126" s="126">
        <v>125</v>
      </c>
      <c r="AI126" s="126" t="s">
        <v>1396</v>
      </c>
      <c r="AJ126" s="128">
        <f t="shared" si="14"/>
        <v>41030</v>
      </c>
      <c r="AK126" s="126">
        <f t="shared" si="15"/>
        <v>0</v>
      </c>
      <c r="AL126" s="126">
        <f t="array" ref="AL126">INDEX($Q$3:$Q$24,MATCH(AN126&amp;YEAR(AJ126),$A$3:$A$24&amp;YEAR($C$3:$C$24),0))</f>
        <v>0</v>
      </c>
      <c r="AM126" s="126" t="s">
        <v>1398</v>
      </c>
      <c r="AN126" s="126" t="str">
        <f t="shared" si="16"/>
        <v>Misc Revenue (360-10)</v>
      </c>
    </row>
    <row r="127" spans="34:40">
      <c r="AH127" s="126">
        <v>126</v>
      </c>
      <c r="AI127" s="126" t="s">
        <v>1396</v>
      </c>
      <c r="AJ127" s="128">
        <f t="shared" si="14"/>
        <v>41061</v>
      </c>
      <c r="AK127" s="126">
        <f t="shared" si="15"/>
        <v>0</v>
      </c>
      <c r="AL127" s="126">
        <f t="array" ref="AL127">INDEX($Q$3:$Q$24,MATCH(AN127&amp;YEAR(AJ127),$A$3:$A$24&amp;YEAR($C$3:$C$24),0))</f>
        <v>0</v>
      </c>
      <c r="AM127" s="126" t="s">
        <v>1398</v>
      </c>
      <c r="AN127" s="126" t="str">
        <f t="shared" si="16"/>
        <v>Misc Revenue (360-10)</v>
      </c>
    </row>
    <row r="128" spans="34:40">
      <c r="AH128" s="126">
        <v>127</v>
      </c>
      <c r="AI128" s="126" t="s">
        <v>1396</v>
      </c>
      <c r="AJ128" s="128">
        <f t="shared" si="14"/>
        <v>41091</v>
      </c>
      <c r="AK128" s="126">
        <f t="shared" si="15"/>
        <v>0</v>
      </c>
      <c r="AL128" s="126">
        <f t="array" ref="AL128">INDEX($Q$3:$Q$24,MATCH(AN128&amp;YEAR(AJ128),$A$3:$A$24&amp;YEAR($C$3:$C$24),0))</f>
        <v>0</v>
      </c>
      <c r="AM128" s="126" t="s">
        <v>1398</v>
      </c>
      <c r="AN128" s="126" t="str">
        <f t="shared" si="16"/>
        <v>Misc Revenue (360-10)</v>
      </c>
    </row>
    <row r="129" spans="34:40">
      <c r="AH129" s="126">
        <v>128</v>
      </c>
      <c r="AI129" s="126" t="s">
        <v>1396</v>
      </c>
      <c r="AJ129" s="128">
        <f t="shared" si="14"/>
        <v>41122</v>
      </c>
      <c r="AK129" s="126">
        <f t="shared" si="15"/>
        <v>0</v>
      </c>
      <c r="AL129" s="126">
        <f t="array" ref="AL129">INDEX($Q$3:$Q$24,MATCH(AN129&amp;YEAR(AJ129),$A$3:$A$24&amp;YEAR($C$3:$C$24),0))</f>
        <v>0</v>
      </c>
      <c r="AM129" s="126" t="s">
        <v>1398</v>
      </c>
      <c r="AN129" s="126" t="str">
        <f t="shared" si="16"/>
        <v>Misc Revenue (360-10)</v>
      </c>
    </row>
    <row r="130" spans="34:40">
      <c r="AH130" s="126">
        <v>129</v>
      </c>
      <c r="AI130" s="126" t="s">
        <v>1396</v>
      </c>
      <c r="AJ130" s="128">
        <f t="shared" ref="AJ130:AJ193" si="17">DATE(YEAR(INDEX($C$2:$O$24,INT((AH130+11)/12)+1,1)),IF(MOD(AH130,12)&lt;&gt;0,MOD(AH130,12),12),1)</f>
        <v>41153</v>
      </c>
      <c r="AK130" s="126">
        <f t="shared" ref="AK130:AK193" si="18">INDEX($D$3:$O$24,INT((AH130+11)/12),AH130-(12*(INT((AH130+11)/12)-1)))</f>
        <v>0</v>
      </c>
      <c r="AL130" s="126">
        <f t="array" ref="AL130">INDEX($Q$3:$Q$24,MATCH(AN130&amp;YEAR(AJ130),$A$3:$A$24&amp;YEAR($C$3:$C$24),0))</f>
        <v>0</v>
      </c>
      <c r="AM130" s="126" t="s">
        <v>1398</v>
      </c>
      <c r="AN130" s="126" t="str">
        <f t="shared" ref="AN130:AN193" si="19">INDEX($A$3:$A$24,INT((AH130+11)/12))</f>
        <v>Misc Revenue (360-10)</v>
      </c>
    </row>
    <row r="131" spans="34:40">
      <c r="AH131" s="126">
        <v>130</v>
      </c>
      <c r="AI131" s="126" t="s">
        <v>1396</v>
      </c>
      <c r="AJ131" s="128">
        <f t="shared" si="17"/>
        <v>41183</v>
      </c>
      <c r="AK131" s="126">
        <f t="shared" si="18"/>
        <v>100</v>
      </c>
      <c r="AL131" s="126">
        <f t="array" ref="AL131">INDEX($Q$3:$Q$24,MATCH(AN131&amp;YEAR(AJ131),$A$3:$A$24&amp;YEAR($C$3:$C$24),0))</f>
        <v>0</v>
      </c>
      <c r="AM131" s="126" t="s">
        <v>1398</v>
      </c>
      <c r="AN131" s="126" t="str">
        <f t="shared" si="19"/>
        <v>Misc Revenue (360-10)</v>
      </c>
    </row>
    <row r="132" spans="34:40">
      <c r="AH132" s="126">
        <v>131</v>
      </c>
      <c r="AI132" s="126" t="s">
        <v>1396</v>
      </c>
      <c r="AJ132" s="128">
        <f t="shared" si="17"/>
        <v>41214</v>
      </c>
      <c r="AK132" s="126">
        <f t="shared" si="18"/>
        <v>0</v>
      </c>
      <c r="AL132" s="126">
        <f t="array" ref="AL132">INDEX($Q$3:$Q$24,MATCH(AN132&amp;YEAR(AJ132),$A$3:$A$24&amp;YEAR($C$3:$C$24),0))</f>
        <v>0</v>
      </c>
      <c r="AM132" s="126" t="s">
        <v>1398</v>
      </c>
      <c r="AN132" s="126" t="str">
        <f t="shared" si="19"/>
        <v>Misc Revenue (360-10)</v>
      </c>
    </row>
    <row r="133" spans="34:40">
      <c r="AH133" s="126">
        <v>132</v>
      </c>
      <c r="AI133" s="126" t="s">
        <v>1396</v>
      </c>
      <c r="AJ133" s="128">
        <f t="shared" si="17"/>
        <v>41244</v>
      </c>
      <c r="AK133" s="126">
        <f t="shared" si="18"/>
        <v>100</v>
      </c>
      <c r="AL133" s="126">
        <f t="array" ref="AL133">INDEX($Q$3:$Q$24,MATCH(AN133&amp;YEAR(AJ133),$A$3:$A$24&amp;YEAR($C$3:$C$24),0))</f>
        <v>0</v>
      </c>
      <c r="AM133" s="126" t="s">
        <v>1398</v>
      </c>
      <c r="AN133" s="126" t="str">
        <f t="shared" si="19"/>
        <v>Misc Revenue (360-10)</v>
      </c>
    </row>
    <row r="134" spans="34:40">
      <c r="AH134" s="126">
        <v>133</v>
      </c>
      <c r="AI134" s="126" t="s">
        <v>1396</v>
      </c>
      <c r="AJ134" s="128">
        <f t="shared" si="17"/>
        <v>41275</v>
      </c>
      <c r="AK134" s="126">
        <f t="shared" si="18"/>
        <v>0</v>
      </c>
      <c r="AL134" s="126">
        <f t="array" ref="AL134">INDEX($Q$3:$Q$24,MATCH(AN134&amp;YEAR(AJ134),$A$3:$A$24&amp;YEAR($C$3:$C$24),0))</f>
        <v>2000</v>
      </c>
      <c r="AM134" s="126" t="s">
        <v>1398</v>
      </c>
      <c r="AN134" s="126" t="str">
        <f t="shared" si="19"/>
        <v>Misc Revenue (360-10)</v>
      </c>
    </row>
    <row r="135" spans="34:40">
      <c r="AH135" s="126">
        <v>134</v>
      </c>
      <c r="AI135" s="126" t="s">
        <v>1396</v>
      </c>
      <c r="AJ135" s="128">
        <f t="shared" si="17"/>
        <v>41306</v>
      </c>
      <c r="AK135" s="126">
        <f t="shared" si="18"/>
        <v>0</v>
      </c>
      <c r="AL135" s="126">
        <f t="array" ref="AL135">INDEX($Q$3:$Q$24,MATCH(AN135&amp;YEAR(AJ135),$A$3:$A$24&amp;YEAR($C$3:$C$24),0))</f>
        <v>2000</v>
      </c>
      <c r="AM135" s="126" t="s">
        <v>1398</v>
      </c>
      <c r="AN135" s="126" t="str">
        <f t="shared" si="19"/>
        <v>Misc Revenue (360-10)</v>
      </c>
    </row>
    <row r="136" spans="34:40">
      <c r="AH136" s="126">
        <v>135</v>
      </c>
      <c r="AI136" s="126" t="s">
        <v>1396</v>
      </c>
      <c r="AJ136" s="128">
        <f t="shared" si="17"/>
        <v>41334</v>
      </c>
      <c r="AK136" s="126">
        <f t="shared" si="18"/>
        <v>0</v>
      </c>
      <c r="AL136" s="126">
        <f t="array" ref="AL136">INDEX($Q$3:$Q$24,MATCH(AN136&amp;YEAR(AJ136),$A$3:$A$24&amp;YEAR($C$3:$C$24),0))</f>
        <v>2000</v>
      </c>
      <c r="AM136" s="126" t="s">
        <v>1398</v>
      </c>
      <c r="AN136" s="126" t="str">
        <f t="shared" si="19"/>
        <v>Misc Revenue (360-10)</v>
      </c>
    </row>
    <row r="137" spans="34:40">
      <c r="AH137" s="126">
        <v>136</v>
      </c>
      <c r="AI137" s="126" t="s">
        <v>1396</v>
      </c>
      <c r="AJ137" s="128">
        <f t="shared" si="17"/>
        <v>41365</v>
      </c>
      <c r="AK137" s="126">
        <f t="shared" si="18"/>
        <v>0</v>
      </c>
      <c r="AL137" s="126">
        <f t="array" ref="AL137">INDEX($Q$3:$Q$24,MATCH(AN137&amp;YEAR(AJ137),$A$3:$A$24&amp;YEAR($C$3:$C$24),0))</f>
        <v>2000</v>
      </c>
      <c r="AM137" s="126" t="s">
        <v>1398</v>
      </c>
      <c r="AN137" s="126" t="str">
        <f t="shared" si="19"/>
        <v>Misc Revenue (360-10)</v>
      </c>
    </row>
    <row r="138" spans="34:40">
      <c r="AH138" s="126">
        <v>137</v>
      </c>
      <c r="AI138" s="126" t="s">
        <v>1396</v>
      </c>
      <c r="AJ138" s="128">
        <f t="shared" si="17"/>
        <v>41395</v>
      </c>
      <c r="AK138" s="126">
        <f t="shared" si="18"/>
        <v>0</v>
      </c>
      <c r="AL138" s="126">
        <f t="array" ref="AL138">INDEX($Q$3:$Q$24,MATCH(AN138&amp;YEAR(AJ138),$A$3:$A$24&amp;YEAR($C$3:$C$24),0))</f>
        <v>2000</v>
      </c>
      <c r="AM138" s="126" t="s">
        <v>1398</v>
      </c>
      <c r="AN138" s="126" t="str">
        <f t="shared" si="19"/>
        <v>Misc Revenue (360-10)</v>
      </c>
    </row>
    <row r="139" spans="34:40">
      <c r="AH139" s="126">
        <v>138</v>
      </c>
      <c r="AI139" s="126" t="s">
        <v>1396</v>
      </c>
      <c r="AJ139" s="128">
        <f t="shared" si="17"/>
        <v>41426</v>
      </c>
      <c r="AK139" s="126">
        <f t="shared" si="18"/>
        <v>0</v>
      </c>
      <c r="AL139" s="126">
        <f t="array" ref="AL139">INDEX($Q$3:$Q$24,MATCH(AN139&amp;YEAR(AJ139),$A$3:$A$24&amp;YEAR($C$3:$C$24),0))</f>
        <v>2000</v>
      </c>
      <c r="AM139" s="126" t="s">
        <v>1398</v>
      </c>
      <c r="AN139" s="126" t="str">
        <f t="shared" si="19"/>
        <v>Misc Revenue (360-10)</v>
      </c>
    </row>
    <row r="140" spans="34:40">
      <c r="AH140" s="126">
        <v>139</v>
      </c>
      <c r="AI140" s="126" t="s">
        <v>1396</v>
      </c>
      <c r="AJ140" s="128">
        <f t="shared" si="17"/>
        <v>41456</v>
      </c>
      <c r="AK140" s="126">
        <f t="shared" si="18"/>
        <v>0</v>
      </c>
      <c r="AL140" s="126">
        <f t="array" ref="AL140">INDEX($Q$3:$Q$24,MATCH(AN140&amp;YEAR(AJ140),$A$3:$A$24&amp;YEAR($C$3:$C$24),0))</f>
        <v>2000</v>
      </c>
      <c r="AM140" s="126" t="s">
        <v>1398</v>
      </c>
      <c r="AN140" s="126" t="str">
        <f t="shared" si="19"/>
        <v>Misc Revenue (360-10)</v>
      </c>
    </row>
    <row r="141" spans="34:40">
      <c r="AH141" s="126">
        <v>140</v>
      </c>
      <c r="AI141" s="126" t="s">
        <v>1396</v>
      </c>
      <c r="AJ141" s="128">
        <f t="shared" si="17"/>
        <v>41487</v>
      </c>
      <c r="AK141" s="126">
        <f t="shared" si="18"/>
        <v>0</v>
      </c>
      <c r="AL141" s="126">
        <f t="array" ref="AL141">INDEX($Q$3:$Q$24,MATCH(AN141&amp;YEAR(AJ141),$A$3:$A$24&amp;YEAR($C$3:$C$24),0))</f>
        <v>2000</v>
      </c>
      <c r="AM141" s="126" t="s">
        <v>1398</v>
      </c>
      <c r="AN141" s="126" t="str">
        <f t="shared" si="19"/>
        <v>Misc Revenue (360-10)</v>
      </c>
    </row>
    <row r="142" spans="34:40">
      <c r="AH142" s="126">
        <v>141</v>
      </c>
      <c r="AI142" s="126" t="s">
        <v>1396</v>
      </c>
      <c r="AJ142" s="128">
        <f t="shared" si="17"/>
        <v>41518</v>
      </c>
      <c r="AK142" s="126">
        <f t="shared" si="18"/>
        <v>0</v>
      </c>
      <c r="AL142" s="126">
        <f t="array" ref="AL142">INDEX($Q$3:$Q$24,MATCH(AN142&amp;YEAR(AJ142),$A$3:$A$24&amp;YEAR($C$3:$C$24),0))</f>
        <v>2000</v>
      </c>
      <c r="AM142" s="126" t="s">
        <v>1398</v>
      </c>
      <c r="AN142" s="126" t="str">
        <f t="shared" si="19"/>
        <v>Misc Revenue (360-10)</v>
      </c>
    </row>
    <row r="143" spans="34:40">
      <c r="AH143" s="126">
        <v>142</v>
      </c>
      <c r="AI143" s="126" t="s">
        <v>1396</v>
      </c>
      <c r="AJ143" s="128">
        <f t="shared" si="17"/>
        <v>41548</v>
      </c>
      <c r="AK143" s="126">
        <f t="shared" si="18"/>
        <v>0</v>
      </c>
      <c r="AL143" s="126">
        <f t="array" ref="AL143">INDEX($Q$3:$Q$24,MATCH(AN143&amp;YEAR(AJ143),$A$3:$A$24&amp;YEAR($C$3:$C$24),0))</f>
        <v>2000</v>
      </c>
      <c r="AM143" s="126" t="s">
        <v>1398</v>
      </c>
      <c r="AN143" s="126" t="str">
        <f t="shared" si="19"/>
        <v>Misc Revenue (360-10)</v>
      </c>
    </row>
    <row r="144" spans="34:40">
      <c r="AH144" s="126">
        <v>143</v>
      </c>
      <c r="AI144" s="126" t="s">
        <v>1396</v>
      </c>
      <c r="AJ144" s="128">
        <f t="shared" si="17"/>
        <v>41579</v>
      </c>
      <c r="AK144" s="126">
        <f t="shared" si="18"/>
        <v>0</v>
      </c>
      <c r="AL144" s="126">
        <f t="array" ref="AL144">INDEX($Q$3:$Q$24,MATCH(AN144&amp;YEAR(AJ144),$A$3:$A$24&amp;YEAR($C$3:$C$24),0))</f>
        <v>2000</v>
      </c>
      <c r="AM144" s="126" t="s">
        <v>1398</v>
      </c>
      <c r="AN144" s="126" t="str">
        <f t="shared" si="19"/>
        <v>Misc Revenue (360-10)</v>
      </c>
    </row>
    <row r="145" spans="34:40">
      <c r="AH145" s="126">
        <v>144</v>
      </c>
      <c r="AI145" s="126" t="s">
        <v>1396</v>
      </c>
      <c r="AJ145" s="128">
        <f t="shared" si="17"/>
        <v>41609</v>
      </c>
      <c r="AK145" s="126">
        <f t="shared" si="18"/>
        <v>0</v>
      </c>
      <c r="AL145" s="126">
        <f t="array" ref="AL145">INDEX($Q$3:$Q$24,MATCH(AN145&amp;YEAR(AJ145),$A$3:$A$24&amp;YEAR($C$3:$C$24),0))</f>
        <v>2000</v>
      </c>
      <c r="AM145" s="126" t="s">
        <v>1398</v>
      </c>
      <c r="AN145" s="126" t="str">
        <f t="shared" si="19"/>
        <v>Misc Revenue (360-10)</v>
      </c>
    </row>
    <row r="146" spans="34:40">
      <c r="AH146" s="126">
        <v>145</v>
      </c>
      <c r="AI146" s="126" t="s">
        <v>1396</v>
      </c>
      <c r="AJ146" s="128">
        <f t="shared" si="17"/>
        <v>40909</v>
      </c>
      <c r="AK146" s="126">
        <f t="shared" si="18"/>
        <v>0</v>
      </c>
      <c r="AL146" s="126">
        <f t="array" ref="AL146">INDEX($Q$3:$Q$24,MATCH(AN146&amp;YEAR(AJ146),$A$3:$A$24&amp;YEAR($C$3:$C$24),0))</f>
        <v>112500</v>
      </c>
      <c r="AM146" s="126" t="s">
        <v>1398</v>
      </c>
      <c r="AN146" s="126" t="str">
        <f t="shared" si="19"/>
        <v>Interest Income -Operating (361-20)</v>
      </c>
    </row>
    <row r="147" spans="34:40">
      <c r="AH147" s="126">
        <v>146</v>
      </c>
      <c r="AI147" s="126" t="s">
        <v>1396</v>
      </c>
      <c r="AJ147" s="128">
        <f t="shared" si="17"/>
        <v>40940</v>
      </c>
      <c r="AK147" s="126">
        <f t="shared" si="18"/>
        <v>4901.91</v>
      </c>
      <c r="AL147" s="126">
        <f t="array" ref="AL147">INDEX($Q$3:$Q$24,MATCH(AN147&amp;YEAR(AJ147),$A$3:$A$24&amp;YEAR($C$3:$C$24),0))</f>
        <v>112500</v>
      </c>
      <c r="AM147" s="126" t="s">
        <v>1398</v>
      </c>
      <c r="AN147" s="126" t="str">
        <f t="shared" si="19"/>
        <v>Interest Income -Operating (361-20)</v>
      </c>
    </row>
    <row r="148" spans="34:40">
      <c r="AH148" s="126">
        <v>147</v>
      </c>
      <c r="AI148" s="126" t="s">
        <v>1396</v>
      </c>
      <c r="AJ148" s="128">
        <f t="shared" si="17"/>
        <v>40969</v>
      </c>
      <c r="AK148" s="126">
        <f t="shared" si="18"/>
        <v>5002.08</v>
      </c>
      <c r="AL148" s="126">
        <f t="array" ref="AL148">INDEX($Q$3:$Q$24,MATCH(AN148&amp;YEAR(AJ148),$A$3:$A$24&amp;YEAR($C$3:$C$24),0))</f>
        <v>112500</v>
      </c>
      <c r="AM148" s="126" t="s">
        <v>1398</v>
      </c>
      <c r="AN148" s="126" t="str">
        <f t="shared" si="19"/>
        <v>Interest Income -Operating (361-20)</v>
      </c>
    </row>
    <row r="149" spans="34:40">
      <c r="AH149" s="126">
        <v>148</v>
      </c>
      <c r="AI149" s="126" t="s">
        <v>1396</v>
      </c>
      <c r="AJ149" s="128">
        <f t="shared" si="17"/>
        <v>41000</v>
      </c>
      <c r="AK149" s="126">
        <f t="shared" si="18"/>
        <v>4657.3</v>
      </c>
      <c r="AL149" s="126">
        <f t="array" ref="AL149">INDEX($Q$3:$Q$24,MATCH(AN149&amp;YEAR(AJ149),$A$3:$A$24&amp;YEAR($C$3:$C$24),0))</f>
        <v>112500</v>
      </c>
      <c r="AM149" s="126" t="s">
        <v>1398</v>
      </c>
      <c r="AN149" s="126" t="str">
        <f t="shared" si="19"/>
        <v>Interest Income -Operating (361-20)</v>
      </c>
    </row>
    <row r="150" spans="34:40">
      <c r="AH150" s="126">
        <v>149</v>
      </c>
      <c r="AI150" s="126" t="s">
        <v>1396</v>
      </c>
      <c r="AJ150" s="128">
        <f t="shared" si="17"/>
        <v>41030</v>
      </c>
      <c r="AK150" s="126">
        <f t="shared" si="18"/>
        <v>4370.76</v>
      </c>
      <c r="AL150" s="126">
        <f t="array" ref="AL150">INDEX($Q$3:$Q$24,MATCH(AN150&amp;YEAR(AJ150),$A$3:$A$24&amp;YEAR($C$3:$C$24),0))</f>
        <v>112500</v>
      </c>
      <c r="AM150" s="126" t="s">
        <v>1398</v>
      </c>
      <c r="AN150" s="126" t="str">
        <f t="shared" si="19"/>
        <v>Interest Income -Operating (361-20)</v>
      </c>
    </row>
    <row r="151" spans="34:40">
      <c r="AH151" s="126">
        <v>150</v>
      </c>
      <c r="AI151" s="126" t="s">
        <v>1396</v>
      </c>
      <c r="AJ151" s="128">
        <f t="shared" si="17"/>
        <v>41061</v>
      </c>
      <c r="AK151" s="126">
        <f t="shared" si="18"/>
        <v>3646.47</v>
      </c>
      <c r="AL151" s="126">
        <f t="array" ref="AL151">INDEX($Q$3:$Q$24,MATCH(AN151&amp;YEAR(AJ151),$A$3:$A$24&amp;YEAR($C$3:$C$24),0))</f>
        <v>112500</v>
      </c>
      <c r="AM151" s="126" t="s">
        <v>1398</v>
      </c>
      <c r="AN151" s="126" t="str">
        <f t="shared" si="19"/>
        <v>Interest Income -Operating (361-20)</v>
      </c>
    </row>
    <row r="152" spans="34:40">
      <c r="AH152" s="126">
        <v>151</v>
      </c>
      <c r="AI152" s="126" t="s">
        <v>1396</v>
      </c>
      <c r="AJ152" s="128">
        <f t="shared" si="17"/>
        <v>41091</v>
      </c>
      <c r="AK152" s="126">
        <f t="shared" si="18"/>
        <v>3734.41</v>
      </c>
      <c r="AL152" s="126">
        <f t="array" ref="AL152">INDEX($Q$3:$Q$24,MATCH(AN152&amp;YEAR(AJ152),$A$3:$A$24&amp;YEAR($C$3:$C$24),0))</f>
        <v>112500</v>
      </c>
      <c r="AM152" s="126" t="s">
        <v>1398</v>
      </c>
      <c r="AN152" s="126" t="str">
        <f t="shared" si="19"/>
        <v>Interest Income -Operating (361-20)</v>
      </c>
    </row>
    <row r="153" spans="34:40">
      <c r="AH153" s="126">
        <v>152</v>
      </c>
      <c r="AI153" s="126" t="s">
        <v>1396</v>
      </c>
      <c r="AJ153" s="128">
        <f t="shared" si="17"/>
        <v>41122</v>
      </c>
      <c r="AK153" s="126">
        <f t="shared" si="18"/>
        <v>3645.49</v>
      </c>
      <c r="AL153" s="126">
        <f t="array" ref="AL153">INDEX($Q$3:$Q$24,MATCH(AN153&amp;YEAR(AJ153),$A$3:$A$24&amp;YEAR($C$3:$C$24),0))</f>
        <v>112500</v>
      </c>
      <c r="AM153" s="126" t="s">
        <v>1398</v>
      </c>
      <c r="AN153" s="126" t="str">
        <f t="shared" si="19"/>
        <v>Interest Income -Operating (361-20)</v>
      </c>
    </row>
    <row r="154" spans="34:40">
      <c r="AH154" s="126">
        <v>153</v>
      </c>
      <c r="AI154" s="126" t="s">
        <v>1396</v>
      </c>
      <c r="AJ154" s="128">
        <f t="shared" si="17"/>
        <v>41153</v>
      </c>
      <c r="AK154" s="126">
        <f t="shared" si="18"/>
        <v>3347.7</v>
      </c>
      <c r="AL154" s="126">
        <f t="array" ref="AL154">INDEX($Q$3:$Q$24,MATCH(AN154&amp;YEAR(AJ154),$A$3:$A$24&amp;YEAR($C$3:$C$24),0))</f>
        <v>112500</v>
      </c>
      <c r="AM154" s="126" t="s">
        <v>1398</v>
      </c>
      <c r="AN154" s="126" t="str">
        <f t="shared" si="19"/>
        <v>Interest Income -Operating (361-20)</v>
      </c>
    </row>
    <row r="155" spans="34:40">
      <c r="AH155" s="126">
        <v>154</v>
      </c>
      <c r="AI155" s="126" t="s">
        <v>1396</v>
      </c>
      <c r="AJ155" s="128">
        <f t="shared" si="17"/>
        <v>41183</v>
      </c>
      <c r="AK155" s="126">
        <f t="shared" si="18"/>
        <v>3148.14</v>
      </c>
      <c r="AL155" s="126">
        <f t="array" ref="AL155">INDEX($Q$3:$Q$24,MATCH(AN155&amp;YEAR(AJ155),$A$3:$A$24&amp;YEAR($C$3:$C$24),0))</f>
        <v>112500</v>
      </c>
      <c r="AM155" s="126" t="s">
        <v>1398</v>
      </c>
      <c r="AN155" s="126" t="str">
        <f t="shared" si="19"/>
        <v>Interest Income -Operating (361-20)</v>
      </c>
    </row>
    <row r="156" spans="34:40">
      <c r="AH156" s="126">
        <v>155</v>
      </c>
      <c r="AI156" s="126" t="s">
        <v>1396</v>
      </c>
      <c r="AJ156" s="128">
        <f t="shared" si="17"/>
        <v>41214</v>
      </c>
      <c r="AK156" s="126">
        <f t="shared" si="18"/>
        <v>2886.8</v>
      </c>
      <c r="AL156" s="126">
        <f t="array" ref="AL156">INDEX($Q$3:$Q$24,MATCH(AN156&amp;YEAR(AJ156),$A$3:$A$24&amp;YEAR($C$3:$C$24),0))</f>
        <v>112500</v>
      </c>
      <c r="AM156" s="126" t="s">
        <v>1398</v>
      </c>
      <c r="AN156" s="126" t="str">
        <f t="shared" si="19"/>
        <v>Interest Income -Operating (361-20)</v>
      </c>
    </row>
    <row r="157" spans="34:40">
      <c r="AH157" s="126">
        <v>156</v>
      </c>
      <c r="AI157" s="126" t="s">
        <v>1396</v>
      </c>
      <c r="AJ157" s="128">
        <f t="shared" si="17"/>
        <v>41244</v>
      </c>
      <c r="AK157" s="126">
        <f t="shared" si="18"/>
        <v>4183.1100000000006</v>
      </c>
      <c r="AL157" s="126">
        <f t="array" ref="AL157">INDEX($Q$3:$Q$24,MATCH(AN157&amp;YEAR(AJ157),$A$3:$A$24&amp;YEAR($C$3:$C$24),0))</f>
        <v>112500</v>
      </c>
      <c r="AM157" s="126" t="s">
        <v>1398</v>
      </c>
      <c r="AN157" s="126" t="str">
        <f t="shared" si="19"/>
        <v>Interest Income -Operating (361-20)</v>
      </c>
    </row>
    <row r="158" spans="34:40">
      <c r="AH158" s="126">
        <v>157</v>
      </c>
      <c r="AI158" s="126" t="s">
        <v>1396</v>
      </c>
      <c r="AJ158" s="128">
        <f t="shared" si="17"/>
        <v>41275</v>
      </c>
      <c r="AK158" s="126">
        <f t="shared" si="18"/>
        <v>0</v>
      </c>
      <c r="AL158" s="126">
        <f t="array" ref="AL158">INDEX($Q$3:$Q$24,MATCH(AN158&amp;YEAR(AJ158),$A$3:$A$24&amp;YEAR($C$3:$C$24),0))</f>
        <v>116800</v>
      </c>
      <c r="AM158" s="126" t="s">
        <v>1398</v>
      </c>
      <c r="AN158" s="126" t="str">
        <f t="shared" si="19"/>
        <v>Interest Income -Operating (361-20)</v>
      </c>
    </row>
    <row r="159" spans="34:40">
      <c r="AH159" s="126">
        <v>158</v>
      </c>
      <c r="AI159" s="126" t="s">
        <v>1396</v>
      </c>
      <c r="AJ159" s="128">
        <f t="shared" si="17"/>
        <v>41306</v>
      </c>
      <c r="AK159" s="126">
        <f t="shared" si="18"/>
        <v>1446.79</v>
      </c>
      <c r="AL159" s="126">
        <f t="array" ref="AL159">INDEX($Q$3:$Q$24,MATCH(AN159&amp;YEAR(AJ159),$A$3:$A$24&amp;YEAR($C$3:$C$24),0))</f>
        <v>116800</v>
      </c>
      <c r="AM159" s="126" t="s">
        <v>1398</v>
      </c>
      <c r="AN159" s="126" t="str">
        <f t="shared" si="19"/>
        <v>Interest Income -Operating (361-20)</v>
      </c>
    </row>
    <row r="160" spans="34:40">
      <c r="AH160" s="126">
        <v>159</v>
      </c>
      <c r="AI160" s="126" t="s">
        <v>1396</v>
      </c>
      <c r="AJ160" s="128">
        <f t="shared" si="17"/>
        <v>41334</v>
      </c>
      <c r="AK160" s="126">
        <f t="shared" si="18"/>
        <v>1079.8400000000001</v>
      </c>
      <c r="AL160" s="126">
        <f t="array" ref="AL160">INDEX($Q$3:$Q$24,MATCH(AN160&amp;YEAR(AJ160),$A$3:$A$24&amp;YEAR($C$3:$C$24),0))</f>
        <v>116800</v>
      </c>
      <c r="AM160" s="126" t="s">
        <v>1398</v>
      </c>
      <c r="AN160" s="126" t="str">
        <f t="shared" si="19"/>
        <v>Interest Income -Operating (361-20)</v>
      </c>
    </row>
    <row r="161" spans="34:40">
      <c r="AH161" s="126">
        <v>160</v>
      </c>
      <c r="AI161" s="126" t="s">
        <v>1396</v>
      </c>
      <c r="AJ161" s="128">
        <f t="shared" si="17"/>
        <v>41365</v>
      </c>
      <c r="AK161" s="126">
        <f t="shared" si="18"/>
        <v>1082.5700000000002</v>
      </c>
      <c r="AL161" s="126">
        <f t="array" ref="AL161">INDEX($Q$3:$Q$24,MATCH(AN161&amp;YEAR(AJ161),$A$3:$A$24&amp;YEAR($C$3:$C$24),0))</f>
        <v>116800</v>
      </c>
      <c r="AM161" s="126" t="s">
        <v>1398</v>
      </c>
      <c r="AN161" s="126" t="str">
        <f t="shared" si="19"/>
        <v>Interest Income -Operating (361-20)</v>
      </c>
    </row>
    <row r="162" spans="34:40">
      <c r="AH162" s="126">
        <v>161</v>
      </c>
      <c r="AI162" s="126" t="s">
        <v>1396</v>
      </c>
      <c r="AJ162" s="128">
        <f t="shared" si="17"/>
        <v>41395</v>
      </c>
      <c r="AK162" s="126">
        <f t="shared" si="18"/>
        <v>1062.55</v>
      </c>
      <c r="AL162" s="126">
        <f t="array" ref="AL162">INDEX($Q$3:$Q$24,MATCH(AN162&amp;YEAR(AJ162),$A$3:$A$24&amp;YEAR($C$3:$C$24),0))</f>
        <v>116800</v>
      </c>
      <c r="AM162" s="126" t="s">
        <v>1398</v>
      </c>
      <c r="AN162" s="126" t="str">
        <f t="shared" si="19"/>
        <v>Interest Income -Operating (361-20)</v>
      </c>
    </row>
    <row r="163" spans="34:40">
      <c r="AH163" s="126">
        <v>162</v>
      </c>
      <c r="AI163" s="126" t="s">
        <v>1396</v>
      </c>
      <c r="AJ163" s="128">
        <f t="shared" si="17"/>
        <v>41426</v>
      </c>
      <c r="AK163" s="126">
        <f t="shared" si="18"/>
        <v>0</v>
      </c>
      <c r="AL163" s="126">
        <f t="array" ref="AL163">INDEX($Q$3:$Q$24,MATCH(AN163&amp;YEAR(AJ163),$A$3:$A$24&amp;YEAR($C$3:$C$24),0))</f>
        <v>116800</v>
      </c>
      <c r="AM163" s="126" t="s">
        <v>1398</v>
      </c>
      <c r="AN163" s="126" t="str">
        <f t="shared" si="19"/>
        <v>Interest Income -Operating (361-20)</v>
      </c>
    </row>
    <row r="164" spans="34:40">
      <c r="AH164" s="126">
        <v>163</v>
      </c>
      <c r="AI164" s="126" t="s">
        <v>1396</v>
      </c>
      <c r="AJ164" s="128">
        <f t="shared" si="17"/>
        <v>41456</v>
      </c>
      <c r="AK164" s="126">
        <f t="shared" si="18"/>
        <v>0</v>
      </c>
      <c r="AL164" s="126">
        <f t="array" ref="AL164">INDEX($Q$3:$Q$24,MATCH(AN164&amp;YEAR(AJ164),$A$3:$A$24&amp;YEAR($C$3:$C$24),0))</f>
        <v>116800</v>
      </c>
      <c r="AM164" s="126" t="s">
        <v>1398</v>
      </c>
      <c r="AN164" s="126" t="str">
        <f t="shared" si="19"/>
        <v>Interest Income -Operating (361-20)</v>
      </c>
    </row>
    <row r="165" spans="34:40">
      <c r="AH165" s="126">
        <v>164</v>
      </c>
      <c r="AI165" s="126" t="s">
        <v>1396</v>
      </c>
      <c r="AJ165" s="128">
        <f t="shared" si="17"/>
        <v>41487</v>
      </c>
      <c r="AK165" s="126">
        <f t="shared" si="18"/>
        <v>0</v>
      </c>
      <c r="AL165" s="126">
        <f t="array" ref="AL165">INDEX($Q$3:$Q$24,MATCH(AN165&amp;YEAR(AJ165),$A$3:$A$24&amp;YEAR($C$3:$C$24),0))</f>
        <v>116800</v>
      </c>
      <c r="AM165" s="126" t="s">
        <v>1398</v>
      </c>
      <c r="AN165" s="126" t="str">
        <f t="shared" si="19"/>
        <v>Interest Income -Operating (361-20)</v>
      </c>
    </row>
    <row r="166" spans="34:40">
      <c r="AH166" s="126">
        <v>165</v>
      </c>
      <c r="AI166" s="126" t="s">
        <v>1396</v>
      </c>
      <c r="AJ166" s="128">
        <f t="shared" si="17"/>
        <v>41518</v>
      </c>
      <c r="AK166" s="126">
        <f t="shared" si="18"/>
        <v>0</v>
      </c>
      <c r="AL166" s="126">
        <f t="array" ref="AL166">INDEX($Q$3:$Q$24,MATCH(AN166&amp;YEAR(AJ166),$A$3:$A$24&amp;YEAR($C$3:$C$24),0))</f>
        <v>116800</v>
      </c>
      <c r="AM166" s="126" t="s">
        <v>1398</v>
      </c>
      <c r="AN166" s="126" t="str">
        <f t="shared" si="19"/>
        <v>Interest Income -Operating (361-20)</v>
      </c>
    </row>
    <row r="167" spans="34:40">
      <c r="AH167" s="126">
        <v>166</v>
      </c>
      <c r="AI167" s="126" t="s">
        <v>1396</v>
      </c>
      <c r="AJ167" s="128">
        <f t="shared" si="17"/>
        <v>41548</v>
      </c>
      <c r="AK167" s="126">
        <f t="shared" si="18"/>
        <v>0</v>
      </c>
      <c r="AL167" s="126">
        <f t="array" ref="AL167">INDEX($Q$3:$Q$24,MATCH(AN167&amp;YEAR(AJ167),$A$3:$A$24&amp;YEAR($C$3:$C$24),0))</f>
        <v>116800</v>
      </c>
      <c r="AM167" s="126" t="s">
        <v>1398</v>
      </c>
      <c r="AN167" s="126" t="str">
        <f t="shared" si="19"/>
        <v>Interest Income -Operating (361-20)</v>
      </c>
    </row>
    <row r="168" spans="34:40">
      <c r="AH168" s="126">
        <v>167</v>
      </c>
      <c r="AI168" s="126" t="s">
        <v>1396</v>
      </c>
      <c r="AJ168" s="128">
        <f t="shared" si="17"/>
        <v>41579</v>
      </c>
      <c r="AK168" s="126">
        <f t="shared" si="18"/>
        <v>0</v>
      </c>
      <c r="AL168" s="126">
        <f t="array" ref="AL168">INDEX($Q$3:$Q$24,MATCH(AN168&amp;YEAR(AJ168),$A$3:$A$24&amp;YEAR($C$3:$C$24),0))</f>
        <v>116800</v>
      </c>
      <c r="AM168" s="126" t="s">
        <v>1398</v>
      </c>
      <c r="AN168" s="126" t="str">
        <f t="shared" si="19"/>
        <v>Interest Income -Operating (361-20)</v>
      </c>
    </row>
    <row r="169" spans="34:40">
      <c r="AH169" s="126">
        <v>168</v>
      </c>
      <c r="AI169" s="126" t="s">
        <v>1396</v>
      </c>
      <c r="AJ169" s="128">
        <f t="shared" si="17"/>
        <v>41609</v>
      </c>
      <c r="AK169" s="126">
        <f t="shared" si="18"/>
        <v>0</v>
      </c>
      <c r="AL169" s="126">
        <f t="array" ref="AL169">INDEX($Q$3:$Q$24,MATCH(AN169&amp;YEAR(AJ169),$A$3:$A$24&amp;YEAR($C$3:$C$24),0))</f>
        <v>116800</v>
      </c>
      <c r="AM169" s="126" t="s">
        <v>1398</v>
      </c>
      <c r="AN169" s="126" t="str">
        <f t="shared" si="19"/>
        <v>Interest Income -Operating (361-20)</v>
      </c>
    </row>
    <row r="170" spans="34:40">
      <c r="AH170" s="126">
        <v>169</v>
      </c>
      <c r="AI170" s="126" t="s">
        <v>1396</v>
      </c>
      <c r="AJ170" s="128">
        <f t="shared" si="17"/>
        <v>40909</v>
      </c>
      <c r="AK170" s="126">
        <f t="shared" si="18"/>
        <v>0</v>
      </c>
      <c r="AL170" s="126">
        <f t="array" ref="AL170">INDEX($Q$3:$Q$24,MATCH(AN170&amp;YEAR(AJ170),$A$3:$A$24&amp;YEAR($C$3:$C$24),0))</f>
        <v>0</v>
      </c>
      <c r="AM170" s="126" t="s">
        <v>1398</v>
      </c>
      <c r="AN170" s="126" t="str">
        <f t="shared" si="19"/>
        <v>Interest Income - 2010A Bonds (361-31)</v>
      </c>
    </row>
    <row r="171" spans="34:40">
      <c r="AH171" s="126">
        <v>170</v>
      </c>
      <c r="AI171" s="126" t="s">
        <v>1396</v>
      </c>
      <c r="AJ171" s="128">
        <f t="shared" si="17"/>
        <v>40940</v>
      </c>
      <c r="AK171" s="126">
        <f t="shared" si="18"/>
        <v>0</v>
      </c>
      <c r="AL171" s="126">
        <f t="array" ref="AL171">INDEX($Q$3:$Q$24,MATCH(AN171&amp;YEAR(AJ171),$A$3:$A$24&amp;YEAR($C$3:$C$24),0))</f>
        <v>0</v>
      </c>
      <c r="AM171" s="126" t="s">
        <v>1398</v>
      </c>
      <c r="AN171" s="126" t="str">
        <f t="shared" si="19"/>
        <v>Interest Income - 2010A Bonds (361-31)</v>
      </c>
    </row>
    <row r="172" spans="34:40">
      <c r="AH172" s="126">
        <v>171</v>
      </c>
      <c r="AI172" s="126" t="s">
        <v>1396</v>
      </c>
      <c r="AJ172" s="128">
        <f t="shared" si="17"/>
        <v>40969</v>
      </c>
      <c r="AK172" s="126">
        <f t="shared" si="18"/>
        <v>0</v>
      </c>
      <c r="AL172" s="126">
        <f t="array" ref="AL172">INDEX($Q$3:$Q$24,MATCH(AN172&amp;YEAR(AJ172),$A$3:$A$24&amp;YEAR($C$3:$C$24),0))</f>
        <v>0</v>
      </c>
      <c r="AM172" s="126" t="s">
        <v>1398</v>
      </c>
      <c r="AN172" s="126" t="str">
        <f t="shared" si="19"/>
        <v>Interest Income - 2010A Bonds (361-31)</v>
      </c>
    </row>
    <row r="173" spans="34:40">
      <c r="AH173" s="126">
        <v>172</v>
      </c>
      <c r="AI173" s="126" t="s">
        <v>1396</v>
      </c>
      <c r="AJ173" s="128">
        <f t="shared" si="17"/>
        <v>41000</v>
      </c>
      <c r="AK173" s="126">
        <f t="shared" si="18"/>
        <v>0</v>
      </c>
      <c r="AL173" s="126">
        <f t="array" ref="AL173">INDEX($Q$3:$Q$24,MATCH(AN173&amp;YEAR(AJ173),$A$3:$A$24&amp;YEAR($C$3:$C$24),0))</f>
        <v>0</v>
      </c>
      <c r="AM173" s="126" t="s">
        <v>1398</v>
      </c>
      <c r="AN173" s="126" t="str">
        <f t="shared" si="19"/>
        <v>Interest Income - 2010A Bonds (361-31)</v>
      </c>
    </row>
    <row r="174" spans="34:40">
      <c r="AH174" s="126">
        <v>173</v>
      </c>
      <c r="AI174" s="126" t="s">
        <v>1396</v>
      </c>
      <c r="AJ174" s="128">
        <f t="shared" si="17"/>
        <v>41030</v>
      </c>
      <c r="AK174" s="126">
        <f t="shared" si="18"/>
        <v>0</v>
      </c>
      <c r="AL174" s="126">
        <f t="array" ref="AL174">INDEX($Q$3:$Q$24,MATCH(AN174&amp;YEAR(AJ174),$A$3:$A$24&amp;YEAR($C$3:$C$24),0))</f>
        <v>0</v>
      </c>
      <c r="AM174" s="126" t="s">
        <v>1398</v>
      </c>
      <c r="AN174" s="126" t="str">
        <f t="shared" si="19"/>
        <v>Interest Income - 2010A Bonds (361-31)</v>
      </c>
    </row>
    <row r="175" spans="34:40">
      <c r="AH175" s="126">
        <v>174</v>
      </c>
      <c r="AI175" s="126" t="s">
        <v>1396</v>
      </c>
      <c r="AJ175" s="128">
        <f t="shared" si="17"/>
        <v>41061</v>
      </c>
      <c r="AK175" s="126">
        <f t="shared" si="18"/>
        <v>0</v>
      </c>
      <c r="AL175" s="126">
        <f t="array" ref="AL175">INDEX($Q$3:$Q$24,MATCH(AN175&amp;YEAR(AJ175),$A$3:$A$24&amp;YEAR($C$3:$C$24),0))</f>
        <v>0</v>
      </c>
      <c r="AM175" s="126" t="s">
        <v>1398</v>
      </c>
      <c r="AN175" s="126" t="str">
        <f t="shared" si="19"/>
        <v>Interest Income - 2010A Bonds (361-31)</v>
      </c>
    </row>
    <row r="176" spans="34:40">
      <c r="AH176" s="126">
        <v>175</v>
      </c>
      <c r="AI176" s="126" t="s">
        <v>1396</v>
      </c>
      <c r="AJ176" s="128">
        <f t="shared" si="17"/>
        <v>41091</v>
      </c>
      <c r="AK176" s="126">
        <f t="shared" si="18"/>
        <v>0</v>
      </c>
      <c r="AL176" s="126">
        <f t="array" ref="AL176">INDEX($Q$3:$Q$24,MATCH(AN176&amp;YEAR(AJ176),$A$3:$A$24&amp;YEAR($C$3:$C$24),0))</f>
        <v>0</v>
      </c>
      <c r="AM176" s="126" t="s">
        <v>1398</v>
      </c>
      <c r="AN176" s="126" t="str">
        <f t="shared" si="19"/>
        <v>Interest Income - 2010A Bonds (361-31)</v>
      </c>
    </row>
    <row r="177" spans="34:40">
      <c r="AH177" s="126">
        <v>176</v>
      </c>
      <c r="AI177" s="126" t="s">
        <v>1396</v>
      </c>
      <c r="AJ177" s="128">
        <f t="shared" si="17"/>
        <v>41122</v>
      </c>
      <c r="AK177" s="126">
        <f t="shared" si="18"/>
        <v>0</v>
      </c>
      <c r="AL177" s="126">
        <f t="array" ref="AL177">INDEX($Q$3:$Q$24,MATCH(AN177&amp;YEAR(AJ177),$A$3:$A$24&amp;YEAR($C$3:$C$24),0))</f>
        <v>0</v>
      </c>
      <c r="AM177" s="126" t="s">
        <v>1398</v>
      </c>
      <c r="AN177" s="126" t="str">
        <f t="shared" si="19"/>
        <v>Interest Income - 2010A Bonds (361-31)</v>
      </c>
    </row>
    <row r="178" spans="34:40">
      <c r="AH178" s="126">
        <v>177</v>
      </c>
      <c r="AI178" s="126" t="s">
        <v>1396</v>
      </c>
      <c r="AJ178" s="128">
        <f t="shared" si="17"/>
        <v>41153</v>
      </c>
      <c r="AK178" s="126">
        <f t="shared" si="18"/>
        <v>0</v>
      </c>
      <c r="AL178" s="126">
        <f t="array" ref="AL178">INDEX($Q$3:$Q$24,MATCH(AN178&amp;YEAR(AJ178),$A$3:$A$24&amp;YEAR($C$3:$C$24),0))</f>
        <v>0</v>
      </c>
      <c r="AM178" s="126" t="s">
        <v>1398</v>
      </c>
      <c r="AN178" s="126" t="str">
        <f t="shared" si="19"/>
        <v>Interest Income - 2010A Bonds (361-31)</v>
      </c>
    </row>
    <row r="179" spans="34:40">
      <c r="AH179" s="126">
        <v>178</v>
      </c>
      <c r="AI179" s="126" t="s">
        <v>1396</v>
      </c>
      <c r="AJ179" s="128">
        <f t="shared" si="17"/>
        <v>41183</v>
      </c>
      <c r="AK179" s="126">
        <f t="shared" si="18"/>
        <v>0</v>
      </c>
      <c r="AL179" s="126">
        <f t="array" ref="AL179">INDEX($Q$3:$Q$24,MATCH(AN179&amp;YEAR(AJ179),$A$3:$A$24&amp;YEAR($C$3:$C$24),0))</f>
        <v>0</v>
      </c>
      <c r="AM179" s="126" t="s">
        <v>1398</v>
      </c>
      <c r="AN179" s="126" t="str">
        <f t="shared" si="19"/>
        <v>Interest Income - 2010A Bonds (361-31)</v>
      </c>
    </row>
    <row r="180" spans="34:40">
      <c r="AH180" s="126">
        <v>179</v>
      </c>
      <c r="AI180" s="126" t="s">
        <v>1396</v>
      </c>
      <c r="AJ180" s="128">
        <f t="shared" si="17"/>
        <v>41214</v>
      </c>
      <c r="AK180" s="126">
        <f t="shared" si="18"/>
        <v>3756.4</v>
      </c>
      <c r="AL180" s="126">
        <f t="array" ref="AL180">INDEX($Q$3:$Q$24,MATCH(AN180&amp;YEAR(AJ180),$A$3:$A$24&amp;YEAR($C$3:$C$24),0))</f>
        <v>0</v>
      </c>
      <c r="AM180" s="126" t="s">
        <v>1398</v>
      </c>
      <c r="AN180" s="126" t="str">
        <f t="shared" si="19"/>
        <v>Interest Income - 2010A Bonds (361-31)</v>
      </c>
    </row>
    <row r="181" spans="34:40">
      <c r="AH181" s="126">
        <v>180</v>
      </c>
      <c r="AI181" s="126" t="s">
        <v>1396</v>
      </c>
      <c r="AJ181" s="128">
        <f t="shared" si="17"/>
        <v>41244</v>
      </c>
      <c r="AK181" s="126">
        <f t="shared" si="18"/>
        <v>6274.4</v>
      </c>
      <c r="AL181" s="126">
        <f t="array" ref="AL181">INDEX($Q$3:$Q$24,MATCH(AN181&amp;YEAR(AJ181),$A$3:$A$24&amp;YEAR($C$3:$C$24),0))</f>
        <v>0</v>
      </c>
      <c r="AM181" s="126" t="s">
        <v>1398</v>
      </c>
      <c r="AN181" s="126" t="str">
        <f t="shared" si="19"/>
        <v>Interest Income - 2010A Bonds (361-31)</v>
      </c>
    </row>
    <row r="182" spans="34:40">
      <c r="AH182" s="126">
        <v>181</v>
      </c>
      <c r="AI182" s="126" t="s">
        <v>1396</v>
      </c>
      <c r="AJ182" s="128">
        <f t="shared" si="17"/>
        <v>41275</v>
      </c>
      <c r="AK182" s="126">
        <f t="shared" si="18"/>
        <v>0</v>
      </c>
      <c r="AL182" s="126">
        <f t="array" ref="AL182">INDEX($Q$3:$Q$24,MATCH(AN182&amp;YEAR(AJ182),$A$3:$A$24&amp;YEAR($C$3:$C$24),0))</f>
        <v>0</v>
      </c>
      <c r="AM182" s="126" t="s">
        <v>1398</v>
      </c>
      <c r="AN182" s="126" t="str">
        <f t="shared" si="19"/>
        <v>Interest Income - 2010A Bonds (361-31)</v>
      </c>
    </row>
    <row r="183" spans="34:40">
      <c r="AH183" s="126">
        <v>182</v>
      </c>
      <c r="AI183" s="126" t="s">
        <v>1396</v>
      </c>
      <c r="AJ183" s="128">
        <f t="shared" si="17"/>
        <v>41306</v>
      </c>
      <c r="AK183" s="126">
        <f t="shared" si="18"/>
        <v>0</v>
      </c>
      <c r="AL183" s="126">
        <f t="array" ref="AL183">INDEX($Q$3:$Q$24,MATCH(AN183&amp;YEAR(AJ183),$A$3:$A$24&amp;YEAR($C$3:$C$24),0))</f>
        <v>0</v>
      </c>
      <c r="AM183" s="126" t="s">
        <v>1398</v>
      </c>
      <c r="AN183" s="126" t="str">
        <f t="shared" si="19"/>
        <v>Interest Income - 2010A Bonds (361-31)</v>
      </c>
    </row>
    <row r="184" spans="34:40">
      <c r="AH184" s="126">
        <v>183</v>
      </c>
      <c r="AI184" s="126" t="s">
        <v>1396</v>
      </c>
      <c r="AJ184" s="128">
        <f t="shared" si="17"/>
        <v>41334</v>
      </c>
      <c r="AK184" s="126">
        <f t="shared" si="18"/>
        <v>165.78</v>
      </c>
      <c r="AL184" s="126">
        <f t="array" ref="AL184">INDEX($Q$3:$Q$24,MATCH(AN184&amp;YEAR(AJ184),$A$3:$A$24&amp;YEAR($C$3:$C$24),0))</f>
        <v>0</v>
      </c>
      <c r="AM184" s="126" t="s">
        <v>1398</v>
      </c>
      <c r="AN184" s="126" t="str">
        <f t="shared" si="19"/>
        <v>Interest Income - 2010A Bonds (361-31)</v>
      </c>
    </row>
    <row r="185" spans="34:40">
      <c r="AH185" s="126">
        <v>184</v>
      </c>
      <c r="AI185" s="126" t="s">
        <v>1396</v>
      </c>
      <c r="AJ185" s="128">
        <f t="shared" si="17"/>
        <v>41365</v>
      </c>
      <c r="AK185" s="126">
        <f t="shared" si="18"/>
        <v>174.95</v>
      </c>
      <c r="AL185" s="126">
        <f t="array" ref="AL185">INDEX($Q$3:$Q$24,MATCH(AN185&amp;YEAR(AJ185),$A$3:$A$24&amp;YEAR($C$3:$C$24),0))</f>
        <v>0</v>
      </c>
      <c r="AM185" s="126" t="s">
        <v>1398</v>
      </c>
      <c r="AN185" s="126" t="str">
        <f t="shared" si="19"/>
        <v>Interest Income - 2010A Bonds (361-31)</v>
      </c>
    </row>
    <row r="186" spans="34:40">
      <c r="AH186" s="126">
        <v>185</v>
      </c>
      <c r="AI186" s="126" t="s">
        <v>1396</v>
      </c>
      <c r="AJ186" s="128">
        <f t="shared" si="17"/>
        <v>41395</v>
      </c>
      <c r="AK186" s="126">
        <f t="shared" si="18"/>
        <v>161.86000000000001</v>
      </c>
      <c r="AL186" s="126">
        <f t="array" ref="AL186">INDEX($Q$3:$Q$24,MATCH(AN186&amp;YEAR(AJ186),$A$3:$A$24&amp;YEAR($C$3:$C$24),0))</f>
        <v>0</v>
      </c>
      <c r="AM186" s="126" t="s">
        <v>1398</v>
      </c>
      <c r="AN186" s="126" t="str">
        <f t="shared" si="19"/>
        <v>Interest Income - 2010A Bonds (361-31)</v>
      </c>
    </row>
    <row r="187" spans="34:40">
      <c r="AH187" s="126">
        <v>186</v>
      </c>
      <c r="AI187" s="126" t="s">
        <v>1396</v>
      </c>
      <c r="AJ187" s="128">
        <f t="shared" si="17"/>
        <v>41426</v>
      </c>
      <c r="AK187" s="126">
        <f t="shared" si="18"/>
        <v>0</v>
      </c>
      <c r="AL187" s="126">
        <f t="array" ref="AL187">INDEX($Q$3:$Q$24,MATCH(AN187&amp;YEAR(AJ187),$A$3:$A$24&amp;YEAR($C$3:$C$24),0))</f>
        <v>0</v>
      </c>
      <c r="AM187" s="126" t="s">
        <v>1398</v>
      </c>
      <c r="AN187" s="126" t="str">
        <f t="shared" si="19"/>
        <v>Interest Income - 2010A Bonds (361-31)</v>
      </c>
    </row>
    <row r="188" spans="34:40">
      <c r="AH188" s="126">
        <v>187</v>
      </c>
      <c r="AI188" s="126" t="s">
        <v>1396</v>
      </c>
      <c r="AJ188" s="128">
        <f t="shared" si="17"/>
        <v>41456</v>
      </c>
      <c r="AK188" s="126">
        <f t="shared" si="18"/>
        <v>0</v>
      </c>
      <c r="AL188" s="126">
        <f t="array" ref="AL188">INDEX($Q$3:$Q$24,MATCH(AN188&amp;YEAR(AJ188),$A$3:$A$24&amp;YEAR($C$3:$C$24),0))</f>
        <v>0</v>
      </c>
      <c r="AM188" s="126" t="s">
        <v>1398</v>
      </c>
      <c r="AN188" s="126" t="str">
        <f t="shared" si="19"/>
        <v>Interest Income - 2010A Bonds (361-31)</v>
      </c>
    </row>
    <row r="189" spans="34:40">
      <c r="AH189" s="126">
        <v>188</v>
      </c>
      <c r="AI189" s="126" t="s">
        <v>1396</v>
      </c>
      <c r="AJ189" s="128">
        <f t="shared" si="17"/>
        <v>41487</v>
      </c>
      <c r="AK189" s="126">
        <f t="shared" si="18"/>
        <v>0</v>
      </c>
      <c r="AL189" s="126">
        <f t="array" ref="AL189">INDEX($Q$3:$Q$24,MATCH(AN189&amp;YEAR(AJ189),$A$3:$A$24&amp;YEAR($C$3:$C$24),0))</f>
        <v>0</v>
      </c>
      <c r="AM189" s="126" t="s">
        <v>1398</v>
      </c>
      <c r="AN189" s="126" t="str">
        <f t="shared" si="19"/>
        <v>Interest Income - 2010A Bonds (361-31)</v>
      </c>
    </row>
    <row r="190" spans="34:40">
      <c r="AH190" s="126">
        <v>189</v>
      </c>
      <c r="AI190" s="126" t="s">
        <v>1396</v>
      </c>
      <c r="AJ190" s="128">
        <f t="shared" si="17"/>
        <v>41518</v>
      </c>
      <c r="AK190" s="126">
        <f t="shared" si="18"/>
        <v>0</v>
      </c>
      <c r="AL190" s="126">
        <f t="array" ref="AL190">INDEX($Q$3:$Q$24,MATCH(AN190&amp;YEAR(AJ190),$A$3:$A$24&amp;YEAR($C$3:$C$24),0))</f>
        <v>0</v>
      </c>
      <c r="AM190" s="126" t="s">
        <v>1398</v>
      </c>
      <c r="AN190" s="126" t="str">
        <f t="shared" si="19"/>
        <v>Interest Income - 2010A Bonds (361-31)</v>
      </c>
    </row>
    <row r="191" spans="34:40">
      <c r="AH191" s="126">
        <v>190</v>
      </c>
      <c r="AI191" s="126" t="s">
        <v>1396</v>
      </c>
      <c r="AJ191" s="128">
        <f t="shared" si="17"/>
        <v>41548</v>
      </c>
      <c r="AK191" s="126">
        <f t="shared" si="18"/>
        <v>0</v>
      </c>
      <c r="AL191" s="126">
        <f t="array" ref="AL191">INDEX($Q$3:$Q$24,MATCH(AN191&amp;YEAR(AJ191),$A$3:$A$24&amp;YEAR($C$3:$C$24),0))</f>
        <v>0</v>
      </c>
      <c r="AM191" s="126" t="s">
        <v>1398</v>
      </c>
      <c r="AN191" s="126" t="str">
        <f t="shared" si="19"/>
        <v>Interest Income - 2010A Bonds (361-31)</v>
      </c>
    </row>
    <row r="192" spans="34:40">
      <c r="AH192" s="126">
        <v>191</v>
      </c>
      <c r="AI192" s="126" t="s">
        <v>1396</v>
      </c>
      <c r="AJ192" s="128">
        <f t="shared" si="17"/>
        <v>41579</v>
      </c>
      <c r="AK192" s="126">
        <f t="shared" si="18"/>
        <v>0</v>
      </c>
      <c r="AL192" s="126">
        <f t="array" ref="AL192">INDEX($Q$3:$Q$24,MATCH(AN192&amp;YEAR(AJ192),$A$3:$A$24&amp;YEAR($C$3:$C$24),0))</f>
        <v>0</v>
      </c>
      <c r="AM192" s="126" t="s">
        <v>1398</v>
      </c>
      <c r="AN192" s="126" t="str">
        <f t="shared" si="19"/>
        <v>Interest Income - 2010A Bonds (361-31)</v>
      </c>
    </row>
    <row r="193" spans="34:40">
      <c r="AH193" s="126">
        <v>192</v>
      </c>
      <c r="AI193" s="126" t="s">
        <v>1396</v>
      </c>
      <c r="AJ193" s="128">
        <f t="shared" si="17"/>
        <v>41609</v>
      </c>
      <c r="AK193" s="126">
        <f t="shared" si="18"/>
        <v>0</v>
      </c>
      <c r="AL193" s="126">
        <f t="array" ref="AL193">INDEX($Q$3:$Q$24,MATCH(AN193&amp;YEAR(AJ193),$A$3:$A$24&amp;YEAR($C$3:$C$24),0))</f>
        <v>0</v>
      </c>
      <c r="AM193" s="126" t="s">
        <v>1398</v>
      </c>
      <c r="AN193" s="126" t="str">
        <f t="shared" si="19"/>
        <v>Interest Income - 2010A Bonds (361-31)</v>
      </c>
    </row>
    <row r="194" spans="34:40">
      <c r="AH194" s="126">
        <v>193</v>
      </c>
      <c r="AI194" s="126" t="s">
        <v>1396</v>
      </c>
      <c r="AJ194" s="128">
        <f t="shared" ref="AJ194:AJ257" si="20">DATE(YEAR(INDEX($C$2:$O$24,INT((AH194+11)/12)+1,1)),IF(MOD(AH194,12)&lt;&gt;0,MOD(AH194,12),12),1)</f>
        <v>40909</v>
      </c>
      <c r="AK194" s="126">
        <f t="shared" ref="AK194:AK257" si="21">INDEX($D$3:$O$24,INT((AH194+11)/12),AH194-(12*(INT((AH194+11)/12)-1)))</f>
        <v>0</v>
      </c>
      <c r="AL194" s="126">
        <f t="array" ref="AL194">INDEX($Q$3:$Q$24,MATCH(AN194&amp;YEAR(AJ194),$A$3:$A$24&amp;YEAR($C$3:$C$24),0))</f>
        <v>0</v>
      </c>
      <c r="AM194" s="126" t="s">
        <v>1398</v>
      </c>
      <c r="AN194" s="126" t="str">
        <f t="shared" ref="AN194:AN257" si="22">INDEX($A$3:$A$24,INT((AH194+11)/12))</f>
        <v>Unrealized Gain/Loss (361-70)</v>
      </c>
    </row>
    <row r="195" spans="34:40">
      <c r="AH195" s="126">
        <v>194</v>
      </c>
      <c r="AI195" s="126" t="s">
        <v>1396</v>
      </c>
      <c r="AJ195" s="128">
        <f t="shared" si="20"/>
        <v>40940</v>
      </c>
      <c r="AK195" s="126">
        <f t="shared" si="21"/>
        <v>0</v>
      </c>
      <c r="AL195" s="126">
        <f t="array" ref="AL195">INDEX($Q$3:$Q$24,MATCH(AN195&amp;YEAR(AJ195),$A$3:$A$24&amp;YEAR($C$3:$C$24),0))</f>
        <v>0</v>
      </c>
      <c r="AM195" s="126" t="s">
        <v>1398</v>
      </c>
      <c r="AN195" s="126" t="str">
        <f t="shared" si="22"/>
        <v>Unrealized Gain/Loss (361-70)</v>
      </c>
    </row>
    <row r="196" spans="34:40">
      <c r="AH196" s="126">
        <v>195</v>
      </c>
      <c r="AI196" s="126" t="s">
        <v>1396</v>
      </c>
      <c r="AJ196" s="128">
        <f t="shared" si="20"/>
        <v>40969</v>
      </c>
      <c r="AK196" s="126">
        <f t="shared" si="21"/>
        <v>0</v>
      </c>
      <c r="AL196" s="126">
        <f t="array" ref="AL196">INDEX($Q$3:$Q$24,MATCH(AN196&amp;YEAR(AJ196),$A$3:$A$24&amp;YEAR($C$3:$C$24),0))</f>
        <v>0</v>
      </c>
      <c r="AM196" s="126" t="s">
        <v>1398</v>
      </c>
      <c r="AN196" s="126" t="str">
        <f t="shared" si="22"/>
        <v>Unrealized Gain/Loss (361-70)</v>
      </c>
    </row>
    <row r="197" spans="34:40">
      <c r="AH197" s="126">
        <v>196</v>
      </c>
      <c r="AI197" s="126" t="s">
        <v>1396</v>
      </c>
      <c r="AJ197" s="128">
        <f t="shared" si="20"/>
        <v>41000</v>
      </c>
      <c r="AK197" s="126">
        <f t="shared" si="21"/>
        <v>0</v>
      </c>
      <c r="AL197" s="126">
        <f t="array" ref="AL197">INDEX($Q$3:$Q$24,MATCH(AN197&amp;YEAR(AJ197),$A$3:$A$24&amp;YEAR($C$3:$C$24),0))</f>
        <v>0</v>
      </c>
      <c r="AM197" s="126" t="s">
        <v>1398</v>
      </c>
      <c r="AN197" s="126" t="str">
        <f t="shared" si="22"/>
        <v>Unrealized Gain/Loss (361-70)</v>
      </c>
    </row>
    <row r="198" spans="34:40">
      <c r="AH198" s="126">
        <v>197</v>
      </c>
      <c r="AI198" s="126" t="s">
        <v>1396</v>
      </c>
      <c r="AJ198" s="128">
        <f t="shared" si="20"/>
        <v>41030</v>
      </c>
      <c r="AK198" s="126">
        <f t="shared" si="21"/>
        <v>0</v>
      </c>
      <c r="AL198" s="126">
        <f t="array" ref="AL198">INDEX($Q$3:$Q$24,MATCH(AN198&amp;YEAR(AJ198),$A$3:$A$24&amp;YEAR($C$3:$C$24),0))</f>
        <v>0</v>
      </c>
      <c r="AM198" s="126" t="s">
        <v>1398</v>
      </c>
      <c r="AN198" s="126" t="str">
        <f t="shared" si="22"/>
        <v>Unrealized Gain/Loss (361-70)</v>
      </c>
    </row>
    <row r="199" spans="34:40">
      <c r="AH199" s="126">
        <v>198</v>
      </c>
      <c r="AI199" s="126" t="s">
        <v>1396</v>
      </c>
      <c r="AJ199" s="128">
        <f t="shared" si="20"/>
        <v>41061</v>
      </c>
      <c r="AK199" s="126">
        <f t="shared" si="21"/>
        <v>0</v>
      </c>
      <c r="AL199" s="126">
        <f t="array" ref="AL199">INDEX($Q$3:$Q$24,MATCH(AN199&amp;YEAR(AJ199),$A$3:$A$24&amp;YEAR($C$3:$C$24),0))</f>
        <v>0</v>
      </c>
      <c r="AM199" s="126" t="s">
        <v>1398</v>
      </c>
      <c r="AN199" s="126" t="str">
        <f t="shared" si="22"/>
        <v>Unrealized Gain/Loss (361-70)</v>
      </c>
    </row>
    <row r="200" spans="34:40">
      <c r="AH200" s="126">
        <v>199</v>
      </c>
      <c r="AI200" s="126" t="s">
        <v>1396</v>
      </c>
      <c r="AJ200" s="128">
        <f t="shared" si="20"/>
        <v>41091</v>
      </c>
      <c r="AK200" s="126">
        <f t="shared" si="21"/>
        <v>0</v>
      </c>
      <c r="AL200" s="126">
        <f t="array" ref="AL200">INDEX($Q$3:$Q$24,MATCH(AN200&amp;YEAR(AJ200),$A$3:$A$24&amp;YEAR($C$3:$C$24),0))</f>
        <v>0</v>
      </c>
      <c r="AM200" s="126" t="s">
        <v>1398</v>
      </c>
      <c r="AN200" s="126" t="str">
        <f t="shared" si="22"/>
        <v>Unrealized Gain/Loss (361-70)</v>
      </c>
    </row>
    <row r="201" spans="34:40">
      <c r="AH201" s="126">
        <v>200</v>
      </c>
      <c r="AI201" s="126" t="s">
        <v>1396</v>
      </c>
      <c r="AJ201" s="128">
        <f t="shared" si="20"/>
        <v>41122</v>
      </c>
      <c r="AK201" s="126">
        <f t="shared" si="21"/>
        <v>0</v>
      </c>
      <c r="AL201" s="126">
        <f t="array" ref="AL201">INDEX($Q$3:$Q$24,MATCH(AN201&amp;YEAR(AJ201),$A$3:$A$24&amp;YEAR($C$3:$C$24),0))</f>
        <v>0</v>
      </c>
      <c r="AM201" s="126" t="s">
        <v>1398</v>
      </c>
      <c r="AN201" s="126" t="str">
        <f t="shared" si="22"/>
        <v>Unrealized Gain/Loss (361-70)</v>
      </c>
    </row>
    <row r="202" spans="34:40">
      <c r="AH202" s="126">
        <v>201</v>
      </c>
      <c r="AI202" s="126" t="s">
        <v>1396</v>
      </c>
      <c r="AJ202" s="128">
        <f t="shared" si="20"/>
        <v>41153</v>
      </c>
      <c r="AK202" s="126">
        <f t="shared" si="21"/>
        <v>0</v>
      </c>
      <c r="AL202" s="126">
        <f t="array" ref="AL202">INDEX($Q$3:$Q$24,MATCH(AN202&amp;YEAR(AJ202),$A$3:$A$24&amp;YEAR($C$3:$C$24),0))</f>
        <v>0</v>
      </c>
      <c r="AM202" s="126" t="s">
        <v>1398</v>
      </c>
      <c r="AN202" s="126" t="str">
        <f t="shared" si="22"/>
        <v>Unrealized Gain/Loss (361-70)</v>
      </c>
    </row>
    <row r="203" spans="34:40">
      <c r="AH203" s="126">
        <v>202</v>
      </c>
      <c r="AI203" s="126" t="s">
        <v>1396</v>
      </c>
      <c r="AJ203" s="128">
        <f t="shared" si="20"/>
        <v>41183</v>
      </c>
      <c r="AK203" s="126">
        <f t="shared" si="21"/>
        <v>0</v>
      </c>
      <c r="AL203" s="126">
        <f t="array" ref="AL203">INDEX($Q$3:$Q$24,MATCH(AN203&amp;YEAR(AJ203),$A$3:$A$24&amp;YEAR($C$3:$C$24),0))</f>
        <v>0</v>
      </c>
      <c r="AM203" s="126" t="s">
        <v>1398</v>
      </c>
      <c r="AN203" s="126" t="str">
        <f t="shared" si="22"/>
        <v>Unrealized Gain/Loss (361-70)</v>
      </c>
    </row>
    <row r="204" spans="34:40">
      <c r="AH204" s="126">
        <v>203</v>
      </c>
      <c r="AI204" s="126" t="s">
        <v>1396</v>
      </c>
      <c r="AJ204" s="128">
        <f t="shared" si="20"/>
        <v>41214</v>
      </c>
      <c r="AK204" s="126">
        <f t="shared" si="21"/>
        <v>0</v>
      </c>
      <c r="AL204" s="126">
        <f t="array" ref="AL204">INDEX($Q$3:$Q$24,MATCH(AN204&amp;YEAR(AJ204),$A$3:$A$24&amp;YEAR($C$3:$C$24),0))</f>
        <v>0</v>
      </c>
      <c r="AM204" s="126" t="s">
        <v>1398</v>
      </c>
      <c r="AN204" s="126" t="str">
        <f t="shared" si="22"/>
        <v>Unrealized Gain/Loss (361-70)</v>
      </c>
    </row>
    <row r="205" spans="34:40">
      <c r="AH205" s="126">
        <v>204</v>
      </c>
      <c r="AI205" s="126" t="s">
        <v>1396</v>
      </c>
      <c r="AJ205" s="128">
        <f t="shared" si="20"/>
        <v>41244</v>
      </c>
      <c r="AK205" s="126">
        <f t="shared" si="21"/>
        <v>-23690.68</v>
      </c>
      <c r="AL205" s="126">
        <f t="array" ref="AL205">INDEX($Q$3:$Q$24,MATCH(AN205&amp;YEAR(AJ205),$A$3:$A$24&amp;YEAR($C$3:$C$24),0))</f>
        <v>0</v>
      </c>
      <c r="AM205" s="126" t="s">
        <v>1398</v>
      </c>
      <c r="AN205" s="126" t="str">
        <f t="shared" si="22"/>
        <v>Unrealized Gain/Loss (361-70)</v>
      </c>
    </row>
    <row r="206" spans="34:40">
      <c r="AH206" s="126">
        <v>205</v>
      </c>
      <c r="AI206" s="126" t="s">
        <v>1396</v>
      </c>
      <c r="AJ206" s="128">
        <f t="shared" si="20"/>
        <v>41275</v>
      </c>
      <c r="AK206" s="126">
        <f t="shared" si="21"/>
        <v>0</v>
      </c>
      <c r="AL206" s="126">
        <f t="array" ref="AL206">INDEX($Q$3:$Q$24,MATCH(AN206&amp;YEAR(AJ206),$A$3:$A$24&amp;YEAR($C$3:$C$24),0))</f>
        <v>0</v>
      </c>
      <c r="AM206" s="126" t="s">
        <v>1398</v>
      </c>
      <c r="AN206" s="126" t="str">
        <f t="shared" si="22"/>
        <v>Unrealized Gain/Loss (361-70)</v>
      </c>
    </row>
    <row r="207" spans="34:40">
      <c r="AH207" s="126">
        <v>206</v>
      </c>
      <c r="AI207" s="126" t="s">
        <v>1396</v>
      </c>
      <c r="AJ207" s="128">
        <f t="shared" si="20"/>
        <v>41306</v>
      </c>
      <c r="AK207" s="126">
        <f t="shared" si="21"/>
        <v>0</v>
      </c>
      <c r="AL207" s="126">
        <f t="array" ref="AL207">INDEX($Q$3:$Q$24,MATCH(AN207&amp;YEAR(AJ207),$A$3:$A$24&amp;YEAR($C$3:$C$24),0))</f>
        <v>0</v>
      </c>
      <c r="AM207" s="126" t="s">
        <v>1398</v>
      </c>
      <c r="AN207" s="126" t="str">
        <f t="shared" si="22"/>
        <v>Unrealized Gain/Loss (361-70)</v>
      </c>
    </row>
    <row r="208" spans="34:40">
      <c r="AH208" s="126">
        <v>207</v>
      </c>
      <c r="AI208" s="126" t="s">
        <v>1396</v>
      </c>
      <c r="AJ208" s="128">
        <f t="shared" si="20"/>
        <v>41334</v>
      </c>
      <c r="AK208" s="126">
        <f t="shared" si="21"/>
        <v>0</v>
      </c>
      <c r="AL208" s="126">
        <f t="array" ref="AL208">INDEX($Q$3:$Q$24,MATCH(AN208&amp;YEAR(AJ208),$A$3:$A$24&amp;YEAR($C$3:$C$24),0))</f>
        <v>0</v>
      </c>
      <c r="AM208" s="126" t="s">
        <v>1398</v>
      </c>
      <c r="AN208" s="126" t="str">
        <f t="shared" si="22"/>
        <v>Unrealized Gain/Loss (361-70)</v>
      </c>
    </row>
    <row r="209" spans="34:40">
      <c r="AH209" s="126">
        <v>208</v>
      </c>
      <c r="AI209" s="126" t="s">
        <v>1396</v>
      </c>
      <c r="AJ209" s="128">
        <f t="shared" si="20"/>
        <v>41365</v>
      </c>
      <c r="AK209" s="126">
        <f t="shared" si="21"/>
        <v>0</v>
      </c>
      <c r="AL209" s="126">
        <f t="array" ref="AL209">INDEX($Q$3:$Q$24,MATCH(AN209&amp;YEAR(AJ209),$A$3:$A$24&amp;YEAR($C$3:$C$24),0))</f>
        <v>0</v>
      </c>
      <c r="AM209" s="126" t="s">
        <v>1398</v>
      </c>
      <c r="AN209" s="126" t="str">
        <f t="shared" si="22"/>
        <v>Unrealized Gain/Loss (361-70)</v>
      </c>
    </row>
    <row r="210" spans="34:40">
      <c r="AH210" s="126">
        <v>209</v>
      </c>
      <c r="AI210" s="126" t="s">
        <v>1396</v>
      </c>
      <c r="AJ210" s="128">
        <f t="shared" si="20"/>
        <v>41395</v>
      </c>
      <c r="AK210" s="126">
        <f t="shared" si="21"/>
        <v>0</v>
      </c>
      <c r="AL210" s="126">
        <f t="array" ref="AL210">INDEX($Q$3:$Q$24,MATCH(AN210&amp;YEAR(AJ210),$A$3:$A$24&amp;YEAR($C$3:$C$24),0))</f>
        <v>0</v>
      </c>
      <c r="AM210" s="126" t="s">
        <v>1398</v>
      </c>
      <c r="AN210" s="126" t="str">
        <f t="shared" si="22"/>
        <v>Unrealized Gain/Loss (361-70)</v>
      </c>
    </row>
    <row r="211" spans="34:40">
      <c r="AH211" s="126">
        <v>210</v>
      </c>
      <c r="AI211" s="126" t="s">
        <v>1396</v>
      </c>
      <c r="AJ211" s="128">
        <f t="shared" si="20"/>
        <v>41426</v>
      </c>
      <c r="AK211" s="126">
        <f t="shared" si="21"/>
        <v>0</v>
      </c>
      <c r="AL211" s="126">
        <f t="array" ref="AL211">INDEX($Q$3:$Q$24,MATCH(AN211&amp;YEAR(AJ211),$A$3:$A$24&amp;YEAR($C$3:$C$24),0))</f>
        <v>0</v>
      </c>
      <c r="AM211" s="126" t="s">
        <v>1398</v>
      </c>
      <c r="AN211" s="126" t="str">
        <f t="shared" si="22"/>
        <v>Unrealized Gain/Loss (361-70)</v>
      </c>
    </row>
    <row r="212" spans="34:40">
      <c r="AH212" s="126">
        <v>211</v>
      </c>
      <c r="AI212" s="126" t="s">
        <v>1396</v>
      </c>
      <c r="AJ212" s="128">
        <f t="shared" si="20"/>
        <v>41456</v>
      </c>
      <c r="AK212" s="126">
        <f t="shared" si="21"/>
        <v>0</v>
      </c>
      <c r="AL212" s="126">
        <f t="array" ref="AL212">INDEX($Q$3:$Q$24,MATCH(AN212&amp;YEAR(AJ212),$A$3:$A$24&amp;YEAR($C$3:$C$24),0))</f>
        <v>0</v>
      </c>
      <c r="AM212" s="126" t="s">
        <v>1398</v>
      </c>
      <c r="AN212" s="126" t="str">
        <f t="shared" si="22"/>
        <v>Unrealized Gain/Loss (361-70)</v>
      </c>
    </row>
    <row r="213" spans="34:40">
      <c r="AH213" s="126">
        <v>212</v>
      </c>
      <c r="AI213" s="126" t="s">
        <v>1396</v>
      </c>
      <c r="AJ213" s="128">
        <f t="shared" si="20"/>
        <v>41487</v>
      </c>
      <c r="AK213" s="126">
        <f t="shared" si="21"/>
        <v>0</v>
      </c>
      <c r="AL213" s="126">
        <f t="array" ref="AL213">INDEX($Q$3:$Q$24,MATCH(AN213&amp;YEAR(AJ213),$A$3:$A$24&amp;YEAR($C$3:$C$24),0))</f>
        <v>0</v>
      </c>
      <c r="AM213" s="126" t="s">
        <v>1398</v>
      </c>
      <c r="AN213" s="126" t="str">
        <f t="shared" si="22"/>
        <v>Unrealized Gain/Loss (361-70)</v>
      </c>
    </row>
    <row r="214" spans="34:40">
      <c r="AH214" s="126">
        <v>213</v>
      </c>
      <c r="AI214" s="126" t="s">
        <v>1396</v>
      </c>
      <c r="AJ214" s="128">
        <f t="shared" si="20"/>
        <v>41518</v>
      </c>
      <c r="AK214" s="126">
        <f t="shared" si="21"/>
        <v>0</v>
      </c>
      <c r="AL214" s="126">
        <f t="array" ref="AL214">INDEX($Q$3:$Q$24,MATCH(AN214&amp;YEAR(AJ214),$A$3:$A$24&amp;YEAR($C$3:$C$24),0))</f>
        <v>0</v>
      </c>
      <c r="AM214" s="126" t="s">
        <v>1398</v>
      </c>
      <c r="AN214" s="126" t="str">
        <f t="shared" si="22"/>
        <v>Unrealized Gain/Loss (361-70)</v>
      </c>
    </row>
    <row r="215" spans="34:40">
      <c r="AH215" s="126">
        <v>214</v>
      </c>
      <c r="AI215" s="126" t="s">
        <v>1396</v>
      </c>
      <c r="AJ215" s="128">
        <f t="shared" si="20"/>
        <v>41548</v>
      </c>
      <c r="AK215" s="126">
        <f t="shared" si="21"/>
        <v>0</v>
      </c>
      <c r="AL215" s="126">
        <f t="array" ref="AL215">INDEX($Q$3:$Q$24,MATCH(AN215&amp;YEAR(AJ215),$A$3:$A$24&amp;YEAR($C$3:$C$24),0))</f>
        <v>0</v>
      </c>
      <c r="AM215" s="126" t="s">
        <v>1398</v>
      </c>
      <c r="AN215" s="126" t="str">
        <f t="shared" si="22"/>
        <v>Unrealized Gain/Loss (361-70)</v>
      </c>
    </row>
    <row r="216" spans="34:40">
      <c r="AH216" s="126">
        <v>215</v>
      </c>
      <c r="AI216" s="126" t="s">
        <v>1396</v>
      </c>
      <c r="AJ216" s="128">
        <f t="shared" si="20"/>
        <v>41579</v>
      </c>
      <c r="AK216" s="126">
        <f t="shared" si="21"/>
        <v>0</v>
      </c>
      <c r="AL216" s="126">
        <f t="array" ref="AL216">INDEX($Q$3:$Q$24,MATCH(AN216&amp;YEAR(AJ216),$A$3:$A$24&amp;YEAR($C$3:$C$24),0))</f>
        <v>0</v>
      </c>
      <c r="AM216" s="126" t="s">
        <v>1398</v>
      </c>
      <c r="AN216" s="126" t="str">
        <f t="shared" si="22"/>
        <v>Unrealized Gain/Loss (361-70)</v>
      </c>
    </row>
    <row r="217" spans="34:40">
      <c r="AH217" s="126">
        <v>216</v>
      </c>
      <c r="AI217" s="126" t="s">
        <v>1396</v>
      </c>
      <c r="AJ217" s="128">
        <f t="shared" si="20"/>
        <v>41609</v>
      </c>
      <c r="AK217" s="126">
        <f t="shared" si="21"/>
        <v>0</v>
      </c>
      <c r="AL217" s="126">
        <f t="array" ref="AL217">INDEX($Q$3:$Q$24,MATCH(AN217&amp;YEAR(AJ217),$A$3:$A$24&amp;YEAR($C$3:$C$24),0))</f>
        <v>0</v>
      </c>
      <c r="AM217" s="126" t="s">
        <v>1398</v>
      </c>
      <c r="AN217" s="126" t="str">
        <f t="shared" si="22"/>
        <v>Unrealized Gain/Loss (361-70)</v>
      </c>
    </row>
    <row r="218" spans="34:40">
      <c r="AH218" s="126">
        <v>217</v>
      </c>
      <c r="AI218" s="126" t="s">
        <v>1396</v>
      </c>
      <c r="AJ218" s="128">
        <f t="shared" si="20"/>
        <v>40909</v>
      </c>
      <c r="AK218" s="126">
        <f t="shared" si="21"/>
        <v>0</v>
      </c>
      <c r="AL218" s="126">
        <f t="array" ref="AL218">INDEX($Q$3:$Q$24,MATCH(AN218&amp;YEAR(AJ218),$A$3:$A$24&amp;YEAR($C$3:$C$24),0))</f>
        <v>30000</v>
      </c>
      <c r="AM218" s="126" t="s">
        <v>1398</v>
      </c>
      <c r="AN218" s="126" t="str">
        <f t="shared" si="22"/>
        <v>Rents/Royalties (362*)</v>
      </c>
    </row>
    <row r="219" spans="34:40">
      <c r="AH219" s="126">
        <v>218</v>
      </c>
      <c r="AI219" s="126" t="s">
        <v>1396</v>
      </c>
      <c r="AJ219" s="128">
        <f t="shared" si="20"/>
        <v>40940</v>
      </c>
      <c r="AK219" s="126">
        <f t="shared" si="21"/>
        <v>0</v>
      </c>
      <c r="AL219" s="126">
        <f t="array" ref="AL219">INDEX($Q$3:$Q$24,MATCH(AN219&amp;YEAR(AJ219),$A$3:$A$24&amp;YEAR($C$3:$C$24),0))</f>
        <v>30000</v>
      </c>
      <c r="AM219" s="126" t="s">
        <v>1398</v>
      </c>
      <c r="AN219" s="126" t="str">
        <f t="shared" si="22"/>
        <v>Rents/Royalties (362*)</v>
      </c>
    </row>
    <row r="220" spans="34:40">
      <c r="AH220" s="126">
        <v>219</v>
      </c>
      <c r="AI220" s="126" t="s">
        <v>1396</v>
      </c>
      <c r="AJ220" s="128">
        <f t="shared" si="20"/>
        <v>40969</v>
      </c>
      <c r="AK220" s="126">
        <f t="shared" si="21"/>
        <v>12500</v>
      </c>
      <c r="AL220" s="126">
        <f t="array" ref="AL220">INDEX($Q$3:$Q$24,MATCH(AN220&amp;YEAR(AJ220),$A$3:$A$24&amp;YEAR($C$3:$C$24),0))</f>
        <v>30000</v>
      </c>
      <c r="AM220" s="126" t="s">
        <v>1398</v>
      </c>
      <c r="AN220" s="126" t="str">
        <f t="shared" si="22"/>
        <v>Rents/Royalties (362*)</v>
      </c>
    </row>
    <row r="221" spans="34:40">
      <c r="AH221" s="126">
        <v>220</v>
      </c>
      <c r="AI221" s="126" t="s">
        <v>1396</v>
      </c>
      <c r="AJ221" s="128">
        <f t="shared" si="20"/>
        <v>41000</v>
      </c>
      <c r="AK221" s="126">
        <f t="shared" si="21"/>
        <v>0</v>
      </c>
      <c r="AL221" s="126">
        <f t="array" ref="AL221">INDEX($Q$3:$Q$24,MATCH(AN221&amp;YEAR(AJ221),$A$3:$A$24&amp;YEAR($C$3:$C$24),0))</f>
        <v>30000</v>
      </c>
      <c r="AM221" s="126" t="s">
        <v>1398</v>
      </c>
      <c r="AN221" s="126" t="str">
        <f t="shared" si="22"/>
        <v>Rents/Royalties (362*)</v>
      </c>
    </row>
    <row r="222" spans="34:40">
      <c r="AH222" s="126">
        <v>221</v>
      </c>
      <c r="AI222" s="126" t="s">
        <v>1396</v>
      </c>
      <c r="AJ222" s="128">
        <f t="shared" si="20"/>
        <v>41030</v>
      </c>
      <c r="AK222" s="126">
        <f t="shared" si="21"/>
        <v>865.11</v>
      </c>
      <c r="AL222" s="126">
        <f t="array" ref="AL222">INDEX($Q$3:$Q$24,MATCH(AN222&amp;YEAR(AJ222),$A$3:$A$24&amp;YEAR($C$3:$C$24),0))</f>
        <v>30000</v>
      </c>
      <c r="AM222" s="126" t="s">
        <v>1398</v>
      </c>
      <c r="AN222" s="126" t="str">
        <f t="shared" si="22"/>
        <v>Rents/Royalties (362*)</v>
      </c>
    </row>
    <row r="223" spans="34:40">
      <c r="AH223" s="126">
        <v>222</v>
      </c>
      <c r="AI223" s="126" t="s">
        <v>1396</v>
      </c>
      <c r="AJ223" s="128">
        <f t="shared" si="20"/>
        <v>41061</v>
      </c>
      <c r="AK223" s="126">
        <f t="shared" si="21"/>
        <v>338</v>
      </c>
      <c r="AL223" s="126">
        <f t="array" ref="AL223">INDEX($Q$3:$Q$24,MATCH(AN223&amp;YEAR(AJ223),$A$3:$A$24&amp;YEAR($C$3:$C$24),0))</f>
        <v>30000</v>
      </c>
      <c r="AM223" s="126" t="s">
        <v>1398</v>
      </c>
      <c r="AN223" s="126" t="str">
        <f t="shared" si="22"/>
        <v>Rents/Royalties (362*)</v>
      </c>
    </row>
    <row r="224" spans="34:40">
      <c r="AH224" s="126">
        <v>223</v>
      </c>
      <c r="AI224" s="126" t="s">
        <v>1396</v>
      </c>
      <c r="AJ224" s="128">
        <f t="shared" si="20"/>
        <v>41091</v>
      </c>
      <c r="AK224" s="126">
        <f t="shared" si="21"/>
        <v>114</v>
      </c>
      <c r="AL224" s="126">
        <f t="array" ref="AL224">INDEX($Q$3:$Q$24,MATCH(AN224&amp;YEAR(AJ224),$A$3:$A$24&amp;YEAR($C$3:$C$24),0))</f>
        <v>30000</v>
      </c>
      <c r="AM224" s="126" t="s">
        <v>1398</v>
      </c>
      <c r="AN224" s="126" t="str">
        <f t="shared" si="22"/>
        <v>Rents/Royalties (362*)</v>
      </c>
    </row>
    <row r="225" spans="34:40">
      <c r="AH225" s="126">
        <v>224</v>
      </c>
      <c r="AI225" s="126" t="s">
        <v>1396</v>
      </c>
      <c r="AJ225" s="128">
        <f t="shared" si="20"/>
        <v>41122</v>
      </c>
      <c r="AK225" s="126">
        <f t="shared" si="21"/>
        <v>6413.5</v>
      </c>
      <c r="AL225" s="126">
        <f t="array" ref="AL225">INDEX($Q$3:$Q$24,MATCH(AN225&amp;YEAR(AJ225),$A$3:$A$24&amp;YEAR($C$3:$C$24),0))</f>
        <v>30000</v>
      </c>
      <c r="AM225" s="126" t="s">
        <v>1398</v>
      </c>
      <c r="AN225" s="126" t="str">
        <f t="shared" si="22"/>
        <v>Rents/Royalties (362*)</v>
      </c>
    </row>
    <row r="226" spans="34:40">
      <c r="AH226" s="126">
        <v>225</v>
      </c>
      <c r="AI226" s="126" t="s">
        <v>1396</v>
      </c>
      <c r="AJ226" s="128">
        <f t="shared" si="20"/>
        <v>41153</v>
      </c>
      <c r="AK226" s="126">
        <f t="shared" si="21"/>
        <v>-347.93</v>
      </c>
      <c r="AL226" s="126">
        <f t="array" ref="AL226">INDEX($Q$3:$Q$24,MATCH(AN226&amp;YEAR(AJ226),$A$3:$A$24&amp;YEAR($C$3:$C$24),0))</f>
        <v>30000</v>
      </c>
      <c r="AM226" s="126" t="s">
        <v>1398</v>
      </c>
      <c r="AN226" s="126" t="str">
        <f t="shared" si="22"/>
        <v>Rents/Royalties (362*)</v>
      </c>
    </row>
    <row r="227" spans="34:40">
      <c r="AH227" s="126">
        <v>226</v>
      </c>
      <c r="AI227" s="126" t="s">
        <v>1396</v>
      </c>
      <c r="AJ227" s="128">
        <f t="shared" si="20"/>
        <v>41183</v>
      </c>
      <c r="AK227" s="126">
        <f t="shared" si="21"/>
        <v>16188.72</v>
      </c>
      <c r="AL227" s="126">
        <f t="array" ref="AL227">INDEX($Q$3:$Q$24,MATCH(AN227&amp;YEAR(AJ227),$A$3:$A$24&amp;YEAR($C$3:$C$24),0))</f>
        <v>30000</v>
      </c>
      <c r="AM227" s="126" t="s">
        <v>1398</v>
      </c>
      <c r="AN227" s="126" t="str">
        <f t="shared" si="22"/>
        <v>Rents/Royalties (362*)</v>
      </c>
    </row>
    <row r="228" spans="34:40">
      <c r="AH228" s="126">
        <v>227</v>
      </c>
      <c r="AI228" s="126" t="s">
        <v>1396</v>
      </c>
      <c r="AJ228" s="128">
        <f t="shared" si="20"/>
        <v>41214</v>
      </c>
      <c r="AK228" s="126">
        <f t="shared" si="21"/>
        <v>23816.28</v>
      </c>
      <c r="AL228" s="126">
        <f t="array" ref="AL228">INDEX($Q$3:$Q$24,MATCH(AN228&amp;YEAR(AJ228),$A$3:$A$24&amp;YEAR($C$3:$C$24),0))</f>
        <v>30000</v>
      </c>
      <c r="AM228" s="126" t="s">
        <v>1398</v>
      </c>
      <c r="AN228" s="126" t="str">
        <f t="shared" si="22"/>
        <v>Rents/Royalties (362*)</v>
      </c>
    </row>
    <row r="229" spans="34:40">
      <c r="AH229" s="126">
        <v>228</v>
      </c>
      <c r="AI229" s="126" t="s">
        <v>1396</v>
      </c>
      <c r="AJ229" s="128">
        <f t="shared" si="20"/>
        <v>41244</v>
      </c>
      <c r="AK229" s="126">
        <f t="shared" si="21"/>
        <v>14494.4</v>
      </c>
      <c r="AL229" s="126">
        <f t="array" ref="AL229">INDEX($Q$3:$Q$24,MATCH(AN229&amp;YEAR(AJ229),$A$3:$A$24&amp;YEAR($C$3:$C$24),0))</f>
        <v>30000</v>
      </c>
      <c r="AM229" s="126" t="s">
        <v>1398</v>
      </c>
      <c r="AN229" s="126" t="str">
        <f t="shared" si="22"/>
        <v>Rents/Royalties (362*)</v>
      </c>
    </row>
    <row r="230" spans="34:40">
      <c r="AH230" s="126">
        <v>229</v>
      </c>
      <c r="AI230" s="126" t="s">
        <v>1396</v>
      </c>
      <c r="AJ230" s="128">
        <f t="shared" si="20"/>
        <v>41275</v>
      </c>
      <c r="AK230" s="126">
        <f t="shared" si="21"/>
        <v>-137.19999999999999</v>
      </c>
      <c r="AL230" s="126">
        <f t="array" ref="AL230">INDEX($Q$3:$Q$24,MATCH(AN230&amp;YEAR(AJ230),$A$3:$A$24&amp;YEAR($C$3:$C$24),0))</f>
        <v>35000</v>
      </c>
      <c r="AM230" s="126" t="s">
        <v>1398</v>
      </c>
      <c r="AN230" s="126" t="str">
        <f t="shared" si="22"/>
        <v>Rents/Royalties (362*)</v>
      </c>
    </row>
    <row r="231" spans="34:40">
      <c r="AH231" s="126">
        <v>230</v>
      </c>
      <c r="AI231" s="126" t="s">
        <v>1396</v>
      </c>
      <c r="AJ231" s="128">
        <f t="shared" si="20"/>
        <v>41306</v>
      </c>
      <c r="AK231" s="126">
        <f t="shared" si="21"/>
        <v>-132.79</v>
      </c>
      <c r="AL231" s="126">
        <f t="array" ref="AL231">INDEX($Q$3:$Q$24,MATCH(AN231&amp;YEAR(AJ231),$A$3:$A$24&amp;YEAR($C$3:$C$24),0))</f>
        <v>35000</v>
      </c>
      <c r="AM231" s="126" t="s">
        <v>1398</v>
      </c>
      <c r="AN231" s="126" t="str">
        <f t="shared" si="22"/>
        <v>Rents/Royalties (362*)</v>
      </c>
    </row>
    <row r="232" spans="34:40">
      <c r="AH232" s="126">
        <v>231</v>
      </c>
      <c r="AI232" s="126" t="s">
        <v>1396</v>
      </c>
      <c r="AJ232" s="128">
        <f t="shared" si="20"/>
        <v>41334</v>
      </c>
      <c r="AK232" s="126">
        <f t="shared" si="21"/>
        <v>-130.33000000000001</v>
      </c>
      <c r="AL232" s="126">
        <f t="array" ref="AL232">INDEX($Q$3:$Q$24,MATCH(AN232&amp;YEAR(AJ232),$A$3:$A$24&amp;YEAR($C$3:$C$24),0))</f>
        <v>35000</v>
      </c>
      <c r="AM232" s="126" t="s">
        <v>1398</v>
      </c>
      <c r="AN232" s="126" t="str">
        <f t="shared" si="22"/>
        <v>Rents/Royalties (362*)</v>
      </c>
    </row>
    <row r="233" spans="34:40">
      <c r="AH233" s="126">
        <v>232</v>
      </c>
      <c r="AI233" s="126" t="s">
        <v>1396</v>
      </c>
      <c r="AJ233" s="128">
        <f t="shared" si="20"/>
        <v>41365</v>
      </c>
      <c r="AK233" s="126">
        <f t="shared" si="21"/>
        <v>55896.18</v>
      </c>
      <c r="AL233" s="126">
        <f t="array" ref="AL233">INDEX($Q$3:$Q$24,MATCH(AN233&amp;YEAR(AJ233),$A$3:$A$24&amp;YEAR($C$3:$C$24),0))</f>
        <v>35000</v>
      </c>
      <c r="AM233" s="126" t="s">
        <v>1398</v>
      </c>
      <c r="AN233" s="126" t="str">
        <f t="shared" si="22"/>
        <v>Rents/Royalties (362*)</v>
      </c>
    </row>
    <row r="234" spans="34:40">
      <c r="AH234" s="126">
        <v>233</v>
      </c>
      <c r="AI234" s="126" t="s">
        <v>1396</v>
      </c>
      <c r="AJ234" s="128">
        <f t="shared" si="20"/>
        <v>41395</v>
      </c>
      <c r="AK234" s="126">
        <f t="shared" si="21"/>
        <v>0</v>
      </c>
      <c r="AL234" s="126">
        <f t="array" ref="AL234">INDEX($Q$3:$Q$24,MATCH(AN234&amp;YEAR(AJ234),$A$3:$A$24&amp;YEAR($C$3:$C$24),0))</f>
        <v>35000</v>
      </c>
      <c r="AM234" s="126" t="s">
        <v>1398</v>
      </c>
      <c r="AN234" s="126" t="str">
        <f t="shared" si="22"/>
        <v>Rents/Royalties (362*)</v>
      </c>
    </row>
    <row r="235" spans="34:40">
      <c r="AH235" s="126">
        <v>234</v>
      </c>
      <c r="AI235" s="126" t="s">
        <v>1396</v>
      </c>
      <c r="AJ235" s="128">
        <f t="shared" si="20"/>
        <v>41426</v>
      </c>
      <c r="AK235" s="126">
        <f t="shared" si="21"/>
        <v>0</v>
      </c>
      <c r="AL235" s="126">
        <f t="array" ref="AL235">INDEX($Q$3:$Q$24,MATCH(AN235&amp;YEAR(AJ235),$A$3:$A$24&amp;YEAR($C$3:$C$24),0))</f>
        <v>35000</v>
      </c>
      <c r="AM235" s="126" t="s">
        <v>1398</v>
      </c>
      <c r="AN235" s="126" t="str">
        <f t="shared" si="22"/>
        <v>Rents/Royalties (362*)</v>
      </c>
    </row>
    <row r="236" spans="34:40">
      <c r="AH236" s="126">
        <v>235</v>
      </c>
      <c r="AI236" s="126" t="s">
        <v>1396</v>
      </c>
      <c r="AJ236" s="128">
        <f t="shared" si="20"/>
        <v>41456</v>
      </c>
      <c r="AK236" s="126">
        <f t="shared" si="21"/>
        <v>0</v>
      </c>
      <c r="AL236" s="126">
        <f t="array" ref="AL236">INDEX($Q$3:$Q$24,MATCH(AN236&amp;YEAR(AJ236),$A$3:$A$24&amp;YEAR($C$3:$C$24),0))</f>
        <v>35000</v>
      </c>
      <c r="AM236" s="126" t="s">
        <v>1398</v>
      </c>
      <c r="AN236" s="126" t="str">
        <f t="shared" si="22"/>
        <v>Rents/Royalties (362*)</v>
      </c>
    </row>
    <row r="237" spans="34:40">
      <c r="AH237" s="126">
        <v>236</v>
      </c>
      <c r="AI237" s="126" t="s">
        <v>1396</v>
      </c>
      <c r="AJ237" s="128">
        <f t="shared" si="20"/>
        <v>41487</v>
      </c>
      <c r="AK237" s="126">
        <f t="shared" si="21"/>
        <v>0</v>
      </c>
      <c r="AL237" s="126">
        <f t="array" ref="AL237">INDEX($Q$3:$Q$24,MATCH(AN237&amp;YEAR(AJ237),$A$3:$A$24&amp;YEAR($C$3:$C$24),0))</f>
        <v>35000</v>
      </c>
      <c r="AM237" s="126" t="s">
        <v>1398</v>
      </c>
      <c r="AN237" s="126" t="str">
        <f t="shared" si="22"/>
        <v>Rents/Royalties (362*)</v>
      </c>
    </row>
    <row r="238" spans="34:40">
      <c r="AH238" s="126">
        <v>237</v>
      </c>
      <c r="AI238" s="126" t="s">
        <v>1396</v>
      </c>
      <c r="AJ238" s="128">
        <f t="shared" si="20"/>
        <v>41518</v>
      </c>
      <c r="AK238" s="126">
        <f t="shared" si="21"/>
        <v>0</v>
      </c>
      <c r="AL238" s="126">
        <f t="array" ref="AL238">INDEX($Q$3:$Q$24,MATCH(AN238&amp;YEAR(AJ238),$A$3:$A$24&amp;YEAR($C$3:$C$24),0))</f>
        <v>35000</v>
      </c>
      <c r="AM238" s="126" t="s">
        <v>1398</v>
      </c>
      <c r="AN238" s="126" t="str">
        <f t="shared" si="22"/>
        <v>Rents/Royalties (362*)</v>
      </c>
    </row>
    <row r="239" spans="34:40">
      <c r="AH239" s="126">
        <v>238</v>
      </c>
      <c r="AI239" s="126" t="s">
        <v>1396</v>
      </c>
      <c r="AJ239" s="128">
        <f t="shared" si="20"/>
        <v>41548</v>
      </c>
      <c r="AK239" s="126">
        <f t="shared" si="21"/>
        <v>0</v>
      </c>
      <c r="AL239" s="126">
        <f t="array" ref="AL239">INDEX($Q$3:$Q$24,MATCH(AN239&amp;YEAR(AJ239),$A$3:$A$24&amp;YEAR($C$3:$C$24),0))</f>
        <v>35000</v>
      </c>
      <c r="AM239" s="126" t="s">
        <v>1398</v>
      </c>
      <c r="AN239" s="126" t="str">
        <f t="shared" si="22"/>
        <v>Rents/Royalties (362*)</v>
      </c>
    </row>
    <row r="240" spans="34:40">
      <c r="AH240" s="126">
        <v>239</v>
      </c>
      <c r="AI240" s="126" t="s">
        <v>1396</v>
      </c>
      <c r="AJ240" s="128">
        <f t="shared" si="20"/>
        <v>41579</v>
      </c>
      <c r="AK240" s="126">
        <f t="shared" si="21"/>
        <v>0</v>
      </c>
      <c r="AL240" s="126">
        <f t="array" ref="AL240">INDEX($Q$3:$Q$24,MATCH(AN240&amp;YEAR(AJ240),$A$3:$A$24&amp;YEAR($C$3:$C$24),0))</f>
        <v>35000</v>
      </c>
      <c r="AM240" s="126" t="s">
        <v>1398</v>
      </c>
      <c r="AN240" s="126" t="str">
        <f t="shared" si="22"/>
        <v>Rents/Royalties (362*)</v>
      </c>
    </row>
    <row r="241" spans="34:40">
      <c r="AH241" s="126">
        <v>240</v>
      </c>
      <c r="AI241" s="126" t="s">
        <v>1396</v>
      </c>
      <c r="AJ241" s="128">
        <f t="shared" si="20"/>
        <v>41609</v>
      </c>
      <c r="AK241" s="126">
        <f t="shared" si="21"/>
        <v>0</v>
      </c>
      <c r="AL241" s="126">
        <f t="array" ref="AL241">INDEX($Q$3:$Q$24,MATCH(AN241&amp;YEAR(AJ241),$A$3:$A$24&amp;YEAR($C$3:$C$24),0))</f>
        <v>35000</v>
      </c>
      <c r="AM241" s="126" t="s">
        <v>1398</v>
      </c>
      <c r="AN241" s="126" t="str">
        <f t="shared" si="22"/>
        <v>Rents/Royalties (362*)</v>
      </c>
    </row>
    <row r="242" spans="34:40">
      <c r="AH242" s="126">
        <v>241</v>
      </c>
      <c r="AI242" s="126" t="s">
        <v>1396</v>
      </c>
      <c r="AJ242" s="128">
        <f t="shared" si="20"/>
        <v>40909</v>
      </c>
      <c r="AK242" s="126">
        <f t="shared" si="21"/>
        <v>0</v>
      </c>
      <c r="AL242" s="126">
        <f t="array" ref="AL242">INDEX($Q$3:$Q$24,MATCH(AN242&amp;YEAR(AJ242),$A$3:$A$24&amp;YEAR($C$3:$C$24),0))</f>
        <v>21934381</v>
      </c>
      <c r="AM242" s="126" t="s">
        <v>1398</v>
      </c>
      <c r="AN242" s="126" t="str">
        <f t="shared" si="22"/>
        <v>Sale of Land (390-**)</v>
      </c>
    </row>
    <row r="243" spans="34:40">
      <c r="AH243" s="126">
        <v>242</v>
      </c>
      <c r="AI243" s="126" t="s">
        <v>1396</v>
      </c>
      <c r="AJ243" s="128">
        <f t="shared" si="20"/>
        <v>40940</v>
      </c>
      <c r="AK243" s="126">
        <f t="shared" si="21"/>
        <v>0</v>
      </c>
      <c r="AL243" s="126">
        <f t="array" ref="AL243">INDEX($Q$3:$Q$24,MATCH(AN243&amp;YEAR(AJ243),$A$3:$A$24&amp;YEAR($C$3:$C$24),0))</f>
        <v>21934381</v>
      </c>
      <c r="AM243" s="126" t="s">
        <v>1398</v>
      </c>
      <c r="AN243" s="126" t="str">
        <f t="shared" si="22"/>
        <v>Sale of Land (390-**)</v>
      </c>
    </row>
    <row r="244" spans="34:40">
      <c r="AH244" s="126">
        <v>243</v>
      </c>
      <c r="AI244" s="126" t="s">
        <v>1396</v>
      </c>
      <c r="AJ244" s="128">
        <f t="shared" si="20"/>
        <v>40969</v>
      </c>
      <c r="AK244" s="126">
        <f t="shared" si="21"/>
        <v>0</v>
      </c>
      <c r="AL244" s="126">
        <f t="array" ref="AL244">INDEX($Q$3:$Q$24,MATCH(AN244&amp;YEAR(AJ244),$A$3:$A$24&amp;YEAR($C$3:$C$24),0))</f>
        <v>21934381</v>
      </c>
      <c r="AM244" s="126" t="s">
        <v>1398</v>
      </c>
      <c r="AN244" s="126" t="str">
        <f t="shared" si="22"/>
        <v>Sale of Land (390-**)</v>
      </c>
    </row>
    <row r="245" spans="34:40">
      <c r="AH245" s="126">
        <v>244</v>
      </c>
      <c r="AI245" s="126" t="s">
        <v>1396</v>
      </c>
      <c r="AJ245" s="128">
        <f t="shared" si="20"/>
        <v>41000</v>
      </c>
      <c r="AK245" s="126">
        <f t="shared" si="21"/>
        <v>0</v>
      </c>
      <c r="AL245" s="126">
        <f t="array" ref="AL245">INDEX($Q$3:$Q$24,MATCH(AN245&amp;YEAR(AJ245),$A$3:$A$24&amp;YEAR($C$3:$C$24),0))</f>
        <v>21934381</v>
      </c>
      <c r="AM245" s="126" t="s">
        <v>1398</v>
      </c>
      <c r="AN245" s="126" t="str">
        <f t="shared" si="22"/>
        <v>Sale of Land (390-**)</v>
      </c>
    </row>
    <row r="246" spans="34:40">
      <c r="AH246" s="126">
        <v>245</v>
      </c>
      <c r="AI246" s="126" t="s">
        <v>1396</v>
      </c>
      <c r="AJ246" s="128">
        <f t="shared" si="20"/>
        <v>41030</v>
      </c>
      <c r="AK246" s="126">
        <f t="shared" si="21"/>
        <v>0</v>
      </c>
      <c r="AL246" s="126">
        <f t="array" ref="AL246">INDEX($Q$3:$Q$24,MATCH(AN246&amp;YEAR(AJ246),$A$3:$A$24&amp;YEAR($C$3:$C$24),0))</f>
        <v>21934381</v>
      </c>
      <c r="AM246" s="126" t="s">
        <v>1398</v>
      </c>
      <c r="AN246" s="126" t="str">
        <f t="shared" si="22"/>
        <v>Sale of Land (390-**)</v>
      </c>
    </row>
    <row r="247" spans="34:40">
      <c r="AH247" s="126">
        <v>246</v>
      </c>
      <c r="AI247" s="126" t="s">
        <v>1396</v>
      </c>
      <c r="AJ247" s="128">
        <f t="shared" si="20"/>
        <v>41061</v>
      </c>
      <c r="AK247" s="126">
        <f t="shared" si="21"/>
        <v>0</v>
      </c>
      <c r="AL247" s="126">
        <f t="array" ref="AL247">INDEX($Q$3:$Q$24,MATCH(AN247&amp;YEAR(AJ247),$A$3:$A$24&amp;YEAR($C$3:$C$24),0))</f>
        <v>21934381</v>
      </c>
      <c r="AM247" s="126" t="s">
        <v>1398</v>
      </c>
      <c r="AN247" s="126" t="str">
        <f t="shared" si="22"/>
        <v>Sale of Land (390-**)</v>
      </c>
    </row>
    <row r="248" spans="34:40">
      <c r="AH248" s="126">
        <v>247</v>
      </c>
      <c r="AI248" s="126" t="s">
        <v>1396</v>
      </c>
      <c r="AJ248" s="128">
        <f t="shared" si="20"/>
        <v>41091</v>
      </c>
      <c r="AK248" s="126">
        <f t="shared" si="21"/>
        <v>0</v>
      </c>
      <c r="AL248" s="126">
        <f t="array" ref="AL248">INDEX($Q$3:$Q$24,MATCH(AN248&amp;YEAR(AJ248),$A$3:$A$24&amp;YEAR($C$3:$C$24),0))</f>
        <v>21934381</v>
      </c>
      <c r="AM248" s="126" t="s">
        <v>1398</v>
      </c>
      <c r="AN248" s="126" t="str">
        <f t="shared" si="22"/>
        <v>Sale of Land (390-**)</v>
      </c>
    </row>
    <row r="249" spans="34:40">
      <c r="AH249" s="126">
        <v>248</v>
      </c>
      <c r="AI249" s="126" t="s">
        <v>1396</v>
      </c>
      <c r="AJ249" s="128">
        <f t="shared" si="20"/>
        <v>41122</v>
      </c>
      <c r="AK249" s="126">
        <f t="shared" si="21"/>
        <v>0</v>
      </c>
      <c r="AL249" s="126">
        <f t="array" ref="AL249">INDEX($Q$3:$Q$24,MATCH(AN249&amp;YEAR(AJ249),$A$3:$A$24&amp;YEAR($C$3:$C$24),0))</f>
        <v>21934381</v>
      </c>
      <c r="AM249" s="126" t="s">
        <v>1398</v>
      </c>
      <c r="AN249" s="126" t="str">
        <f t="shared" si="22"/>
        <v>Sale of Land (390-**)</v>
      </c>
    </row>
    <row r="250" spans="34:40">
      <c r="AH250" s="126">
        <v>249</v>
      </c>
      <c r="AI250" s="126" t="s">
        <v>1396</v>
      </c>
      <c r="AJ250" s="128">
        <f t="shared" si="20"/>
        <v>41153</v>
      </c>
      <c r="AK250" s="126">
        <f t="shared" si="21"/>
        <v>0</v>
      </c>
      <c r="AL250" s="126">
        <f t="array" ref="AL250">INDEX($Q$3:$Q$24,MATCH(AN250&amp;YEAR(AJ250),$A$3:$A$24&amp;YEAR($C$3:$C$24),0))</f>
        <v>21934381</v>
      </c>
      <c r="AM250" s="126" t="s">
        <v>1398</v>
      </c>
      <c r="AN250" s="126" t="str">
        <f t="shared" si="22"/>
        <v>Sale of Land (390-**)</v>
      </c>
    </row>
    <row r="251" spans="34:40">
      <c r="AH251" s="126">
        <v>250</v>
      </c>
      <c r="AI251" s="126" t="s">
        <v>1396</v>
      </c>
      <c r="AJ251" s="128">
        <f t="shared" si="20"/>
        <v>41183</v>
      </c>
      <c r="AK251" s="126">
        <f t="shared" si="21"/>
        <v>29947173.149999999</v>
      </c>
      <c r="AL251" s="126">
        <f t="array" ref="AL251">INDEX($Q$3:$Q$24,MATCH(AN251&amp;YEAR(AJ251),$A$3:$A$24&amp;YEAR($C$3:$C$24),0))</f>
        <v>21934381</v>
      </c>
      <c r="AM251" s="126" t="s">
        <v>1398</v>
      </c>
      <c r="AN251" s="126" t="str">
        <f t="shared" si="22"/>
        <v>Sale of Land (390-**)</v>
      </c>
    </row>
    <row r="252" spans="34:40">
      <c r="AH252" s="126">
        <v>251</v>
      </c>
      <c r="AI252" s="126" t="s">
        <v>1396</v>
      </c>
      <c r="AJ252" s="128">
        <f t="shared" si="20"/>
        <v>41214</v>
      </c>
      <c r="AK252" s="126">
        <f t="shared" si="21"/>
        <v>0</v>
      </c>
      <c r="AL252" s="126">
        <f t="array" ref="AL252">INDEX($Q$3:$Q$24,MATCH(AN252&amp;YEAR(AJ252),$A$3:$A$24&amp;YEAR($C$3:$C$24),0))</f>
        <v>21934381</v>
      </c>
      <c r="AM252" s="126" t="s">
        <v>1398</v>
      </c>
      <c r="AN252" s="126" t="str">
        <f t="shared" si="22"/>
        <v>Sale of Land (390-**)</v>
      </c>
    </row>
    <row r="253" spans="34:40">
      <c r="AH253" s="126">
        <v>252</v>
      </c>
      <c r="AI253" s="126" t="s">
        <v>1396</v>
      </c>
      <c r="AJ253" s="128">
        <f t="shared" si="20"/>
        <v>41244</v>
      </c>
      <c r="AK253" s="126">
        <f t="shared" si="21"/>
        <v>0</v>
      </c>
      <c r="AL253" s="126">
        <f t="array" ref="AL253">INDEX($Q$3:$Q$24,MATCH(AN253&amp;YEAR(AJ253),$A$3:$A$24&amp;YEAR($C$3:$C$24),0))</f>
        <v>21934381</v>
      </c>
      <c r="AM253" s="126" t="s">
        <v>1398</v>
      </c>
      <c r="AN253" s="126" t="str">
        <f t="shared" si="22"/>
        <v>Sale of Land (390-**)</v>
      </c>
    </row>
    <row r="254" spans="34:40">
      <c r="AH254" s="126">
        <v>253</v>
      </c>
      <c r="AI254" s="126" t="s">
        <v>1396</v>
      </c>
      <c r="AJ254" s="128">
        <f t="shared" si="20"/>
        <v>41275</v>
      </c>
      <c r="AK254" s="126">
        <f t="shared" si="21"/>
        <v>0</v>
      </c>
      <c r="AL254" s="126">
        <f t="array" ref="AL254">INDEX($Q$3:$Q$24,MATCH(AN254&amp;YEAR(AJ254),$A$3:$A$24&amp;YEAR($C$3:$C$24),0))</f>
        <v>0</v>
      </c>
      <c r="AM254" s="126" t="s">
        <v>1398</v>
      </c>
      <c r="AN254" s="126" t="str">
        <f t="shared" si="22"/>
        <v>Sale of Land (390-**)</v>
      </c>
    </row>
    <row r="255" spans="34:40">
      <c r="AH255" s="126">
        <v>254</v>
      </c>
      <c r="AI255" s="126" t="s">
        <v>1396</v>
      </c>
      <c r="AJ255" s="128">
        <f t="shared" si="20"/>
        <v>41306</v>
      </c>
      <c r="AK255" s="126">
        <f t="shared" si="21"/>
        <v>0</v>
      </c>
      <c r="AL255" s="126">
        <f t="array" ref="AL255">INDEX($Q$3:$Q$24,MATCH(AN255&amp;YEAR(AJ255),$A$3:$A$24&amp;YEAR($C$3:$C$24),0))</f>
        <v>0</v>
      </c>
      <c r="AM255" s="126" t="s">
        <v>1398</v>
      </c>
      <c r="AN255" s="126" t="str">
        <f t="shared" si="22"/>
        <v>Sale of Land (390-**)</v>
      </c>
    </row>
    <row r="256" spans="34:40">
      <c r="AH256" s="126">
        <v>255</v>
      </c>
      <c r="AI256" s="126" t="s">
        <v>1396</v>
      </c>
      <c r="AJ256" s="128">
        <f t="shared" si="20"/>
        <v>41334</v>
      </c>
      <c r="AK256" s="126">
        <f t="shared" si="21"/>
        <v>0</v>
      </c>
      <c r="AL256" s="126">
        <f t="array" ref="AL256">INDEX($Q$3:$Q$24,MATCH(AN256&amp;YEAR(AJ256),$A$3:$A$24&amp;YEAR($C$3:$C$24),0))</f>
        <v>0</v>
      </c>
      <c r="AM256" s="126" t="s">
        <v>1398</v>
      </c>
      <c r="AN256" s="126" t="str">
        <f t="shared" si="22"/>
        <v>Sale of Land (390-**)</v>
      </c>
    </row>
    <row r="257" spans="33:40">
      <c r="AH257" s="126">
        <v>256</v>
      </c>
      <c r="AI257" s="126" t="s">
        <v>1396</v>
      </c>
      <c r="AJ257" s="128">
        <f t="shared" si="20"/>
        <v>41365</v>
      </c>
      <c r="AK257" s="126">
        <f t="shared" si="21"/>
        <v>0</v>
      </c>
      <c r="AL257" s="126">
        <f t="array" ref="AL257">INDEX($Q$3:$Q$24,MATCH(AN257&amp;YEAR(AJ257),$A$3:$A$24&amp;YEAR($C$3:$C$24),0))</f>
        <v>0</v>
      </c>
      <c r="AM257" s="126" t="s">
        <v>1398</v>
      </c>
      <c r="AN257" s="126" t="str">
        <f t="shared" si="22"/>
        <v>Sale of Land (390-**)</v>
      </c>
    </row>
    <row r="258" spans="33:40">
      <c r="AH258" s="126">
        <v>257</v>
      </c>
      <c r="AI258" s="126" t="s">
        <v>1396</v>
      </c>
      <c r="AJ258" s="128">
        <f t="shared" ref="AJ258:AJ265" si="23">DATE(YEAR(INDEX($C$2:$O$24,INT((AH258+11)/12)+1,1)),IF(MOD(AH258,12)&lt;&gt;0,MOD(AH258,12),12),1)</f>
        <v>41395</v>
      </c>
      <c r="AK258" s="126">
        <f t="shared" ref="AK258:AK265" si="24">INDEX($D$3:$O$24,INT((AH258+11)/12),AH258-(12*(INT((AH258+11)/12)-1)))</f>
        <v>0</v>
      </c>
      <c r="AL258" s="126">
        <f t="array" ref="AL258">INDEX($Q$3:$Q$24,MATCH(AN258&amp;YEAR(AJ258),$A$3:$A$24&amp;YEAR($C$3:$C$24),0))</f>
        <v>0</v>
      </c>
      <c r="AM258" s="126" t="s">
        <v>1398</v>
      </c>
      <c r="AN258" s="126" t="str">
        <f t="shared" ref="AN258:AN265" si="25">INDEX($A$3:$A$24,INT((AH258+11)/12))</f>
        <v>Sale of Land (390-**)</v>
      </c>
    </row>
    <row r="259" spans="33:40">
      <c r="AH259" s="126">
        <v>258</v>
      </c>
      <c r="AI259" s="126" t="s">
        <v>1396</v>
      </c>
      <c r="AJ259" s="128">
        <f t="shared" si="23"/>
        <v>41426</v>
      </c>
      <c r="AK259" s="126">
        <f t="shared" si="24"/>
        <v>0</v>
      </c>
      <c r="AL259" s="126">
        <f t="array" ref="AL259">INDEX($Q$3:$Q$24,MATCH(AN259&amp;YEAR(AJ259),$A$3:$A$24&amp;YEAR($C$3:$C$24),0))</f>
        <v>0</v>
      </c>
      <c r="AM259" s="126" t="s">
        <v>1398</v>
      </c>
      <c r="AN259" s="126" t="str">
        <f t="shared" si="25"/>
        <v>Sale of Land (390-**)</v>
      </c>
    </row>
    <row r="260" spans="33:40">
      <c r="AH260" s="126">
        <v>259</v>
      </c>
      <c r="AI260" s="126" t="s">
        <v>1396</v>
      </c>
      <c r="AJ260" s="128">
        <f t="shared" si="23"/>
        <v>41456</v>
      </c>
      <c r="AK260" s="126">
        <f t="shared" si="24"/>
        <v>0</v>
      </c>
      <c r="AL260" s="126">
        <f t="array" ref="AL260">INDEX($Q$3:$Q$24,MATCH(AN260&amp;YEAR(AJ260),$A$3:$A$24&amp;YEAR($C$3:$C$24),0))</f>
        <v>0</v>
      </c>
      <c r="AM260" s="126" t="s">
        <v>1398</v>
      </c>
      <c r="AN260" s="126" t="str">
        <f t="shared" si="25"/>
        <v>Sale of Land (390-**)</v>
      </c>
    </row>
    <row r="261" spans="33:40">
      <c r="AH261" s="126">
        <v>260</v>
      </c>
      <c r="AI261" s="126" t="s">
        <v>1396</v>
      </c>
      <c r="AJ261" s="128">
        <f t="shared" si="23"/>
        <v>41487</v>
      </c>
      <c r="AK261" s="126">
        <f t="shared" si="24"/>
        <v>0</v>
      </c>
      <c r="AL261" s="126">
        <f t="array" ref="AL261">INDEX($Q$3:$Q$24,MATCH(AN261&amp;YEAR(AJ261),$A$3:$A$24&amp;YEAR($C$3:$C$24),0))</f>
        <v>0</v>
      </c>
      <c r="AM261" s="126" t="s">
        <v>1398</v>
      </c>
      <c r="AN261" s="126" t="str">
        <f t="shared" si="25"/>
        <v>Sale of Land (390-**)</v>
      </c>
    </row>
    <row r="262" spans="33:40">
      <c r="AH262" s="126">
        <v>261</v>
      </c>
      <c r="AI262" s="126" t="s">
        <v>1396</v>
      </c>
      <c r="AJ262" s="128">
        <f t="shared" si="23"/>
        <v>41518</v>
      </c>
      <c r="AK262" s="126">
        <f t="shared" si="24"/>
        <v>0</v>
      </c>
      <c r="AL262" s="126">
        <f t="array" ref="AL262">INDEX($Q$3:$Q$24,MATCH(AN262&amp;YEAR(AJ262),$A$3:$A$24&amp;YEAR($C$3:$C$24),0))</f>
        <v>0</v>
      </c>
      <c r="AM262" s="126" t="s">
        <v>1398</v>
      </c>
      <c r="AN262" s="126" t="str">
        <f t="shared" si="25"/>
        <v>Sale of Land (390-**)</v>
      </c>
    </row>
    <row r="263" spans="33:40">
      <c r="AH263" s="126">
        <v>262</v>
      </c>
      <c r="AI263" s="126" t="s">
        <v>1396</v>
      </c>
      <c r="AJ263" s="128">
        <f t="shared" si="23"/>
        <v>41548</v>
      </c>
      <c r="AK263" s="126">
        <f t="shared" si="24"/>
        <v>0</v>
      </c>
      <c r="AL263" s="126">
        <f t="array" ref="AL263">INDEX($Q$3:$Q$24,MATCH(AN263&amp;YEAR(AJ263),$A$3:$A$24&amp;YEAR($C$3:$C$24),0))</f>
        <v>0</v>
      </c>
      <c r="AM263" s="126" t="s">
        <v>1398</v>
      </c>
      <c r="AN263" s="126" t="str">
        <f t="shared" si="25"/>
        <v>Sale of Land (390-**)</v>
      </c>
    </row>
    <row r="264" spans="33:40">
      <c r="AH264" s="126">
        <v>263</v>
      </c>
      <c r="AI264" s="126" t="s">
        <v>1396</v>
      </c>
      <c r="AJ264" s="128">
        <f t="shared" si="23"/>
        <v>41579</v>
      </c>
      <c r="AK264" s="126">
        <f t="shared" si="24"/>
        <v>0</v>
      </c>
      <c r="AL264" s="126">
        <f t="array" ref="AL264">INDEX($Q$3:$Q$24,MATCH(AN264&amp;YEAR(AJ264),$A$3:$A$24&amp;YEAR($C$3:$C$24),0))</f>
        <v>0</v>
      </c>
      <c r="AM264" s="126" t="s">
        <v>1398</v>
      </c>
      <c r="AN264" s="126" t="str">
        <f t="shared" si="25"/>
        <v>Sale of Land (390-**)</v>
      </c>
    </row>
    <row r="265" spans="33:40">
      <c r="AH265" s="126">
        <v>264</v>
      </c>
      <c r="AI265" s="126" t="s">
        <v>1396</v>
      </c>
      <c r="AJ265" s="128">
        <f t="shared" si="23"/>
        <v>41609</v>
      </c>
      <c r="AK265" s="126">
        <f t="shared" si="24"/>
        <v>0</v>
      </c>
      <c r="AL265" s="126">
        <f t="array" ref="AL265">INDEX($Q$3:$Q$24,MATCH(AN265&amp;YEAR(AJ265),$A$3:$A$24&amp;YEAR($C$3:$C$24),0))</f>
        <v>0</v>
      </c>
      <c r="AM265" s="126" t="s">
        <v>1398</v>
      </c>
      <c r="AN265" s="126" t="str">
        <f t="shared" si="25"/>
        <v>Sale of Land (390-**)</v>
      </c>
    </row>
    <row r="266" spans="33:40">
      <c r="AG266" s="126">
        <f>5*12</f>
        <v>60</v>
      </c>
      <c r="AH266" s="126">
        <v>1</v>
      </c>
      <c r="AI266" s="126" t="s">
        <v>1396</v>
      </c>
      <c r="AJ266" s="128">
        <f t="shared" ref="AJ266:AJ297" si="26">DATE(YEAR(INDEX($C$30:$O$35,INT((AH266+11)/12)+1,1)),IF(MOD(AH266,12)&lt;&gt;0,MOD(AH266,12),12),1)</f>
        <v>41275</v>
      </c>
      <c r="AK266" s="126">
        <f t="shared" ref="AK266:AK297" si="27">INDEX($D$31:$O$35,INT((AH266+11)/12),AH266-(12*(INT((AH266+11)/12)-1)))</f>
        <v>0</v>
      </c>
      <c r="AL266" s="126">
        <f t="array" ref="AL266">INDEX($Q$31:$Q$35,MATCH(AN266&amp;YEAR(AJ266),$A$31:$A$35&amp;YEAR($C$31:$C$35),0))</f>
        <v>237429</v>
      </c>
      <c r="AM266" s="126" t="s">
        <v>1397</v>
      </c>
      <c r="AN266" s="126" t="str">
        <f t="shared" ref="AN266:AN297" si="28">INDEX($A$31:$A$35,INT((AH266+11)/12))</f>
        <v>Intergovernment Revenue (330-**)</v>
      </c>
    </row>
    <row r="267" spans="33:40">
      <c r="AH267" s="126">
        <v>2</v>
      </c>
      <c r="AI267" s="126" t="s">
        <v>1396</v>
      </c>
      <c r="AJ267" s="128">
        <f t="shared" si="26"/>
        <v>41306</v>
      </c>
      <c r="AK267" s="126">
        <f t="shared" si="27"/>
        <v>0</v>
      </c>
      <c r="AL267" s="126">
        <f t="array" ref="AL267">INDEX($Q$31:$Q$35,MATCH(AN267&amp;YEAR(AJ267),$A$31:$A$35&amp;YEAR($C$31:$C$35),0))</f>
        <v>237429</v>
      </c>
      <c r="AM267" s="126" t="s">
        <v>1397</v>
      </c>
      <c r="AN267" s="126" t="str">
        <f t="shared" si="28"/>
        <v>Intergovernment Revenue (330-**)</v>
      </c>
    </row>
    <row r="268" spans="33:40">
      <c r="AH268" s="126">
        <v>3</v>
      </c>
      <c r="AI268" s="126" t="s">
        <v>1396</v>
      </c>
      <c r="AJ268" s="128">
        <f t="shared" si="26"/>
        <v>41334</v>
      </c>
      <c r="AK268" s="126">
        <f t="shared" si="27"/>
        <v>0</v>
      </c>
      <c r="AL268" s="126">
        <f t="array" ref="AL268">INDEX($Q$31:$Q$35,MATCH(AN268&amp;YEAR(AJ268),$A$31:$A$35&amp;YEAR($C$31:$C$35),0))</f>
        <v>237429</v>
      </c>
      <c r="AM268" s="126" t="s">
        <v>1397</v>
      </c>
      <c r="AN268" s="126" t="str">
        <f t="shared" si="28"/>
        <v>Intergovernment Revenue (330-**)</v>
      </c>
    </row>
    <row r="269" spans="33:40">
      <c r="AH269" s="126">
        <v>4</v>
      </c>
      <c r="AI269" s="126" t="s">
        <v>1396</v>
      </c>
      <c r="AJ269" s="128">
        <f t="shared" si="26"/>
        <v>41365</v>
      </c>
      <c r="AK269" s="126">
        <f t="shared" si="27"/>
        <v>0</v>
      </c>
      <c r="AL269" s="126">
        <f t="array" ref="AL269">INDEX($Q$31:$Q$35,MATCH(AN269&amp;YEAR(AJ269),$A$31:$A$35&amp;YEAR($C$31:$C$35),0))</f>
        <v>237429</v>
      </c>
      <c r="AM269" s="126" t="s">
        <v>1397</v>
      </c>
      <c r="AN269" s="126" t="str">
        <f t="shared" si="28"/>
        <v>Intergovernment Revenue (330-**)</v>
      </c>
    </row>
    <row r="270" spans="33:40">
      <c r="AH270" s="126">
        <v>5</v>
      </c>
      <c r="AI270" s="126" t="s">
        <v>1396</v>
      </c>
      <c r="AJ270" s="128">
        <f t="shared" si="26"/>
        <v>41395</v>
      </c>
      <c r="AK270" s="126">
        <f t="shared" si="27"/>
        <v>114241.33</v>
      </c>
      <c r="AL270" s="126">
        <f t="array" ref="AL270">INDEX($Q$31:$Q$35,MATCH(AN270&amp;YEAR(AJ270),$A$31:$A$35&amp;YEAR($C$31:$C$35),0))</f>
        <v>237429</v>
      </c>
      <c r="AM270" s="126" t="s">
        <v>1397</v>
      </c>
      <c r="AN270" s="126" t="str">
        <f t="shared" si="28"/>
        <v>Intergovernment Revenue (330-**)</v>
      </c>
    </row>
    <row r="271" spans="33:40">
      <c r="AH271" s="126">
        <v>6</v>
      </c>
      <c r="AI271" s="126" t="s">
        <v>1396</v>
      </c>
      <c r="AJ271" s="128">
        <f t="shared" si="26"/>
        <v>41426</v>
      </c>
      <c r="AK271" s="126">
        <f t="shared" si="27"/>
        <v>0</v>
      </c>
      <c r="AL271" s="126">
        <f t="array" ref="AL271">INDEX($Q$31:$Q$35,MATCH(AN271&amp;YEAR(AJ271),$A$31:$A$35&amp;YEAR($C$31:$C$35),0))</f>
        <v>237429</v>
      </c>
      <c r="AM271" s="126" t="s">
        <v>1397</v>
      </c>
      <c r="AN271" s="126" t="str">
        <f t="shared" si="28"/>
        <v>Intergovernment Revenue (330-**)</v>
      </c>
    </row>
    <row r="272" spans="33:40">
      <c r="AH272" s="126">
        <v>7</v>
      </c>
      <c r="AI272" s="126" t="s">
        <v>1396</v>
      </c>
      <c r="AJ272" s="128">
        <f t="shared" si="26"/>
        <v>41456</v>
      </c>
      <c r="AK272" s="126">
        <f t="shared" si="27"/>
        <v>0</v>
      </c>
      <c r="AL272" s="126">
        <f t="array" ref="AL272">INDEX($Q$31:$Q$35,MATCH(AN272&amp;YEAR(AJ272),$A$31:$A$35&amp;YEAR($C$31:$C$35),0))</f>
        <v>237429</v>
      </c>
      <c r="AM272" s="126" t="s">
        <v>1397</v>
      </c>
      <c r="AN272" s="126" t="str">
        <f t="shared" si="28"/>
        <v>Intergovernment Revenue (330-**)</v>
      </c>
    </row>
    <row r="273" spans="34:40">
      <c r="AH273" s="126">
        <v>8</v>
      </c>
      <c r="AI273" s="126" t="s">
        <v>1396</v>
      </c>
      <c r="AJ273" s="128">
        <f t="shared" si="26"/>
        <v>41487</v>
      </c>
      <c r="AK273" s="126">
        <f t="shared" si="27"/>
        <v>0</v>
      </c>
      <c r="AL273" s="126">
        <f t="array" ref="AL273">INDEX($Q$31:$Q$35,MATCH(AN273&amp;YEAR(AJ273),$A$31:$A$35&amp;YEAR($C$31:$C$35),0))</f>
        <v>237429</v>
      </c>
      <c r="AM273" s="126" t="s">
        <v>1397</v>
      </c>
      <c r="AN273" s="126" t="str">
        <f t="shared" si="28"/>
        <v>Intergovernment Revenue (330-**)</v>
      </c>
    </row>
    <row r="274" spans="34:40">
      <c r="AH274" s="126">
        <v>9</v>
      </c>
      <c r="AI274" s="126" t="s">
        <v>1396</v>
      </c>
      <c r="AJ274" s="128">
        <f t="shared" si="26"/>
        <v>41518</v>
      </c>
      <c r="AK274" s="126">
        <f t="shared" si="27"/>
        <v>0</v>
      </c>
      <c r="AL274" s="126">
        <f t="array" ref="AL274">INDEX($Q$31:$Q$35,MATCH(AN274&amp;YEAR(AJ274),$A$31:$A$35&amp;YEAR($C$31:$C$35),0))</f>
        <v>237429</v>
      </c>
      <c r="AM274" s="126" t="s">
        <v>1397</v>
      </c>
      <c r="AN274" s="126" t="str">
        <f t="shared" si="28"/>
        <v>Intergovernment Revenue (330-**)</v>
      </c>
    </row>
    <row r="275" spans="34:40">
      <c r="AH275" s="126">
        <v>10</v>
      </c>
      <c r="AI275" s="126" t="s">
        <v>1396</v>
      </c>
      <c r="AJ275" s="128">
        <f t="shared" si="26"/>
        <v>41548</v>
      </c>
      <c r="AK275" s="126">
        <f t="shared" si="27"/>
        <v>0</v>
      </c>
      <c r="AL275" s="126">
        <f t="array" ref="AL275">INDEX($Q$31:$Q$35,MATCH(AN275&amp;YEAR(AJ275),$A$31:$A$35&amp;YEAR($C$31:$C$35),0))</f>
        <v>237429</v>
      </c>
      <c r="AM275" s="126" t="s">
        <v>1397</v>
      </c>
      <c r="AN275" s="126" t="str">
        <f t="shared" si="28"/>
        <v>Intergovernment Revenue (330-**)</v>
      </c>
    </row>
    <row r="276" spans="34:40">
      <c r="AH276" s="126">
        <v>11</v>
      </c>
      <c r="AI276" s="126" t="s">
        <v>1396</v>
      </c>
      <c r="AJ276" s="128">
        <f t="shared" si="26"/>
        <v>41579</v>
      </c>
      <c r="AK276" s="126">
        <f t="shared" si="27"/>
        <v>0</v>
      </c>
      <c r="AL276" s="126">
        <f t="array" ref="AL276">INDEX($Q$31:$Q$35,MATCH(AN276&amp;YEAR(AJ276),$A$31:$A$35&amp;YEAR($C$31:$C$35),0))</f>
        <v>237429</v>
      </c>
      <c r="AM276" s="126" t="s">
        <v>1397</v>
      </c>
      <c r="AN276" s="126" t="str">
        <f t="shared" si="28"/>
        <v>Intergovernment Revenue (330-**)</v>
      </c>
    </row>
    <row r="277" spans="34:40">
      <c r="AH277" s="126">
        <v>12</v>
      </c>
      <c r="AI277" s="126" t="s">
        <v>1396</v>
      </c>
      <c r="AJ277" s="128">
        <f t="shared" si="26"/>
        <v>41609</v>
      </c>
      <c r="AK277" s="126">
        <f t="shared" si="27"/>
        <v>0</v>
      </c>
      <c r="AL277" s="126">
        <f t="array" ref="AL277">INDEX($Q$31:$Q$35,MATCH(AN277&amp;YEAR(AJ277),$A$31:$A$35&amp;YEAR($C$31:$C$35),0))</f>
        <v>237429</v>
      </c>
      <c r="AM277" s="126" t="s">
        <v>1397</v>
      </c>
      <c r="AN277" s="126" t="str">
        <f t="shared" si="28"/>
        <v>Intergovernment Revenue (330-**)</v>
      </c>
    </row>
    <row r="278" spans="34:40">
      <c r="AH278" s="126">
        <v>13</v>
      </c>
      <c r="AI278" s="126" t="s">
        <v>1396</v>
      </c>
      <c r="AJ278" s="128">
        <f t="shared" si="26"/>
        <v>40909</v>
      </c>
      <c r="AK278" s="126">
        <f t="shared" si="27"/>
        <v>0</v>
      </c>
      <c r="AL278" s="126">
        <f t="array" ref="AL278">INDEX($Q$31:$Q$35,MATCH(AN278&amp;YEAR(AJ278),$A$31:$A$35&amp;YEAR($C$31:$C$35),0))</f>
        <v>0</v>
      </c>
      <c r="AM278" s="126" t="s">
        <v>1397</v>
      </c>
      <c r="AN278" s="126" t="str">
        <f t="shared" si="28"/>
        <v>Interest Earnings (361-*)</v>
      </c>
    </row>
    <row r="279" spans="34:40">
      <c r="AH279" s="126">
        <v>14</v>
      </c>
      <c r="AI279" s="126" t="s">
        <v>1396</v>
      </c>
      <c r="AJ279" s="128">
        <f t="shared" si="26"/>
        <v>40940</v>
      </c>
      <c r="AK279" s="126">
        <f t="shared" si="27"/>
        <v>739.75</v>
      </c>
      <c r="AL279" s="126">
        <f t="array" ref="AL279">INDEX($Q$31:$Q$35,MATCH(AN279&amp;YEAR(AJ279),$A$31:$A$35&amp;YEAR($C$31:$C$35),0))</f>
        <v>0</v>
      </c>
      <c r="AM279" s="126" t="s">
        <v>1397</v>
      </c>
      <c r="AN279" s="126" t="str">
        <f t="shared" si="28"/>
        <v>Interest Earnings (361-*)</v>
      </c>
    </row>
    <row r="280" spans="34:40">
      <c r="AH280" s="126">
        <v>15</v>
      </c>
      <c r="AI280" s="126" t="s">
        <v>1396</v>
      </c>
      <c r="AJ280" s="128">
        <f t="shared" si="26"/>
        <v>40969</v>
      </c>
      <c r="AK280" s="126">
        <f t="shared" si="27"/>
        <v>1052.76</v>
      </c>
      <c r="AL280" s="126">
        <f t="array" ref="AL280">INDEX($Q$31:$Q$35,MATCH(AN280&amp;YEAR(AJ280),$A$31:$A$35&amp;YEAR($C$31:$C$35),0))</f>
        <v>0</v>
      </c>
      <c r="AM280" s="126" t="s">
        <v>1397</v>
      </c>
      <c r="AN280" s="126" t="str">
        <f t="shared" si="28"/>
        <v>Interest Earnings (361-*)</v>
      </c>
    </row>
    <row r="281" spans="34:40">
      <c r="AH281" s="126">
        <v>16</v>
      </c>
      <c r="AI281" s="126" t="s">
        <v>1396</v>
      </c>
      <c r="AJ281" s="128">
        <f t="shared" si="26"/>
        <v>41000</v>
      </c>
      <c r="AK281" s="126">
        <f t="shared" si="27"/>
        <v>1269.5899999999999</v>
      </c>
      <c r="AL281" s="126">
        <f t="array" ref="AL281">INDEX($Q$31:$Q$35,MATCH(AN281&amp;YEAR(AJ281),$A$31:$A$35&amp;YEAR($C$31:$C$35),0))</f>
        <v>0</v>
      </c>
      <c r="AM281" s="126" t="s">
        <v>1397</v>
      </c>
      <c r="AN281" s="126" t="str">
        <f t="shared" si="28"/>
        <v>Interest Earnings (361-*)</v>
      </c>
    </row>
    <row r="282" spans="34:40">
      <c r="AH282" s="126">
        <v>17</v>
      </c>
      <c r="AI282" s="126" t="s">
        <v>1396</v>
      </c>
      <c r="AJ282" s="128">
        <f t="shared" si="26"/>
        <v>41030</v>
      </c>
      <c r="AK282" s="126">
        <f t="shared" si="27"/>
        <v>1558.22</v>
      </c>
      <c r="AL282" s="126">
        <f t="array" ref="AL282">INDEX($Q$31:$Q$35,MATCH(AN282&amp;YEAR(AJ282),$A$31:$A$35&amp;YEAR($C$31:$C$35),0))</f>
        <v>0</v>
      </c>
      <c r="AM282" s="126" t="s">
        <v>1397</v>
      </c>
      <c r="AN282" s="126" t="str">
        <f t="shared" si="28"/>
        <v>Interest Earnings (361-*)</v>
      </c>
    </row>
    <row r="283" spans="34:40">
      <c r="AH283" s="126">
        <v>18</v>
      </c>
      <c r="AI283" s="126" t="s">
        <v>1396</v>
      </c>
      <c r="AJ283" s="128">
        <f t="shared" si="26"/>
        <v>41061</v>
      </c>
      <c r="AK283" s="126">
        <f t="shared" si="27"/>
        <v>1549.29</v>
      </c>
      <c r="AL283" s="126">
        <f t="array" ref="AL283">INDEX($Q$31:$Q$35,MATCH(AN283&amp;YEAR(AJ283),$A$31:$A$35&amp;YEAR($C$31:$C$35),0))</f>
        <v>0</v>
      </c>
      <c r="AM283" s="126" t="s">
        <v>1397</v>
      </c>
      <c r="AN283" s="126" t="str">
        <f t="shared" si="28"/>
        <v>Interest Earnings (361-*)</v>
      </c>
    </row>
    <row r="284" spans="34:40">
      <c r="AH284" s="126">
        <v>19</v>
      </c>
      <c r="AI284" s="126" t="s">
        <v>1396</v>
      </c>
      <c r="AJ284" s="128">
        <f t="shared" si="26"/>
        <v>41091</v>
      </c>
      <c r="AK284" s="126">
        <f t="shared" si="27"/>
        <v>1322.24</v>
      </c>
      <c r="AL284" s="126">
        <f t="array" ref="AL284">INDEX($Q$31:$Q$35,MATCH(AN284&amp;YEAR(AJ284),$A$31:$A$35&amp;YEAR($C$31:$C$35),0))</f>
        <v>0</v>
      </c>
      <c r="AM284" s="126" t="s">
        <v>1397</v>
      </c>
      <c r="AN284" s="126" t="str">
        <f t="shared" si="28"/>
        <v>Interest Earnings (361-*)</v>
      </c>
    </row>
    <row r="285" spans="34:40">
      <c r="AH285" s="126">
        <v>20</v>
      </c>
      <c r="AI285" s="126" t="s">
        <v>1396</v>
      </c>
      <c r="AJ285" s="128">
        <f t="shared" si="26"/>
        <v>41122</v>
      </c>
      <c r="AK285" s="126">
        <f t="shared" si="27"/>
        <v>1573.63</v>
      </c>
      <c r="AL285" s="126">
        <f t="array" ref="AL285">INDEX($Q$31:$Q$35,MATCH(AN285&amp;YEAR(AJ285),$A$31:$A$35&amp;YEAR($C$31:$C$35),0))</f>
        <v>0</v>
      </c>
      <c r="AM285" s="126" t="s">
        <v>1397</v>
      </c>
      <c r="AN285" s="126" t="str">
        <f t="shared" si="28"/>
        <v>Interest Earnings (361-*)</v>
      </c>
    </row>
    <row r="286" spans="34:40">
      <c r="AH286" s="126">
        <v>21</v>
      </c>
      <c r="AI286" s="126" t="s">
        <v>1396</v>
      </c>
      <c r="AJ286" s="128">
        <f t="shared" si="26"/>
        <v>41153</v>
      </c>
      <c r="AK286" s="126">
        <f t="shared" si="27"/>
        <v>1703.17</v>
      </c>
      <c r="AL286" s="126">
        <f t="array" ref="AL286">INDEX($Q$31:$Q$35,MATCH(AN286&amp;YEAR(AJ286),$A$31:$A$35&amp;YEAR($C$31:$C$35),0))</f>
        <v>0</v>
      </c>
      <c r="AM286" s="126" t="s">
        <v>1397</v>
      </c>
      <c r="AN286" s="126" t="str">
        <f t="shared" si="28"/>
        <v>Interest Earnings (361-*)</v>
      </c>
    </row>
    <row r="287" spans="34:40">
      <c r="AH287" s="126">
        <v>22</v>
      </c>
      <c r="AI287" s="126" t="s">
        <v>1396</v>
      </c>
      <c r="AJ287" s="128">
        <f t="shared" si="26"/>
        <v>41183</v>
      </c>
      <c r="AK287" s="126">
        <f t="shared" si="27"/>
        <v>1880.54</v>
      </c>
      <c r="AL287" s="126">
        <f t="array" ref="AL287">INDEX($Q$31:$Q$35,MATCH(AN287&amp;YEAR(AJ287),$A$31:$A$35&amp;YEAR($C$31:$C$35),0))</f>
        <v>0</v>
      </c>
      <c r="AM287" s="126" t="s">
        <v>1397</v>
      </c>
      <c r="AN287" s="126" t="str">
        <f t="shared" si="28"/>
        <v>Interest Earnings (361-*)</v>
      </c>
    </row>
    <row r="288" spans="34:40">
      <c r="AH288" s="126">
        <v>23</v>
      </c>
      <c r="AI288" s="126" t="s">
        <v>1396</v>
      </c>
      <c r="AJ288" s="128">
        <f t="shared" si="26"/>
        <v>41214</v>
      </c>
      <c r="AK288" s="126">
        <f t="shared" si="27"/>
        <v>2680.05</v>
      </c>
      <c r="AL288" s="126">
        <f t="array" ref="AL288">INDEX($Q$31:$Q$35,MATCH(AN288&amp;YEAR(AJ288),$A$31:$A$35&amp;YEAR($C$31:$C$35),0))</f>
        <v>0</v>
      </c>
      <c r="AM288" s="126" t="s">
        <v>1397</v>
      </c>
      <c r="AN288" s="126" t="str">
        <f t="shared" si="28"/>
        <v>Interest Earnings (361-*)</v>
      </c>
    </row>
    <row r="289" spans="34:40">
      <c r="AH289" s="126">
        <v>24</v>
      </c>
      <c r="AI289" s="126" t="s">
        <v>1396</v>
      </c>
      <c r="AJ289" s="128">
        <f t="shared" si="26"/>
        <v>41244</v>
      </c>
      <c r="AK289" s="126">
        <f t="shared" si="27"/>
        <v>-4211.5599999999995</v>
      </c>
      <c r="AL289" s="126">
        <f t="array" ref="AL289">INDEX($Q$31:$Q$35,MATCH(AN289&amp;YEAR(AJ289),$A$31:$A$35&amp;YEAR($C$31:$C$35),0))</f>
        <v>0</v>
      </c>
      <c r="AM289" s="126" t="s">
        <v>1397</v>
      </c>
      <c r="AN289" s="126" t="str">
        <f t="shared" si="28"/>
        <v>Interest Earnings (361-*)</v>
      </c>
    </row>
    <row r="290" spans="34:40">
      <c r="AH290" s="126">
        <v>25</v>
      </c>
      <c r="AI290" s="126" t="s">
        <v>1396</v>
      </c>
      <c r="AJ290" s="128">
        <f t="shared" si="26"/>
        <v>41275</v>
      </c>
      <c r="AK290" s="126">
        <f t="shared" si="27"/>
        <v>0</v>
      </c>
      <c r="AL290" s="126">
        <f t="array" ref="AL290">INDEX($Q$31:$Q$35,MATCH(AN290&amp;YEAR(AJ290),$A$31:$A$35&amp;YEAR($C$31:$C$35),0))</f>
        <v>0</v>
      </c>
      <c r="AM290" s="126" t="s">
        <v>1397</v>
      </c>
      <c r="AN290" s="126" t="str">
        <f t="shared" si="28"/>
        <v>Interest Earnings (361-*)</v>
      </c>
    </row>
    <row r="291" spans="34:40">
      <c r="AH291" s="126">
        <v>26</v>
      </c>
      <c r="AI291" s="126" t="s">
        <v>1396</v>
      </c>
      <c r="AJ291" s="128">
        <f t="shared" si="26"/>
        <v>41306</v>
      </c>
      <c r="AK291" s="126">
        <f t="shared" si="27"/>
        <v>3886.42</v>
      </c>
      <c r="AL291" s="126">
        <f t="array" ref="AL291">INDEX($Q$31:$Q$35,MATCH(AN291&amp;YEAR(AJ291),$A$31:$A$35&amp;YEAR($C$31:$C$35),0))</f>
        <v>0</v>
      </c>
      <c r="AM291" s="126" t="s">
        <v>1397</v>
      </c>
      <c r="AN291" s="126" t="str">
        <f t="shared" si="28"/>
        <v>Interest Earnings (361-*)</v>
      </c>
    </row>
    <row r="292" spans="34:40">
      <c r="AH292" s="126">
        <v>27</v>
      </c>
      <c r="AI292" s="126" t="s">
        <v>1396</v>
      </c>
      <c r="AJ292" s="128">
        <f t="shared" si="26"/>
        <v>41334</v>
      </c>
      <c r="AK292" s="126">
        <f t="shared" si="27"/>
        <v>3481</v>
      </c>
      <c r="AL292" s="126">
        <f t="array" ref="AL292">INDEX($Q$31:$Q$35,MATCH(AN292&amp;YEAR(AJ292),$A$31:$A$35&amp;YEAR($C$31:$C$35),0))</f>
        <v>0</v>
      </c>
      <c r="AM292" s="126" t="s">
        <v>1397</v>
      </c>
      <c r="AN292" s="126" t="str">
        <f t="shared" si="28"/>
        <v>Interest Earnings (361-*)</v>
      </c>
    </row>
    <row r="293" spans="34:40">
      <c r="AH293" s="126">
        <v>28</v>
      </c>
      <c r="AI293" s="126" t="s">
        <v>1396</v>
      </c>
      <c r="AJ293" s="128">
        <f t="shared" si="26"/>
        <v>41365</v>
      </c>
      <c r="AK293" s="126">
        <f t="shared" si="27"/>
        <v>3919.18</v>
      </c>
      <c r="AL293" s="126">
        <f t="array" ref="AL293">INDEX($Q$31:$Q$35,MATCH(AN293&amp;YEAR(AJ293),$A$31:$A$35&amp;YEAR($C$31:$C$35),0))</f>
        <v>0</v>
      </c>
      <c r="AM293" s="126" t="s">
        <v>1397</v>
      </c>
      <c r="AN293" s="126" t="str">
        <f t="shared" si="28"/>
        <v>Interest Earnings (361-*)</v>
      </c>
    </row>
    <row r="294" spans="34:40">
      <c r="AH294" s="126">
        <v>29</v>
      </c>
      <c r="AI294" s="126" t="s">
        <v>1396</v>
      </c>
      <c r="AJ294" s="128">
        <f t="shared" si="26"/>
        <v>41395</v>
      </c>
      <c r="AK294" s="126">
        <f t="shared" si="27"/>
        <v>3883.8</v>
      </c>
      <c r="AL294" s="126">
        <f t="array" ref="AL294">INDEX($Q$31:$Q$35,MATCH(AN294&amp;YEAR(AJ294),$A$31:$A$35&amp;YEAR($C$31:$C$35),0))</f>
        <v>0</v>
      </c>
      <c r="AM294" s="126" t="s">
        <v>1397</v>
      </c>
      <c r="AN294" s="126" t="str">
        <f t="shared" si="28"/>
        <v>Interest Earnings (361-*)</v>
      </c>
    </row>
    <row r="295" spans="34:40">
      <c r="AH295" s="126">
        <v>30</v>
      </c>
      <c r="AI295" s="126" t="s">
        <v>1396</v>
      </c>
      <c r="AJ295" s="128">
        <f t="shared" si="26"/>
        <v>41426</v>
      </c>
      <c r="AK295" s="126">
        <f t="shared" si="27"/>
        <v>0</v>
      </c>
      <c r="AL295" s="126">
        <f t="array" ref="AL295">INDEX($Q$31:$Q$35,MATCH(AN295&amp;YEAR(AJ295),$A$31:$A$35&amp;YEAR($C$31:$C$35),0))</f>
        <v>0</v>
      </c>
      <c r="AM295" s="126" t="s">
        <v>1397</v>
      </c>
      <c r="AN295" s="126" t="str">
        <f t="shared" si="28"/>
        <v>Interest Earnings (361-*)</v>
      </c>
    </row>
    <row r="296" spans="34:40">
      <c r="AH296" s="126">
        <v>31</v>
      </c>
      <c r="AI296" s="126" t="s">
        <v>1396</v>
      </c>
      <c r="AJ296" s="128">
        <f t="shared" si="26"/>
        <v>41456</v>
      </c>
      <c r="AK296" s="126">
        <f t="shared" si="27"/>
        <v>0</v>
      </c>
      <c r="AL296" s="126">
        <f t="array" ref="AL296">INDEX($Q$31:$Q$35,MATCH(AN296&amp;YEAR(AJ296),$A$31:$A$35&amp;YEAR($C$31:$C$35),0))</f>
        <v>0</v>
      </c>
      <c r="AM296" s="126" t="s">
        <v>1397</v>
      </c>
      <c r="AN296" s="126" t="str">
        <f t="shared" si="28"/>
        <v>Interest Earnings (361-*)</v>
      </c>
    </row>
    <row r="297" spans="34:40">
      <c r="AH297" s="126">
        <v>32</v>
      </c>
      <c r="AI297" s="126" t="s">
        <v>1396</v>
      </c>
      <c r="AJ297" s="128">
        <f t="shared" si="26"/>
        <v>41487</v>
      </c>
      <c r="AK297" s="126">
        <f t="shared" si="27"/>
        <v>0</v>
      </c>
      <c r="AL297" s="126">
        <f t="array" ref="AL297">INDEX($Q$31:$Q$35,MATCH(AN297&amp;YEAR(AJ297),$A$31:$A$35&amp;YEAR($C$31:$C$35),0))</f>
        <v>0</v>
      </c>
      <c r="AM297" s="126" t="s">
        <v>1397</v>
      </c>
      <c r="AN297" s="126" t="str">
        <f t="shared" si="28"/>
        <v>Interest Earnings (361-*)</v>
      </c>
    </row>
    <row r="298" spans="34:40">
      <c r="AH298" s="126">
        <v>33</v>
      </c>
      <c r="AI298" s="126" t="s">
        <v>1396</v>
      </c>
      <c r="AJ298" s="128">
        <f t="shared" ref="AJ298:AJ325" si="29">DATE(YEAR(INDEX($C$30:$O$35,INT((AH298+11)/12)+1,1)),IF(MOD(AH298,12)&lt;&gt;0,MOD(AH298,12),12),1)</f>
        <v>41518</v>
      </c>
      <c r="AK298" s="126">
        <f t="shared" ref="AK298:AK325" si="30">INDEX($D$31:$O$35,INT((AH298+11)/12),AH298-(12*(INT((AH298+11)/12)-1)))</f>
        <v>0</v>
      </c>
      <c r="AL298" s="126">
        <f t="array" ref="AL298">INDEX($Q$31:$Q$35,MATCH(AN298&amp;YEAR(AJ298),$A$31:$A$35&amp;YEAR($C$31:$C$35),0))</f>
        <v>0</v>
      </c>
      <c r="AM298" s="126" t="s">
        <v>1397</v>
      </c>
      <c r="AN298" s="126" t="str">
        <f t="shared" ref="AN298:AN325" si="31">INDEX($A$31:$A$35,INT((AH298+11)/12))</f>
        <v>Interest Earnings (361-*)</v>
      </c>
    </row>
    <row r="299" spans="34:40">
      <c r="AH299" s="126">
        <v>34</v>
      </c>
      <c r="AI299" s="126" t="s">
        <v>1396</v>
      </c>
      <c r="AJ299" s="128">
        <f t="shared" si="29"/>
        <v>41548</v>
      </c>
      <c r="AK299" s="126">
        <f t="shared" si="30"/>
        <v>0</v>
      </c>
      <c r="AL299" s="126">
        <f t="array" ref="AL299">INDEX($Q$31:$Q$35,MATCH(AN299&amp;YEAR(AJ299),$A$31:$A$35&amp;YEAR($C$31:$C$35),0))</f>
        <v>0</v>
      </c>
      <c r="AM299" s="126" t="s">
        <v>1397</v>
      </c>
      <c r="AN299" s="126" t="str">
        <f t="shared" si="31"/>
        <v>Interest Earnings (361-*)</v>
      </c>
    </row>
    <row r="300" spans="34:40">
      <c r="AH300" s="126">
        <v>35</v>
      </c>
      <c r="AI300" s="126" t="s">
        <v>1396</v>
      </c>
      <c r="AJ300" s="128">
        <f t="shared" si="29"/>
        <v>41579</v>
      </c>
      <c r="AK300" s="126">
        <f t="shared" si="30"/>
        <v>0</v>
      </c>
      <c r="AL300" s="126">
        <f t="array" ref="AL300">INDEX($Q$31:$Q$35,MATCH(AN300&amp;YEAR(AJ300),$A$31:$A$35&amp;YEAR($C$31:$C$35),0))</f>
        <v>0</v>
      </c>
      <c r="AM300" s="126" t="s">
        <v>1397</v>
      </c>
      <c r="AN300" s="126" t="str">
        <f t="shared" si="31"/>
        <v>Interest Earnings (361-*)</v>
      </c>
    </row>
    <row r="301" spans="34:40">
      <c r="AH301" s="126">
        <v>36</v>
      </c>
      <c r="AI301" s="126" t="s">
        <v>1396</v>
      </c>
      <c r="AJ301" s="128">
        <f t="shared" si="29"/>
        <v>41609</v>
      </c>
      <c r="AK301" s="126">
        <f t="shared" si="30"/>
        <v>0</v>
      </c>
      <c r="AL301" s="126">
        <f t="array" ref="AL301">INDEX($Q$31:$Q$35,MATCH(AN301&amp;YEAR(AJ301),$A$31:$A$35&amp;YEAR($C$31:$C$35),0))</f>
        <v>0</v>
      </c>
      <c r="AM301" s="126" t="s">
        <v>1397</v>
      </c>
      <c r="AN301" s="126" t="str">
        <f t="shared" si="31"/>
        <v>Interest Earnings (361-*)</v>
      </c>
    </row>
    <row r="302" spans="34:40">
      <c r="AH302" s="126">
        <v>37</v>
      </c>
      <c r="AI302" s="126" t="s">
        <v>1396</v>
      </c>
      <c r="AJ302" s="128">
        <f t="shared" si="29"/>
        <v>40909</v>
      </c>
      <c r="AK302" s="126">
        <f t="shared" si="30"/>
        <v>148616.32999999999</v>
      </c>
      <c r="AL302" s="126">
        <f t="array" ref="AL302">INDEX($Q$31:$Q$35,MATCH(AN302&amp;YEAR(AJ302),$A$31:$A$35&amp;YEAR($C$31:$C$35),0))</f>
        <v>0</v>
      </c>
      <c r="AM302" s="126" t="s">
        <v>1397</v>
      </c>
      <c r="AN302" s="126" t="str">
        <f t="shared" si="31"/>
        <v>Transfer from Other Funds (370-**)</v>
      </c>
    </row>
    <row r="303" spans="34:40">
      <c r="AH303" s="126">
        <v>38</v>
      </c>
      <c r="AI303" s="126" t="s">
        <v>1396</v>
      </c>
      <c r="AJ303" s="128">
        <f t="shared" si="29"/>
        <v>40940</v>
      </c>
      <c r="AK303" s="126">
        <f t="shared" si="30"/>
        <v>148616.32999999999</v>
      </c>
      <c r="AL303" s="126">
        <f t="array" ref="AL303">INDEX($Q$31:$Q$35,MATCH(AN303&amp;YEAR(AJ303),$A$31:$A$35&amp;YEAR($C$31:$C$35),0))</f>
        <v>0</v>
      </c>
      <c r="AM303" s="126" t="s">
        <v>1397</v>
      </c>
      <c r="AN303" s="126" t="str">
        <f t="shared" si="31"/>
        <v>Transfer from Other Funds (370-**)</v>
      </c>
    </row>
    <row r="304" spans="34:40">
      <c r="AH304" s="126">
        <v>39</v>
      </c>
      <c r="AI304" s="126" t="s">
        <v>1396</v>
      </c>
      <c r="AJ304" s="128">
        <f t="shared" si="29"/>
        <v>40969</v>
      </c>
      <c r="AK304" s="126">
        <f t="shared" si="30"/>
        <v>148616.32999999999</v>
      </c>
      <c r="AL304" s="126">
        <f t="array" ref="AL304">INDEX($Q$31:$Q$35,MATCH(AN304&amp;YEAR(AJ304),$A$31:$A$35&amp;YEAR($C$31:$C$35),0))</f>
        <v>0</v>
      </c>
      <c r="AM304" s="126" t="s">
        <v>1397</v>
      </c>
      <c r="AN304" s="126" t="str">
        <f t="shared" si="31"/>
        <v>Transfer from Other Funds (370-**)</v>
      </c>
    </row>
    <row r="305" spans="34:40">
      <c r="AH305" s="126">
        <v>40</v>
      </c>
      <c r="AI305" s="126" t="s">
        <v>1396</v>
      </c>
      <c r="AJ305" s="128">
        <f t="shared" si="29"/>
        <v>41000</v>
      </c>
      <c r="AK305" s="126">
        <f t="shared" si="30"/>
        <v>148616.32999999999</v>
      </c>
      <c r="AL305" s="126">
        <f t="array" ref="AL305">INDEX($Q$31:$Q$35,MATCH(AN305&amp;YEAR(AJ305),$A$31:$A$35&amp;YEAR($C$31:$C$35),0))</f>
        <v>0</v>
      </c>
      <c r="AM305" s="126" t="s">
        <v>1397</v>
      </c>
      <c r="AN305" s="126" t="str">
        <f t="shared" si="31"/>
        <v>Transfer from Other Funds (370-**)</v>
      </c>
    </row>
    <row r="306" spans="34:40">
      <c r="AH306" s="126">
        <v>41</v>
      </c>
      <c r="AI306" s="126" t="s">
        <v>1396</v>
      </c>
      <c r="AJ306" s="128">
        <f t="shared" si="29"/>
        <v>41030</v>
      </c>
      <c r="AK306" s="126">
        <f t="shared" si="30"/>
        <v>148616.32999999999</v>
      </c>
      <c r="AL306" s="126">
        <f t="array" ref="AL306">INDEX($Q$31:$Q$35,MATCH(AN306&amp;YEAR(AJ306),$A$31:$A$35&amp;YEAR($C$31:$C$35),0))</f>
        <v>0</v>
      </c>
      <c r="AM306" s="126" t="s">
        <v>1397</v>
      </c>
      <c r="AN306" s="126" t="str">
        <f t="shared" si="31"/>
        <v>Transfer from Other Funds (370-**)</v>
      </c>
    </row>
    <row r="307" spans="34:40">
      <c r="AH307" s="126">
        <v>42</v>
      </c>
      <c r="AI307" s="126" t="s">
        <v>1396</v>
      </c>
      <c r="AJ307" s="128">
        <f t="shared" si="29"/>
        <v>41061</v>
      </c>
      <c r="AK307" s="126">
        <f t="shared" si="30"/>
        <v>148616.32999999999</v>
      </c>
      <c r="AL307" s="126">
        <f t="array" ref="AL307">INDEX($Q$31:$Q$35,MATCH(AN307&amp;YEAR(AJ307),$A$31:$A$35&amp;YEAR($C$31:$C$35),0))</f>
        <v>0</v>
      </c>
      <c r="AM307" s="126" t="s">
        <v>1397</v>
      </c>
      <c r="AN307" s="126" t="str">
        <f t="shared" si="31"/>
        <v>Transfer from Other Funds (370-**)</v>
      </c>
    </row>
    <row r="308" spans="34:40">
      <c r="AH308" s="126">
        <v>43</v>
      </c>
      <c r="AI308" s="126" t="s">
        <v>1396</v>
      </c>
      <c r="AJ308" s="128">
        <f t="shared" si="29"/>
        <v>41091</v>
      </c>
      <c r="AK308" s="126">
        <f t="shared" si="30"/>
        <v>148616.32999999999</v>
      </c>
      <c r="AL308" s="126">
        <f t="array" ref="AL308">INDEX($Q$31:$Q$35,MATCH(AN308&amp;YEAR(AJ308),$A$31:$A$35&amp;YEAR($C$31:$C$35),0))</f>
        <v>0</v>
      </c>
      <c r="AM308" s="126" t="s">
        <v>1397</v>
      </c>
      <c r="AN308" s="126" t="str">
        <f t="shared" si="31"/>
        <v>Transfer from Other Funds (370-**)</v>
      </c>
    </row>
    <row r="309" spans="34:40">
      <c r="AH309" s="126">
        <v>44</v>
      </c>
      <c r="AI309" s="126" t="s">
        <v>1396</v>
      </c>
      <c r="AJ309" s="128">
        <f t="shared" si="29"/>
        <v>41122</v>
      </c>
      <c r="AK309" s="126">
        <f t="shared" si="30"/>
        <v>148616.32999999999</v>
      </c>
      <c r="AL309" s="126">
        <f t="array" ref="AL309">INDEX($Q$31:$Q$35,MATCH(AN309&amp;YEAR(AJ309),$A$31:$A$35&amp;YEAR($C$31:$C$35),0))</f>
        <v>0</v>
      </c>
      <c r="AM309" s="126" t="s">
        <v>1397</v>
      </c>
      <c r="AN309" s="126" t="str">
        <f t="shared" si="31"/>
        <v>Transfer from Other Funds (370-**)</v>
      </c>
    </row>
    <row r="310" spans="34:40">
      <c r="AH310" s="126">
        <v>45</v>
      </c>
      <c r="AI310" s="126" t="s">
        <v>1396</v>
      </c>
      <c r="AJ310" s="128">
        <f t="shared" si="29"/>
        <v>41153</v>
      </c>
      <c r="AK310" s="126">
        <f t="shared" si="30"/>
        <v>148616.32999999999</v>
      </c>
      <c r="AL310" s="126">
        <f t="array" ref="AL310">INDEX($Q$31:$Q$35,MATCH(AN310&amp;YEAR(AJ310),$A$31:$A$35&amp;YEAR($C$31:$C$35),0))</f>
        <v>0</v>
      </c>
      <c r="AM310" s="126" t="s">
        <v>1397</v>
      </c>
      <c r="AN310" s="126" t="str">
        <f t="shared" si="31"/>
        <v>Transfer from Other Funds (370-**)</v>
      </c>
    </row>
    <row r="311" spans="34:40">
      <c r="AH311" s="126">
        <v>46</v>
      </c>
      <c r="AI311" s="126" t="s">
        <v>1396</v>
      </c>
      <c r="AJ311" s="128">
        <f t="shared" si="29"/>
        <v>41183</v>
      </c>
      <c r="AK311" s="126">
        <f t="shared" si="30"/>
        <v>934685.64</v>
      </c>
      <c r="AL311" s="126">
        <f t="array" ref="AL311">INDEX($Q$31:$Q$35,MATCH(AN311&amp;YEAR(AJ311),$A$31:$A$35&amp;YEAR($C$31:$C$35),0))</f>
        <v>0</v>
      </c>
      <c r="AM311" s="126" t="s">
        <v>1397</v>
      </c>
      <c r="AN311" s="126" t="str">
        <f t="shared" si="31"/>
        <v>Transfer from Other Funds (370-**)</v>
      </c>
    </row>
    <row r="312" spans="34:40">
      <c r="AH312" s="126">
        <v>47</v>
      </c>
      <c r="AI312" s="126" t="s">
        <v>1396</v>
      </c>
      <c r="AJ312" s="128">
        <f t="shared" si="29"/>
        <v>41214</v>
      </c>
      <c r="AK312" s="126">
        <f t="shared" si="30"/>
        <v>187683.61</v>
      </c>
      <c r="AL312" s="126">
        <f t="array" ref="AL312">INDEX($Q$31:$Q$35,MATCH(AN312&amp;YEAR(AJ312),$A$31:$A$35&amp;YEAR($C$31:$C$35),0))</f>
        <v>0</v>
      </c>
      <c r="AM312" s="126" t="s">
        <v>1397</v>
      </c>
      <c r="AN312" s="126" t="str">
        <f t="shared" si="31"/>
        <v>Transfer from Other Funds (370-**)</v>
      </c>
    </row>
    <row r="313" spans="34:40">
      <c r="AH313" s="126">
        <v>48</v>
      </c>
      <c r="AI313" s="126" t="s">
        <v>1396</v>
      </c>
      <c r="AJ313" s="128">
        <f t="shared" si="29"/>
        <v>41244</v>
      </c>
      <c r="AK313" s="126">
        <f t="shared" si="30"/>
        <v>187683.61</v>
      </c>
      <c r="AL313" s="126">
        <f t="array" ref="AL313">INDEX($Q$31:$Q$35,MATCH(AN313&amp;YEAR(AJ313),$A$31:$A$35&amp;YEAR($C$31:$C$35),0))</f>
        <v>0</v>
      </c>
      <c r="AM313" s="126" t="s">
        <v>1397</v>
      </c>
      <c r="AN313" s="126" t="str">
        <f t="shared" si="31"/>
        <v>Transfer from Other Funds (370-**)</v>
      </c>
    </row>
    <row r="314" spans="34:40">
      <c r="AH314" s="126">
        <v>49</v>
      </c>
      <c r="AI314" s="126" t="s">
        <v>1396</v>
      </c>
      <c r="AJ314" s="128">
        <f t="shared" si="29"/>
        <v>41275</v>
      </c>
      <c r="AK314" s="126">
        <f t="shared" si="30"/>
        <v>187683.61</v>
      </c>
      <c r="AL314" s="126">
        <f t="array" ref="AL314">INDEX($Q$31:$Q$35,MATCH(AN314&amp;YEAR(AJ314),$A$31:$A$35&amp;YEAR($C$31:$C$35),0))</f>
        <v>0</v>
      </c>
      <c r="AM314" s="126" t="s">
        <v>1397</v>
      </c>
      <c r="AN314" s="126" t="str">
        <f t="shared" si="31"/>
        <v>Transfer from Other Funds (370-**)</v>
      </c>
    </row>
    <row r="315" spans="34:40">
      <c r="AH315" s="126">
        <v>50</v>
      </c>
      <c r="AI315" s="126" t="s">
        <v>1396</v>
      </c>
      <c r="AJ315" s="128">
        <f t="shared" si="29"/>
        <v>41306</v>
      </c>
      <c r="AK315" s="126">
        <f t="shared" si="30"/>
        <v>187683.61</v>
      </c>
      <c r="AL315" s="126">
        <f t="array" ref="AL315">INDEX($Q$31:$Q$35,MATCH(AN315&amp;YEAR(AJ315),$A$31:$A$35&amp;YEAR($C$31:$C$35),0))</f>
        <v>0</v>
      </c>
      <c r="AM315" s="126" t="s">
        <v>1397</v>
      </c>
      <c r="AN315" s="126" t="str">
        <f t="shared" si="31"/>
        <v>Transfer from Other Funds (370-**)</v>
      </c>
    </row>
    <row r="316" spans="34:40">
      <c r="AH316" s="126">
        <v>51</v>
      </c>
      <c r="AI316" s="126" t="s">
        <v>1396</v>
      </c>
      <c r="AJ316" s="128">
        <f t="shared" si="29"/>
        <v>41334</v>
      </c>
      <c r="AK316" s="126">
        <f t="shared" si="30"/>
        <v>188285.53</v>
      </c>
      <c r="AL316" s="126">
        <f t="array" ref="AL316">INDEX($Q$31:$Q$35,MATCH(AN316&amp;YEAR(AJ316),$A$31:$A$35&amp;YEAR($C$31:$C$35),0))</f>
        <v>0</v>
      </c>
      <c r="AM316" s="126" t="s">
        <v>1397</v>
      </c>
      <c r="AN316" s="126" t="str">
        <f t="shared" si="31"/>
        <v>Transfer from Other Funds (370-**)</v>
      </c>
    </row>
    <row r="317" spans="34:40">
      <c r="AH317" s="126">
        <v>52</v>
      </c>
      <c r="AI317" s="126" t="s">
        <v>1396</v>
      </c>
      <c r="AJ317" s="128">
        <f t="shared" si="29"/>
        <v>41365</v>
      </c>
      <c r="AK317" s="126">
        <f t="shared" si="30"/>
        <v>188285.53</v>
      </c>
      <c r="AL317" s="126">
        <f t="array" ref="AL317">INDEX($Q$31:$Q$35,MATCH(AN317&amp;YEAR(AJ317),$A$31:$A$35&amp;YEAR($C$31:$C$35),0))</f>
        <v>0</v>
      </c>
      <c r="AM317" s="126" t="s">
        <v>1397</v>
      </c>
      <c r="AN317" s="126" t="str">
        <f t="shared" si="31"/>
        <v>Transfer from Other Funds (370-**)</v>
      </c>
    </row>
    <row r="318" spans="34:40">
      <c r="AH318" s="126">
        <v>53</v>
      </c>
      <c r="AI318" s="126" t="s">
        <v>1396</v>
      </c>
      <c r="AJ318" s="128">
        <f t="shared" si="29"/>
        <v>41395</v>
      </c>
      <c r="AK318" s="126">
        <f t="shared" si="30"/>
        <v>188285.53</v>
      </c>
      <c r="AL318" s="126">
        <f t="array" ref="AL318">INDEX($Q$31:$Q$35,MATCH(AN318&amp;YEAR(AJ318),$A$31:$A$35&amp;YEAR($C$31:$C$35),0))</f>
        <v>0</v>
      </c>
      <c r="AM318" s="126" t="s">
        <v>1397</v>
      </c>
      <c r="AN318" s="126" t="str">
        <f t="shared" si="31"/>
        <v>Transfer from Other Funds (370-**)</v>
      </c>
    </row>
    <row r="319" spans="34:40">
      <c r="AH319" s="126">
        <v>54</v>
      </c>
      <c r="AI319" s="126" t="s">
        <v>1396</v>
      </c>
      <c r="AJ319" s="128">
        <f t="shared" si="29"/>
        <v>41426</v>
      </c>
      <c r="AK319" s="126">
        <f t="shared" si="30"/>
        <v>0</v>
      </c>
      <c r="AL319" s="126">
        <f t="array" ref="AL319">INDEX($Q$31:$Q$35,MATCH(AN319&amp;YEAR(AJ319),$A$31:$A$35&amp;YEAR($C$31:$C$35),0))</f>
        <v>0</v>
      </c>
      <c r="AM319" s="126" t="s">
        <v>1397</v>
      </c>
      <c r="AN319" s="126" t="str">
        <f t="shared" si="31"/>
        <v>Transfer from Other Funds (370-**)</v>
      </c>
    </row>
    <row r="320" spans="34:40">
      <c r="AH320" s="126">
        <v>55</v>
      </c>
      <c r="AI320" s="126" t="s">
        <v>1396</v>
      </c>
      <c r="AJ320" s="128">
        <f t="shared" si="29"/>
        <v>41456</v>
      </c>
      <c r="AK320" s="126">
        <f t="shared" si="30"/>
        <v>0</v>
      </c>
      <c r="AL320" s="126">
        <f t="array" ref="AL320">INDEX($Q$31:$Q$35,MATCH(AN320&amp;YEAR(AJ320),$A$31:$A$35&amp;YEAR($C$31:$C$35),0))</f>
        <v>0</v>
      </c>
      <c r="AM320" s="126" t="s">
        <v>1397</v>
      </c>
      <c r="AN320" s="126" t="str">
        <f t="shared" si="31"/>
        <v>Transfer from Other Funds (370-**)</v>
      </c>
    </row>
    <row r="321" spans="33:40">
      <c r="AH321" s="126">
        <v>56</v>
      </c>
      <c r="AI321" s="126" t="s">
        <v>1396</v>
      </c>
      <c r="AJ321" s="128">
        <f t="shared" si="29"/>
        <v>41487</v>
      </c>
      <c r="AK321" s="126">
        <f t="shared" si="30"/>
        <v>0</v>
      </c>
      <c r="AL321" s="126">
        <f t="array" ref="AL321">INDEX($Q$31:$Q$35,MATCH(AN321&amp;YEAR(AJ321),$A$31:$A$35&amp;YEAR($C$31:$C$35),0))</f>
        <v>0</v>
      </c>
      <c r="AM321" s="126" t="s">
        <v>1397</v>
      </c>
      <c r="AN321" s="126" t="str">
        <f t="shared" si="31"/>
        <v>Transfer from Other Funds (370-**)</v>
      </c>
    </row>
    <row r="322" spans="33:40">
      <c r="AH322" s="126">
        <v>57</v>
      </c>
      <c r="AI322" s="126" t="s">
        <v>1396</v>
      </c>
      <c r="AJ322" s="128">
        <f t="shared" si="29"/>
        <v>41518</v>
      </c>
      <c r="AK322" s="126">
        <f t="shared" si="30"/>
        <v>0</v>
      </c>
      <c r="AL322" s="126">
        <f t="array" ref="AL322">INDEX($Q$31:$Q$35,MATCH(AN322&amp;YEAR(AJ322),$A$31:$A$35&amp;YEAR($C$31:$C$35),0))</f>
        <v>0</v>
      </c>
      <c r="AM322" s="126" t="s">
        <v>1397</v>
      </c>
      <c r="AN322" s="126" t="str">
        <f t="shared" si="31"/>
        <v>Transfer from Other Funds (370-**)</v>
      </c>
    </row>
    <row r="323" spans="33:40">
      <c r="AH323" s="126">
        <v>58</v>
      </c>
      <c r="AI323" s="126" t="s">
        <v>1396</v>
      </c>
      <c r="AJ323" s="128">
        <f t="shared" si="29"/>
        <v>41548</v>
      </c>
      <c r="AK323" s="126">
        <f t="shared" si="30"/>
        <v>0</v>
      </c>
      <c r="AL323" s="126">
        <f t="array" ref="AL323">INDEX($Q$31:$Q$35,MATCH(AN323&amp;YEAR(AJ323),$A$31:$A$35&amp;YEAR($C$31:$C$35),0))</f>
        <v>0</v>
      </c>
      <c r="AM323" s="126" t="s">
        <v>1397</v>
      </c>
      <c r="AN323" s="126" t="str">
        <f t="shared" si="31"/>
        <v>Transfer from Other Funds (370-**)</v>
      </c>
    </row>
    <row r="324" spans="33:40">
      <c r="AH324" s="126">
        <v>59</v>
      </c>
      <c r="AI324" s="126" t="s">
        <v>1396</v>
      </c>
      <c r="AJ324" s="128">
        <f t="shared" si="29"/>
        <v>41579</v>
      </c>
      <c r="AK324" s="126">
        <f t="shared" si="30"/>
        <v>0</v>
      </c>
      <c r="AL324" s="126">
        <f t="array" ref="AL324">INDEX($Q$31:$Q$35,MATCH(AN324&amp;YEAR(AJ324),$A$31:$A$35&amp;YEAR($C$31:$C$35),0))</f>
        <v>0</v>
      </c>
      <c r="AM324" s="126" t="s">
        <v>1397</v>
      </c>
      <c r="AN324" s="126" t="str">
        <f t="shared" si="31"/>
        <v>Transfer from Other Funds (370-**)</v>
      </c>
    </row>
    <row r="325" spans="33:40">
      <c r="AH325" s="126">
        <v>60</v>
      </c>
      <c r="AI325" s="126" t="s">
        <v>1396</v>
      </c>
      <c r="AJ325" s="128">
        <f t="shared" si="29"/>
        <v>41609</v>
      </c>
      <c r="AK325" s="126">
        <f t="shared" si="30"/>
        <v>0</v>
      </c>
      <c r="AL325" s="126">
        <f t="array" ref="AL325">INDEX($Q$31:$Q$35,MATCH(AN325&amp;YEAR(AJ325),$A$31:$A$35&amp;YEAR($C$31:$C$35),0))</f>
        <v>0</v>
      </c>
      <c r="AM325" s="126" t="s">
        <v>1397</v>
      </c>
      <c r="AN325" s="126" t="str">
        <f t="shared" si="31"/>
        <v>Transfer from Other Funds (370-**)</v>
      </c>
    </row>
    <row r="326" spans="33:40">
      <c r="AG326" s="126">
        <f>4*12</f>
        <v>48</v>
      </c>
      <c r="AH326" s="126">
        <v>1</v>
      </c>
      <c r="AI326" s="126" t="s">
        <v>1396</v>
      </c>
      <c r="AJ326" s="128">
        <f t="shared" ref="AJ326:AJ373" si="32">DATE(YEAR(INDEX($C$41:$O$45,INT((AH326+11)/12)+1,1)),IF(MOD(AH326,12)&lt;&gt;0,MOD(AH326,12),12),1)</f>
        <v>40909</v>
      </c>
      <c r="AK326" s="126">
        <f t="shared" ref="AK326:AK373" si="33">INDEX($D$42:$O$45,INT((AH326+11)/12),AH326-(12*(INT((AH326+11)/12)-1)))</f>
        <v>0</v>
      </c>
      <c r="AL326" s="126">
        <f t="array" ref="AL326">INDEX($Q$42:$Q$45,MATCH(AN326&amp;YEAR(AJ326),$A$42:$A$45&amp;YEAR($C$42:$C$45),0))</f>
        <v>0</v>
      </c>
      <c r="AM326" s="126" t="s">
        <v>1395</v>
      </c>
      <c r="AN326" s="126" t="str">
        <f t="shared" ref="AN326:AN373" si="34">INDEX($A$42:$A$45,INT((AH326+11)/12))</f>
        <v>Interest Earnings (361-*)</v>
      </c>
    </row>
    <row r="327" spans="33:40">
      <c r="AH327" s="126">
        <v>2</v>
      </c>
      <c r="AI327" s="126" t="s">
        <v>1396</v>
      </c>
      <c r="AJ327" s="128">
        <f t="shared" si="32"/>
        <v>40940</v>
      </c>
      <c r="AK327" s="126">
        <f t="shared" si="33"/>
        <v>0</v>
      </c>
      <c r="AL327" s="126">
        <f t="array" ref="AL327">INDEX($Q$42:$Q$45,MATCH(AN327&amp;YEAR(AJ327),$A$42:$A$45&amp;YEAR($C$42:$C$45),0))</f>
        <v>0</v>
      </c>
      <c r="AM327" s="126" t="s">
        <v>1395</v>
      </c>
      <c r="AN327" s="126" t="str">
        <f t="shared" si="34"/>
        <v>Interest Earnings (361-*)</v>
      </c>
    </row>
    <row r="328" spans="33:40">
      <c r="AH328" s="126">
        <v>3</v>
      </c>
      <c r="AI328" s="126" t="s">
        <v>1396</v>
      </c>
      <c r="AJ328" s="128">
        <f t="shared" si="32"/>
        <v>40969</v>
      </c>
      <c r="AK328" s="126">
        <f t="shared" si="33"/>
        <v>0</v>
      </c>
      <c r="AL328" s="126">
        <f t="array" ref="AL328">INDEX($Q$42:$Q$45,MATCH(AN328&amp;YEAR(AJ328),$A$42:$A$45&amp;YEAR($C$42:$C$45),0))</f>
        <v>0</v>
      </c>
      <c r="AM328" s="126" t="s">
        <v>1395</v>
      </c>
      <c r="AN328" s="126" t="str">
        <f t="shared" si="34"/>
        <v>Interest Earnings (361-*)</v>
      </c>
    </row>
    <row r="329" spans="33:40">
      <c r="AH329" s="126">
        <v>4</v>
      </c>
      <c r="AI329" s="126" t="s">
        <v>1396</v>
      </c>
      <c r="AJ329" s="128">
        <f t="shared" si="32"/>
        <v>41000</v>
      </c>
      <c r="AK329" s="126">
        <f t="shared" si="33"/>
        <v>0</v>
      </c>
      <c r="AL329" s="126">
        <f t="array" ref="AL329">INDEX($Q$42:$Q$45,MATCH(AN329&amp;YEAR(AJ329),$A$42:$A$45&amp;YEAR($C$42:$C$45),0))</f>
        <v>0</v>
      </c>
      <c r="AM329" s="126" t="s">
        <v>1395</v>
      </c>
      <c r="AN329" s="126" t="str">
        <f t="shared" si="34"/>
        <v>Interest Earnings (361-*)</v>
      </c>
    </row>
    <row r="330" spans="33:40">
      <c r="AH330" s="126">
        <v>5</v>
      </c>
      <c r="AI330" s="126" t="s">
        <v>1396</v>
      </c>
      <c r="AJ330" s="128">
        <f t="shared" si="32"/>
        <v>41030</v>
      </c>
      <c r="AK330" s="126">
        <f t="shared" si="33"/>
        <v>0</v>
      </c>
      <c r="AL330" s="126">
        <f t="array" ref="AL330">INDEX($Q$42:$Q$45,MATCH(AN330&amp;YEAR(AJ330),$A$42:$A$45&amp;YEAR($C$42:$C$45),0))</f>
        <v>0</v>
      </c>
      <c r="AM330" s="126" t="s">
        <v>1395</v>
      </c>
      <c r="AN330" s="126" t="str">
        <f t="shared" si="34"/>
        <v>Interest Earnings (361-*)</v>
      </c>
    </row>
    <row r="331" spans="33:40">
      <c r="AH331" s="126">
        <v>6</v>
      </c>
      <c r="AI331" s="126" t="s">
        <v>1396</v>
      </c>
      <c r="AJ331" s="128">
        <f t="shared" si="32"/>
        <v>41061</v>
      </c>
      <c r="AK331" s="126">
        <f t="shared" si="33"/>
        <v>0</v>
      </c>
      <c r="AL331" s="126">
        <f t="array" ref="AL331">INDEX($Q$42:$Q$45,MATCH(AN331&amp;YEAR(AJ331),$A$42:$A$45&amp;YEAR($C$42:$C$45),0))</f>
        <v>0</v>
      </c>
      <c r="AM331" s="126" t="s">
        <v>1395</v>
      </c>
      <c r="AN331" s="126" t="str">
        <f t="shared" si="34"/>
        <v>Interest Earnings (361-*)</v>
      </c>
    </row>
    <row r="332" spans="33:40">
      <c r="AH332" s="126">
        <v>7</v>
      </c>
      <c r="AI332" s="126" t="s">
        <v>1396</v>
      </c>
      <c r="AJ332" s="128">
        <f t="shared" si="32"/>
        <v>41091</v>
      </c>
      <c r="AK332" s="126">
        <f t="shared" si="33"/>
        <v>0</v>
      </c>
      <c r="AL332" s="126">
        <f t="array" ref="AL332">INDEX($Q$42:$Q$45,MATCH(AN332&amp;YEAR(AJ332),$A$42:$A$45&amp;YEAR($C$42:$C$45),0))</f>
        <v>0</v>
      </c>
      <c r="AM332" s="126" t="s">
        <v>1395</v>
      </c>
      <c r="AN332" s="126" t="str">
        <f t="shared" si="34"/>
        <v>Interest Earnings (361-*)</v>
      </c>
    </row>
    <row r="333" spans="33:40">
      <c r="AH333" s="126">
        <v>8</v>
      </c>
      <c r="AI333" s="126" t="s">
        <v>1396</v>
      </c>
      <c r="AJ333" s="128">
        <f t="shared" si="32"/>
        <v>41122</v>
      </c>
      <c r="AK333" s="126">
        <f t="shared" si="33"/>
        <v>0</v>
      </c>
      <c r="AL333" s="126">
        <f t="array" ref="AL333">INDEX($Q$42:$Q$45,MATCH(AN333&amp;YEAR(AJ333),$A$42:$A$45&amp;YEAR($C$42:$C$45),0))</f>
        <v>0</v>
      </c>
      <c r="AM333" s="126" t="s">
        <v>1395</v>
      </c>
      <c r="AN333" s="126" t="str">
        <f t="shared" si="34"/>
        <v>Interest Earnings (361-*)</v>
      </c>
    </row>
    <row r="334" spans="33:40">
      <c r="AH334" s="126">
        <v>9</v>
      </c>
      <c r="AI334" s="126" t="s">
        <v>1396</v>
      </c>
      <c r="AJ334" s="128">
        <f t="shared" si="32"/>
        <v>41153</v>
      </c>
      <c r="AK334" s="126">
        <f t="shared" si="33"/>
        <v>0</v>
      </c>
      <c r="AL334" s="126">
        <f t="array" ref="AL334">INDEX($Q$42:$Q$45,MATCH(AN334&amp;YEAR(AJ334),$A$42:$A$45&amp;YEAR($C$42:$C$45),0))</f>
        <v>0</v>
      </c>
      <c r="AM334" s="126" t="s">
        <v>1395</v>
      </c>
      <c r="AN334" s="126" t="str">
        <f t="shared" si="34"/>
        <v>Interest Earnings (361-*)</v>
      </c>
    </row>
    <row r="335" spans="33:40">
      <c r="AH335" s="126">
        <v>10</v>
      </c>
      <c r="AI335" s="126" t="s">
        <v>1396</v>
      </c>
      <c r="AJ335" s="128">
        <f t="shared" si="32"/>
        <v>41183</v>
      </c>
      <c r="AK335" s="126">
        <f t="shared" si="33"/>
        <v>0</v>
      </c>
      <c r="AL335" s="126">
        <f t="array" ref="AL335">INDEX($Q$42:$Q$45,MATCH(AN335&amp;YEAR(AJ335),$A$42:$A$45&amp;YEAR($C$42:$C$45),0))</f>
        <v>0</v>
      </c>
      <c r="AM335" s="126" t="s">
        <v>1395</v>
      </c>
      <c r="AN335" s="126" t="str">
        <f t="shared" si="34"/>
        <v>Interest Earnings (361-*)</v>
      </c>
    </row>
    <row r="336" spans="33:40">
      <c r="AH336" s="126">
        <v>11</v>
      </c>
      <c r="AI336" s="126" t="s">
        <v>1396</v>
      </c>
      <c r="AJ336" s="128">
        <f t="shared" si="32"/>
        <v>41214</v>
      </c>
      <c r="AK336" s="126">
        <f t="shared" si="33"/>
        <v>5915.68</v>
      </c>
      <c r="AL336" s="126">
        <f t="array" ref="AL336">INDEX($Q$42:$Q$45,MATCH(AN336&amp;YEAR(AJ336),$A$42:$A$45&amp;YEAR($C$42:$C$45),0))</f>
        <v>0</v>
      </c>
      <c r="AM336" s="126" t="s">
        <v>1395</v>
      </c>
      <c r="AN336" s="126" t="str">
        <f t="shared" si="34"/>
        <v>Interest Earnings (361-*)</v>
      </c>
    </row>
    <row r="337" spans="34:40">
      <c r="AH337" s="126">
        <v>12</v>
      </c>
      <c r="AI337" s="126" t="s">
        <v>1396</v>
      </c>
      <c r="AJ337" s="128">
        <f t="shared" si="32"/>
        <v>41244</v>
      </c>
      <c r="AK337" s="126">
        <f t="shared" si="33"/>
        <v>6593.04</v>
      </c>
      <c r="AL337" s="126">
        <f t="array" ref="AL337">INDEX($Q$42:$Q$45,MATCH(AN337&amp;YEAR(AJ337),$A$42:$A$45&amp;YEAR($C$42:$C$45),0))</f>
        <v>0</v>
      </c>
      <c r="AM337" s="126" t="s">
        <v>1395</v>
      </c>
      <c r="AN337" s="126" t="str">
        <f t="shared" si="34"/>
        <v>Interest Earnings (361-*)</v>
      </c>
    </row>
    <row r="338" spans="34:40">
      <c r="AH338" s="126">
        <v>13</v>
      </c>
      <c r="AI338" s="126" t="s">
        <v>1396</v>
      </c>
      <c r="AJ338" s="128">
        <f t="shared" si="32"/>
        <v>41275</v>
      </c>
      <c r="AK338" s="126">
        <f t="shared" si="33"/>
        <v>1042.33</v>
      </c>
      <c r="AL338" s="126">
        <f t="array" ref="AL338">INDEX($Q$42:$Q$45,MATCH(AN338&amp;YEAR(AJ338),$A$42:$A$45&amp;YEAR($C$42:$C$45),0))</f>
        <v>0</v>
      </c>
      <c r="AM338" s="126" t="s">
        <v>1395</v>
      </c>
      <c r="AN338" s="126" t="str">
        <f t="shared" si="34"/>
        <v>Interest Earnings (361-*)</v>
      </c>
    </row>
    <row r="339" spans="34:40">
      <c r="AH339" s="126">
        <v>14</v>
      </c>
      <c r="AI339" s="126" t="s">
        <v>1396</v>
      </c>
      <c r="AJ339" s="128">
        <f t="shared" si="32"/>
        <v>41306</v>
      </c>
      <c r="AK339" s="126">
        <f t="shared" si="33"/>
        <v>874.1</v>
      </c>
      <c r="AL339" s="126">
        <f t="array" ref="AL339">INDEX($Q$42:$Q$45,MATCH(AN339&amp;YEAR(AJ339),$A$42:$A$45&amp;YEAR($C$42:$C$45),0))</f>
        <v>0</v>
      </c>
      <c r="AM339" s="126" t="s">
        <v>1395</v>
      </c>
      <c r="AN339" s="126" t="str">
        <f t="shared" si="34"/>
        <v>Interest Earnings (361-*)</v>
      </c>
    </row>
    <row r="340" spans="34:40">
      <c r="AH340" s="126">
        <v>15</v>
      </c>
      <c r="AI340" s="126" t="s">
        <v>1396</v>
      </c>
      <c r="AJ340" s="128">
        <f t="shared" si="32"/>
        <v>41334</v>
      </c>
      <c r="AK340" s="126">
        <f t="shared" si="33"/>
        <v>871.01</v>
      </c>
      <c r="AL340" s="126">
        <f t="array" ref="AL340">INDEX($Q$42:$Q$45,MATCH(AN340&amp;YEAR(AJ340),$A$42:$A$45&amp;YEAR($C$42:$C$45),0))</f>
        <v>0</v>
      </c>
      <c r="AM340" s="126" t="s">
        <v>1395</v>
      </c>
      <c r="AN340" s="126" t="str">
        <f t="shared" si="34"/>
        <v>Interest Earnings (361-*)</v>
      </c>
    </row>
    <row r="341" spans="34:40">
      <c r="AH341" s="126">
        <v>16</v>
      </c>
      <c r="AI341" s="126" t="s">
        <v>1396</v>
      </c>
      <c r="AJ341" s="128">
        <f t="shared" si="32"/>
        <v>41365</v>
      </c>
      <c r="AK341" s="126">
        <f t="shared" si="33"/>
        <v>788.14</v>
      </c>
      <c r="AL341" s="126">
        <f t="array" ref="AL341">INDEX($Q$42:$Q$45,MATCH(AN341&amp;YEAR(AJ341),$A$42:$A$45&amp;YEAR($C$42:$C$45),0))</f>
        <v>0</v>
      </c>
      <c r="AM341" s="126" t="s">
        <v>1395</v>
      </c>
      <c r="AN341" s="126" t="str">
        <f t="shared" si="34"/>
        <v>Interest Earnings (361-*)</v>
      </c>
    </row>
    <row r="342" spans="34:40">
      <c r="AH342" s="126">
        <v>17</v>
      </c>
      <c r="AI342" s="126" t="s">
        <v>1396</v>
      </c>
      <c r="AJ342" s="128">
        <f t="shared" si="32"/>
        <v>41395</v>
      </c>
      <c r="AK342" s="126">
        <f t="shared" si="33"/>
        <v>754.98</v>
      </c>
      <c r="AL342" s="126">
        <f t="array" ref="AL342">INDEX($Q$42:$Q$45,MATCH(AN342&amp;YEAR(AJ342),$A$42:$A$45&amp;YEAR($C$42:$C$45),0))</f>
        <v>0</v>
      </c>
      <c r="AM342" s="126" t="s">
        <v>1395</v>
      </c>
      <c r="AN342" s="126" t="str">
        <f t="shared" si="34"/>
        <v>Interest Earnings (361-*)</v>
      </c>
    </row>
    <row r="343" spans="34:40">
      <c r="AH343" s="126">
        <v>18</v>
      </c>
      <c r="AI343" s="126" t="s">
        <v>1396</v>
      </c>
      <c r="AJ343" s="128">
        <f t="shared" si="32"/>
        <v>41426</v>
      </c>
      <c r="AK343" s="126">
        <f t="shared" si="33"/>
        <v>0</v>
      </c>
      <c r="AL343" s="126">
        <f t="array" ref="AL343">INDEX($Q$42:$Q$45,MATCH(AN343&amp;YEAR(AJ343),$A$42:$A$45&amp;YEAR($C$42:$C$45),0))</f>
        <v>0</v>
      </c>
      <c r="AM343" s="126" t="s">
        <v>1395</v>
      </c>
      <c r="AN343" s="126" t="str">
        <f t="shared" si="34"/>
        <v>Interest Earnings (361-*)</v>
      </c>
    </row>
    <row r="344" spans="34:40">
      <c r="AH344" s="126">
        <v>19</v>
      </c>
      <c r="AI344" s="126" t="s">
        <v>1396</v>
      </c>
      <c r="AJ344" s="128">
        <f t="shared" si="32"/>
        <v>41456</v>
      </c>
      <c r="AK344" s="126">
        <f t="shared" si="33"/>
        <v>0</v>
      </c>
      <c r="AL344" s="126">
        <f t="array" ref="AL344">INDEX($Q$42:$Q$45,MATCH(AN344&amp;YEAR(AJ344),$A$42:$A$45&amp;YEAR($C$42:$C$45),0))</f>
        <v>0</v>
      </c>
      <c r="AM344" s="126" t="s">
        <v>1395</v>
      </c>
      <c r="AN344" s="126" t="str">
        <f t="shared" si="34"/>
        <v>Interest Earnings (361-*)</v>
      </c>
    </row>
    <row r="345" spans="34:40">
      <c r="AH345" s="126">
        <v>20</v>
      </c>
      <c r="AI345" s="126" t="s">
        <v>1396</v>
      </c>
      <c r="AJ345" s="128">
        <f t="shared" si="32"/>
        <v>41487</v>
      </c>
      <c r="AK345" s="126">
        <f t="shared" si="33"/>
        <v>0</v>
      </c>
      <c r="AL345" s="126">
        <f t="array" ref="AL345">INDEX($Q$42:$Q$45,MATCH(AN345&amp;YEAR(AJ345),$A$42:$A$45&amp;YEAR($C$42:$C$45),0))</f>
        <v>0</v>
      </c>
      <c r="AM345" s="126" t="s">
        <v>1395</v>
      </c>
      <c r="AN345" s="126" t="str">
        <f t="shared" si="34"/>
        <v>Interest Earnings (361-*)</v>
      </c>
    </row>
    <row r="346" spans="34:40">
      <c r="AH346" s="126">
        <v>21</v>
      </c>
      <c r="AI346" s="126" t="s">
        <v>1396</v>
      </c>
      <c r="AJ346" s="128">
        <f t="shared" si="32"/>
        <v>41518</v>
      </c>
      <c r="AK346" s="126">
        <f t="shared" si="33"/>
        <v>0</v>
      </c>
      <c r="AL346" s="126">
        <f t="array" ref="AL346">INDEX($Q$42:$Q$45,MATCH(AN346&amp;YEAR(AJ346),$A$42:$A$45&amp;YEAR($C$42:$C$45),0))</f>
        <v>0</v>
      </c>
      <c r="AM346" s="126" t="s">
        <v>1395</v>
      </c>
      <c r="AN346" s="126" t="str">
        <f t="shared" si="34"/>
        <v>Interest Earnings (361-*)</v>
      </c>
    </row>
    <row r="347" spans="34:40">
      <c r="AH347" s="126">
        <v>22</v>
      </c>
      <c r="AI347" s="126" t="s">
        <v>1396</v>
      </c>
      <c r="AJ347" s="128">
        <f t="shared" si="32"/>
        <v>41548</v>
      </c>
      <c r="AK347" s="126">
        <f t="shared" si="33"/>
        <v>0</v>
      </c>
      <c r="AL347" s="126">
        <f t="array" ref="AL347">INDEX($Q$42:$Q$45,MATCH(AN347&amp;YEAR(AJ347),$A$42:$A$45&amp;YEAR($C$42:$C$45),0))</f>
        <v>0</v>
      </c>
      <c r="AM347" s="126" t="s">
        <v>1395</v>
      </c>
      <c r="AN347" s="126" t="str">
        <f t="shared" si="34"/>
        <v>Interest Earnings (361-*)</v>
      </c>
    </row>
    <row r="348" spans="34:40">
      <c r="AH348" s="126">
        <v>23</v>
      </c>
      <c r="AI348" s="126" t="s">
        <v>1396</v>
      </c>
      <c r="AJ348" s="128">
        <f t="shared" si="32"/>
        <v>41579</v>
      </c>
      <c r="AK348" s="126">
        <f t="shared" si="33"/>
        <v>0</v>
      </c>
      <c r="AL348" s="126">
        <f t="array" ref="AL348">INDEX($Q$42:$Q$45,MATCH(AN348&amp;YEAR(AJ348),$A$42:$A$45&amp;YEAR($C$42:$C$45),0))</f>
        <v>0</v>
      </c>
      <c r="AM348" s="126" t="s">
        <v>1395</v>
      </c>
      <c r="AN348" s="126" t="str">
        <f t="shared" si="34"/>
        <v>Interest Earnings (361-*)</v>
      </c>
    </row>
    <row r="349" spans="34:40">
      <c r="AH349" s="126">
        <v>24</v>
      </c>
      <c r="AI349" s="126" t="s">
        <v>1396</v>
      </c>
      <c r="AJ349" s="128">
        <f t="shared" si="32"/>
        <v>41609</v>
      </c>
      <c r="AK349" s="126">
        <f t="shared" si="33"/>
        <v>0</v>
      </c>
      <c r="AL349" s="126">
        <f t="array" ref="AL349">INDEX($Q$42:$Q$45,MATCH(AN349&amp;YEAR(AJ349),$A$42:$A$45&amp;YEAR($C$42:$C$45),0))</f>
        <v>0</v>
      </c>
      <c r="AM349" s="126" t="s">
        <v>1395</v>
      </c>
      <c r="AN349" s="126" t="str">
        <f t="shared" si="34"/>
        <v>Interest Earnings (361-*)</v>
      </c>
    </row>
    <row r="350" spans="34:40">
      <c r="AH350" s="126">
        <v>25</v>
      </c>
      <c r="AI350" s="126" t="s">
        <v>1396</v>
      </c>
      <c r="AJ350" s="128">
        <f t="shared" si="32"/>
        <v>40909</v>
      </c>
      <c r="AK350" s="126">
        <f t="shared" si="33"/>
        <v>0</v>
      </c>
      <c r="AL350" s="126">
        <f t="array" ref="AL350">INDEX($Q$42:$Q$45,MATCH(AN350&amp;YEAR(AJ350),$A$42:$A$45&amp;YEAR($C$42:$C$45),0))</f>
        <v>0</v>
      </c>
      <c r="AM350" s="126" t="s">
        <v>1395</v>
      </c>
      <c r="AN350" s="126" t="str">
        <f t="shared" si="34"/>
        <v>Transfer from Other Funds (370-**)</v>
      </c>
    </row>
    <row r="351" spans="34:40">
      <c r="AH351" s="126">
        <v>26</v>
      </c>
      <c r="AI351" s="126" t="s">
        <v>1396</v>
      </c>
      <c r="AJ351" s="128">
        <f t="shared" si="32"/>
        <v>40940</v>
      </c>
      <c r="AK351" s="126">
        <f t="shared" si="33"/>
        <v>0</v>
      </c>
      <c r="AL351" s="126">
        <f t="array" ref="AL351">INDEX($Q$42:$Q$45,MATCH(AN351&amp;YEAR(AJ351),$A$42:$A$45&amp;YEAR($C$42:$C$45),0))</f>
        <v>0</v>
      </c>
      <c r="AM351" s="126" t="s">
        <v>1395</v>
      </c>
      <c r="AN351" s="126" t="str">
        <f t="shared" si="34"/>
        <v>Transfer from Other Funds (370-**)</v>
      </c>
    </row>
    <row r="352" spans="34:40">
      <c r="AH352" s="126">
        <v>27</v>
      </c>
      <c r="AI352" s="126" t="s">
        <v>1396</v>
      </c>
      <c r="AJ352" s="128">
        <f t="shared" si="32"/>
        <v>40969</v>
      </c>
      <c r="AK352" s="126">
        <f t="shared" si="33"/>
        <v>0</v>
      </c>
      <c r="AL352" s="126">
        <f t="array" ref="AL352">INDEX($Q$42:$Q$45,MATCH(AN352&amp;YEAR(AJ352),$A$42:$A$45&amp;YEAR($C$42:$C$45),0))</f>
        <v>0</v>
      </c>
      <c r="AM352" s="126" t="s">
        <v>1395</v>
      </c>
      <c r="AN352" s="126" t="str">
        <f t="shared" si="34"/>
        <v>Transfer from Other Funds (370-**)</v>
      </c>
    </row>
    <row r="353" spans="34:40">
      <c r="AH353" s="126">
        <v>28</v>
      </c>
      <c r="AI353" s="126" t="s">
        <v>1396</v>
      </c>
      <c r="AJ353" s="128">
        <f t="shared" si="32"/>
        <v>41000</v>
      </c>
      <c r="AK353" s="126">
        <f t="shared" si="33"/>
        <v>0</v>
      </c>
      <c r="AL353" s="126">
        <f t="array" ref="AL353">INDEX($Q$42:$Q$45,MATCH(AN353&amp;YEAR(AJ353),$A$42:$A$45&amp;YEAR($C$42:$C$45),0))</f>
        <v>0</v>
      </c>
      <c r="AM353" s="126" t="s">
        <v>1395</v>
      </c>
      <c r="AN353" s="126" t="str">
        <f t="shared" si="34"/>
        <v>Transfer from Other Funds (370-**)</v>
      </c>
    </row>
    <row r="354" spans="34:40">
      <c r="AH354" s="126">
        <v>29</v>
      </c>
      <c r="AI354" s="126" t="s">
        <v>1396</v>
      </c>
      <c r="AJ354" s="128">
        <f t="shared" si="32"/>
        <v>41030</v>
      </c>
      <c r="AK354" s="126">
        <f t="shared" si="33"/>
        <v>0</v>
      </c>
      <c r="AL354" s="126">
        <f t="array" ref="AL354">INDEX($Q$42:$Q$45,MATCH(AN354&amp;YEAR(AJ354),$A$42:$A$45&amp;YEAR($C$42:$C$45),0))</f>
        <v>0</v>
      </c>
      <c r="AM354" s="126" t="s">
        <v>1395</v>
      </c>
      <c r="AN354" s="126" t="str">
        <f t="shared" si="34"/>
        <v>Transfer from Other Funds (370-**)</v>
      </c>
    </row>
    <row r="355" spans="34:40">
      <c r="AH355" s="126">
        <v>30</v>
      </c>
      <c r="AI355" s="126" t="s">
        <v>1396</v>
      </c>
      <c r="AJ355" s="128">
        <f t="shared" si="32"/>
        <v>41061</v>
      </c>
      <c r="AK355" s="126">
        <f t="shared" si="33"/>
        <v>0</v>
      </c>
      <c r="AL355" s="126">
        <f t="array" ref="AL355">INDEX($Q$42:$Q$45,MATCH(AN355&amp;YEAR(AJ355),$A$42:$A$45&amp;YEAR($C$42:$C$45),0))</f>
        <v>0</v>
      </c>
      <c r="AM355" s="126" t="s">
        <v>1395</v>
      </c>
      <c r="AN355" s="126" t="str">
        <f t="shared" si="34"/>
        <v>Transfer from Other Funds (370-**)</v>
      </c>
    </row>
    <row r="356" spans="34:40">
      <c r="AH356" s="126">
        <v>31</v>
      </c>
      <c r="AI356" s="126" t="s">
        <v>1396</v>
      </c>
      <c r="AJ356" s="128">
        <f t="shared" si="32"/>
        <v>41091</v>
      </c>
      <c r="AK356" s="126">
        <f t="shared" si="33"/>
        <v>0</v>
      </c>
      <c r="AL356" s="126">
        <f t="array" ref="AL356">INDEX($Q$42:$Q$45,MATCH(AN356&amp;YEAR(AJ356),$A$42:$A$45&amp;YEAR($C$42:$C$45),0))</f>
        <v>0</v>
      </c>
      <c r="AM356" s="126" t="s">
        <v>1395</v>
      </c>
      <c r="AN356" s="126" t="str">
        <f t="shared" si="34"/>
        <v>Transfer from Other Funds (370-**)</v>
      </c>
    </row>
    <row r="357" spans="34:40">
      <c r="AH357" s="126">
        <v>32</v>
      </c>
      <c r="AI357" s="126" t="s">
        <v>1396</v>
      </c>
      <c r="AJ357" s="128">
        <f t="shared" si="32"/>
        <v>41122</v>
      </c>
      <c r="AK357" s="126">
        <f t="shared" si="33"/>
        <v>0</v>
      </c>
      <c r="AL357" s="126">
        <f t="array" ref="AL357">INDEX($Q$42:$Q$45,MATCH(AN357&amp;YEAR(AJ357),$A$42:$A$45&amp;YEAR($C$42:$C$45),0))</f>
        <v>0</v>
      </c>
      <c r="AM357" s="126" t="s">
        <v>1395</v>
      </c>
      <c r="AN357" s="126" t="str">
        <f t="shared" si="34"/>
        <v>Transfer from Other Funds (370-**)</v>
      </c>
    </row>
    <row r="358" spans="34:40">
      <c r="AH358" s="126">
        <v>33</v>
      </c>
      <c r="AI358" s="126" t="s">
        <v>1396</v>
      </c>
      <c r="AJ358" s="128">
        <f t="shared" si="32"/>
        <v>41153</v>
      </c>
      <c r="AK358" s="126">
        <f t="shared" si="33"/>
        <v>0</v>
      </c>
      <c r="AL358" s="126">
        <f t="array" ref="AL358">INDEX($Q$42:$Q$45,MATCH(AN358&amp;YEAR(AJ358),$A$42:$A$45&amp;YEAR($C$42:$C$45),0))</f>
        <v>0</v>
      </c>
      <c r="AM358" s="126" t="s">
        <v>1395</v>
      </c>
      <c r="AN358" s="126" t="str">
        <f t="shared" si="34"/>
        <v>Transfer from Other Funds (370-**)</v>
      </c>
    </row>
    <row r="359" spans="34:40">
      <c r="AH359" s="126">
        <v>34</v>
      </c>
      <c r="AI359" s="126" t="s">
        <v>1396</v>
      </c>
      <c r="AJ359" s="128">
        <f t="shared" si="32"/>
        <v>41183</v>
      </c>
      <c r="AK359" s="126">
        <f t="shared" si="33"/>
        <v>7206733.8399999999</v>
      </c>
      <c r="AL359" s="126">
        <f t="array" ref="AL359">INDEX($Q$42:$Q$45,MATCH(AN359&amp;YEAR(AJ359),$A$42:$A$45&amp;YEAR($C$42:$C$45),0))</f>
        <v>0</v>
      </c>
      <c r="AM359" s="126" t="s">
        <v>1395</v>
      </c>
      <c r="AN359" s="126" t="str">
        <f t="shared" si="34"/>
        <v>Transfer from Other Funds (370-**)</v>
      </c>
    </row>
    <row r="360" spans="34:40">
      <c r="AH360" s="126">
        <v>35</v>
      </c>
      <c r="AI360" s="126" t="s">
        <v>1396</v>
      </c>
      <c r="AJ360" s="128">
        <f t="shared" si="32"/>
        <v>41214</v>
      </c>
      <c r="AK360" s="126">
        <f t="shared" si="33"/>
        <v>0</v>
      </c>
      <c r="AL360" s="126">
        <f t="array" ref="AL360">INDEX($Q$42:$Q$45,MATCH(AN360&amp;YEAR(AJ360),$A$42:$A$45&amp;YEAR($C$42:$C$45),0))</f>
        <v>0</v>
      </c>
      <c r="AM360" s="126" t="s">
        <v>1395</v>
      </c>
      <c r="AN360" s="126" t="str">
        <f t="shared" si="34"/>
        <v>Transfer from Other Funds (370-**)</v>
      </c>
    </row>
    <row r="361" spans="34:40">
      <c r="AH361" s="126">
        <v>36</v>
      </c>
      <c r="AI361" s="126" t="s">
        <v>1396</v>
      </c>
      <c r="AJ361" s="128">
        <f t="shared" si="32"/>
        <v>41244</v>
      </c>
      <c r="AK361" s="126">
        <f t="shared" si="33"/>
        <v>0</v>
      </c>
      <c r="AL361" s="126">
        <f t="array" ref="AL361">INDEX($Q$42:$Q$45,MATCH(AN361&amp;YEAR(AJ361),$A$42:$A$45&amp;YEAR($C$42:$C$45),0))</f>
        <v>0</v>
      </c>
      <c r="AM361" s="126" t="s">
        <v>1395</v>
      </c>
      <c r="AN361" s="126" t="str">
        <f t="shared" si="34"/>
        <v>Transfer from Other Funds (370-**)</v>
      </c>
    </row>
    <row r="362" spans="34:40">
      <c r="AH362" s="126">
        <v>37</v>
      </c>
      <c r="AI362" s="126" t="s">
        <v>1396</v>
      </c>
      <c r="AJ362" s="128">
        <f t="shared" si="32"/>
        <v>41275</v>
      </c>
      <c r="AK362" s="126">
        <f t="shared" si="33"/>
        <v>0</v>
      </c>
      <c r="AL362" s="126">
        <f t="array" ref="AL362">INDEX($Q$42:$Q$45,MATCH(AN362&amp;YEAR(AJ362),$A$42:$A$45&amp;YEAR($C$42:$C$45),0))</f>
        <v>0</v>
      </c>
      <c r="AM362" s="126" t="s">
        <v>1395</v>
      </c>
      <c r="AN362" s="126" t="str">
        <f t="shared" si="34"/>
        <v>Transfer from Other Funds (370-**)</v>
      </c>
    </row>
    <row r="363" spans="34:40">
      <c r="AH363" s="126">
        <v>38</v>
      </c>
      <c r="AI363" s="126" t="s">
        <v>1396</v>
      </c>
      <c r="AJ363" s="128">
        <f t="shared" si="32"/>
        <v>41306</v>
      </c>
      <c r="AK363" s="126">
        <f t="shared" si="33"/>
        <v>0</v>
      </c>
      <c r="AL363" s="126">
        <f t="array" ref="AL363">INDEX($Q$42:$Q$45,MATCH(AN363&amp;YEAR(AJ363),$A$42:$A$45&amp;YEAR($C$42:$C$45),0))</f>
        <v>0</v>
      </c>
      <c r="AM363" s="126" t="s">
        <v>1395</v>
      </c>
      <c r="AN363" s="126" t="str">
        <f t="shared" si="34"/>
        <v>Transfer from Other Funds (370-**)</v>
      </c>
    </row>
    <row r="364" spans="34:40">
      <c r="AH364" s="126">
        <v>39</v>
      </c>
      <c r="AI364" s="126" t="s">
        <v>1396</v>
      </c>
      <c r="AJ364" s="128">
        <f t="shared" si="32"/>
        <v>41334</v>
      </c>
      <c r="AK364" s="126">
        <f t="shared" si="33"/>
        <v>0</v>
      </c>
      <c r="AL364" s="126">
        <f t="array" ref="AL364">INDEX($Q$42:$Q$45,MATCH(AN364&amp;YEAR(AJ364),$A$42:$A$45&amp;YEAR($C$42:$C$45),0))</f>
        <v>0</v>
      </c>
      <c r="AM364" s="126" t="s">
        <v>1395</v>
      </c>
      <c r="AN364" s="126" t="str">
        <f t="shared" si="34"/>
        <v>Transfer from Other Funds (370-**)</v>
      </c>
    </row>
    <row r="365" spans="34:40">
      <c r="AH365" s="126">
        <v>40</v>
      </c>
      <c r="AI365" s="126" t="s">
        <v>1396</v>
      </c>
      <c r="AJ365" s="128">
        <f t="shared" si="32"/>
        <v>41365</v>
      </c>
      <c r="AK365" s="126">
        <f t="shared" si="33"/>
        <v>0</v>
      </c>
      <c r="AL365" s="126">
        <f t="array" ref="AL365">INDEX($Q$42:$Q$45,MATCH(AN365&amp;YEAR(AJ365),$A$42:$A$45&amp;YEAR($C$42:$C$45),0))</f>
        <v>0</v>
      </c>
      <c r="AM365" s="126" t="s">
        <v>1395</v>
      </c>
      <c r="AN365" s="126" t="str">
        <f t="shared" si="34"/>
        <v>Transfer from Other Funds (370-**)</v>
      </c>
    </row>
    <row r="366" spans="34:40">
      <c r="AH366" s="126">
        <v>41</v>
      </c>
      <c r="AI366" s="126" t="s">
        <v>1396</v>
      </c>
      <c r="AJ366" s="128">
        <f t="shared" si="32"/>
        <v>41395</v>
      </c>
      <c r="AK366" s="126">
        <f t="shared" si="33"/>
        <v>0</v>
      </c>
      <c r="AL366" s="126">
        <f t="array" ref="AL366">INDEX($Q$42:$Q$45,MATCH(AN366&amp;YEAR(AJ366),$A$42:$A$45&amp;YEAR($C$42:$C$45),0))</f>
        <v>0</v>
      </c>
      <c r="AM366" s="126" t="s">
        <v>1395</v>
      </c>
      <c r="AN366" s="126" t="str">
        <f t="shared" si="34"/>
        <v>Transfer from Other Funds (370-**)</v>
      </c>
    </row>
    <row r="367" spans="34:40">
      <c r="AH367" s="126">
        <v>42</v>
      </c>
      <c r="AI367" s="126" t="s">
        <v>1396</v>
      </c>
      <c r="AJ367" s="128">
        <f t="shared" si="32"/>
        <v>41426</v>
      </c>
      <c r="AK367" s="126">
        <f t="shared" si="33"/>
        <v>0</v>
      </c>
      <c r="AL367" s="126">
        <f t="array" ref="AL367">INDEX($Q$42:$Q$45,MATCH(AN367&amp;YEAR(AJ367),$A$42:$A$45&amp;YEAR($C$42:$C$45),0))</f>
        <v>0</v>
      </c>
      <c r="AM367" s="126" t="s">
        <v>1395</v>
      </c>
      <c r="AN367" s="126" t="str">
        <f t="shared" si="34"/>
        <v>Transfer from Other Funds (370-**)</v>
      </c>
    </row>
    <row r="368" spans="34:40">
      <c r="AH368" s="126">
        <v>43</v>
      </c>
      <c r="AI368" s="126" t="s">
        <v>1396</v>
      </c>
      <c r="AJ368" s="128">
        <f t="shared" si="32"/>
        <v>41456</v>
      </c>
      <c r="AK368" s="126">
        <f t="shared" si="33"/>
        <v>0</v>
      </c>
      <c r="AL368" s="126">
        <f t="array" ref="AL368">INDEX($Q$42:$Q$45,MATCH(AN368&amp;YEAR(AJ368),$A$42:$A$45&amp;YEAR($C$42:$C$45),0))</f>
        <v>0</v>
      </c>
      <c r="AM368" s="126" t="s">
        <v>1395</v>
      </c>
      <c r="AN368" s="126" t="str">
        <f t="shared" si="34"/>
        <v>Transfer from Other Funds (370-**)</v>
      </c>
    </row>
    <row r="369" spans="34:40">
      <c r="AH369" s="126">
        <v>44</v>
      </c>
      <c r="AI369" s="126" t="s">
        <v>1396</v>
      </c>
      <c r="AJ369" s="128">
        <f t="shared" si="32"/>
        <v>41487</v>
      </c>
      <c r="AK369" s="126">
        <f t="shared" si="33"/>
        <v>0</v>
      </c>
      <c r="AL369" s="126">
        <f t="array" ref="AL369">INDEX($Q$42:$Q$45,MATCH(AN369&amp;YEAR(AJ369),$A$42:$A$45&amp;YEAR($C$42:$C$45),0))</f>
        <v>0</v>
      </c>
      <c r="AM369" s="126" t="s">
        <v>1395</v>
      </c>
      <c r="AN369" s="126" t="str">
        <f t="shared" si="34"/>
        <v>Transfer from Other Funds (370-**)</v>
      </c>
    </row>
    <row r="370" spans="34:40">
      <c r="AH370" s="126">
        <v>45</v>
      </c>
      <c r="AI370" s="126" t="s">
        <v>1396</v>
      </c>
      <c r="AJ370" s="128">
        <f t="shared" si="32"/>
        <v>41518</v>
      </c>
      <c r="AK370" s="126">
        <f t="shared" si="33"/>
        <v>0</v>
      </c>
      <c r="AL370" s="126">
        <f t="array" ref="AL370">INDEX($Q$42:$Q$45,MATCH(AN370&amp;YEAR(AJ370),$A$42:$A$45&amp;YEAR($C$42:$C$45),0))</f>
        <v>0</v>
      </c>
      <c r="AM370" s="126" t="s">
        <v>1395</v>
      </c>
      <c r="AN370" s="126" t="str">
        <f t="shared" si="34"/>
        <v>Transfer from Other Funds (370-**)</v>
      </c>
    </row>
    <row r="371" spans="34:40">
      <c r="AH371" s="126">
        <v>46</v>
      </c>
      <c r="AI371" s="126" t="s">
        <v>1396</v>
      </c>
      <c r="AJ371" s="128">
        <f t="shared" si="32"/>
        <v>41548</v>
      </c>
      <c r="AK371" s="126">
        <f t="shared" si="33"/>
        <v>0</v>
      </c>
      <c r="AL371" s="126">
        <f t="array" ref="AL371">INDEX($Q$42:$Q$45,MATCH(AN371&amp;YEAR(AJ371),$A$42:$A$45&amp;YEAR($C$42:$C$45),0))</f>
        <v>0</v>
      </c>
      <c r="AM371" s="126" t="s">
        <v>1395</v>
      </c>
      <c r="AN371" s="126" t="str">
        <f t="shared" si="34"/>
        <v>Transfer from Other Funds (370-**)</v>
      </c>
    </row>
    <row r="372" spans="34:40">
      <c r="AH372" s="126">
        <v>47</v>
      </c>
      <c r="AI372" s="126" t="s">
        <v>1396</v>
      </c>
      <c r="AJ372" s="128">
        <f t="shared" si="32"/>
        <v>41579</v>
      </c>
      <c r="AK372" s="126">
        <f t="shared" si="33"/>
        <v>0</v>
      </c>
      <c r="AL372" s="126">
        <f t="array" ref="AL372">INDEX($Q$42:$Q$45,MATCH(AN372&amp;YEAR(AJ372),$A$42:$A$45&amp;YEAR($C$42:$C$45),0))</f>
        <v>0</v>
      </c>
      <c r="AM372" s="126" t="s">
        <v>1395</v>
      </c>
      <c r="AN372" s="126" t="str">
        <f t="shared" si="34"/>
        <v>Transfer from Other Funds (370-**)</v>
      </c>
    </row>
    <row r="373" spans="34:40">
      <c r="AH373" s="126">
        <v>48</v>
      </c>
      <c r="AI373" s="126" t="s">
        <v>1396</v>
      </c>
      <c r="AJ373" s="128">
        <f t="shared" si="32"/>
        <v>41609</v>
      </c>
      <c r="AK373" s="126">
        <f t="shared" si="33"/>
        <v>0</v>
      </c>
      <c r="AL373" s="126">
        <f t="array" ref="AL373">INDEX($Q$42:$Q$45,MATCH(AN373&amp;YEAR(AJ373),$A$42:$A$45&amp;YEAR($C$42:$C$45),0))</f>
        <v>0</v>
      </c>
      <c r="AM373" s="126" t="s">
        <v>1395</v>
      </c>
      <c r="AN373" s="126" t="str">
        <f t="shared" si="34"/>
        <v>Transfer from Other Funds (370-**)</v>
      </c>
    </row>
  </sheetData>
  <printOptions gridLines="1"/>
  <pageMargins left="0.75" right="0.75" top="1" bottom="1" header="0.5" footer="0.5"/>
  <pageSetup scale="54"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1"/>
  <sheetViews>
    <sheetView zoomScale="130" zoomScaleNormal="130" workbookViewId="0">
      <selection activeCell="D2" sqref="D2"/>
    </sheetView>
  </sheetViews>
  <sheetFormatPr defaultRowHeight="15"/>
  <cols>
    <col min="1" max="1" width="17.5703125" style="122" customWidth="1"/>
    <col min="2" max="2" width="21.85546875" style="122" bestFit="1" customWidth="1"/>
    <col min="3" max="3" width="30.28515625" style="122" bestFit="1" customWidth="1"/>
    <col min="4" max="4" width="18" style="122" customWidth="1"/>
    <col min="5" max="5" width="22.28515625" style="122" bestFit="1" customWidth="1"/>
    <col min="6" max="16384" width="9.140625" style="122"/>
  </cols>
  <sheetData>
    <row r="1" spans="1:5" s="124" customFormat="1">
      <c r="A1" s="124" t="s">
        <v>1394</v>
      </c>
      <c r="B1" s="124" t="s">
        <v>1393</v>
      </c>
      <c r="C1" s="124" t="s">
        <v>1392</v>
      </c>
      <c r="D1" s="124" t="s">
        <v>1391</v>
      </c>
      <c r="E1" s="125" t="s">
        <v>1390</v>
      </c>
    </row>
    <row r="2" spans="1:5">
      <c r="A2" s="122" t="s">
        <v>1389</v>
      </c>
      <c r="B2" s="122" t="s">
        <v>1388</v>
      </c>
      <c r="C2" s="122" t="s">
        <v>1387</v>
      </c>
      <c r="D2" s="123">
        <v>37705</v>
      </c>
      <c r="E2" s="122" t="s">
        <v>1386</v>
      </c>
    </row>
    <row r="3" spans="1:5">
      <c r="A3" s="122" t="s">
        <v>1385</v>
      </c>
      <c r="B3" s="122" t="s">
        <v>1384</v>
      </c>
      <c r="C3" s="122" t="s">
        <v>1383</v>
      </c>
      <c r="D3" s="123">
        <v>40840</v>
      </c>
      <c r="E3" s="122" t="s">
        <v>1382</v>
      </c>
    </row>
    <row r="4" spans="1:5">
      <c r="A4" s="122" t="s">
        <v>1381</v>
      </c>
      <c r="B4" s="122" t="s">
        <v>1380</v>
      </c>
      <c r="C4" s="122" t="s">
        <v>1379</v>
      </c>
      <c r="D4" s="123">
        <v>34041</v>
      </c>
      <c r="E4" s="122" t="s">
        <v>1378</v>
      </c>
    </row>
    <row r="5" spans="1:5">
      <c r="A5" s="122" t="s">
        <v>1377</v>
      </c>
      <c r="B5" s="122" t="s">
        <v>1376</v>
      </c>
      <c r="C5" s="122" t="s">
        <v>1375</v>
      </c>
      <c r="D5" s="123">
        <v>35457</v>
      </c>
      <c r="E5" s="122" t="s">
        <v>1374</v>
      </c>
    </row>
    <row r="6" spans="1:5">
      <c r="A6" s="122" t="s">
        <v>1373</v>
      </c>
      <c r="B6" s="122" t="s">
        <v>1372</v>
      </c>
      <c r="C6" s="122" t="s">
        <v>1371</v>
      </c>
      <c r="D6" s="123">
        <v>32462</v>
      </c>
      <c r="E6" s="122" t="s">
        <v>1370</v>
      </c>
    </row>
    <row r="7" spans="1:5">
      <c r="A7" s="122" t="s">
        <v>1369</v>
      </c>
      <c r="B7" s="122" t="s">
        <v>1368</v>
      </c>
      <c r="C7" s="122" t="s">
        <v>1367</v>
      </c>
      <c r="D7" s="123">
        <v>35650</v>
      </c>
      <c r="E7" s="122" t="s">
        <v>1366</v>
      </c>
    </row>
    <row r="8" spans="1:5">
      <c r="A8" s="122" t="s">
        <v>1365</v>
      </c>
      <c r="B8" s="122" t="s">
        <v>1364</v>
      </c>
      <c r="C8" s="122" t="s">
        <v>1363</v>
      </c>
      <c r="D8" s="123">
        <v>33065</v>
      </c>
      <c r="E8" s="122" t="s">
        <v>1362</v>
      </c>
    </row>
    <row r="9" spans="1:5">
      <c r="A9" s="122" t="s">
        <v>1361</v>
      </c>
      <c r="B9" s="122" t="s">
        <v>1360</v>
      </c>
      <c r="C9" s="122" t="s">
        <v>1359</v>
      </c>
      <c r="D9" s="123">
        <v>40217</v>
      </c>
      <c r="E9" s="122" t="s">
        <v>1358</v>
      </c>
    </row>
    <row r="10" spans="1:5">
      <c r="A10" s="122" t="s">
        <v>1357</v>
      </c>
      <c r="B10" s="122" t="s">
        <v>1356</v>
      </c>
      <c r="C10" s="122" t="s">
        <v>1355</v>
      </c>
      <c r="D10" s="123">
        <v>37649</v>
      </c>
      <c r="E10" s="122" t="s">
        <v>1354</v>
      </c>
    </row>
    <row r="11" spans="1:5">
      <c r="A11" s="122" t="s">
        <v>1353</v>
      </c>
      <c r="B11" s="122" t="s">
        <v>1352</v>
      </c>
      <c r="C11" s="122" t="s">
        <v>1351</v>
      </c>
      <c r="D11" s="123">
        <v>38925</v>
      </c>
      <c r="E11" s="122" t="s">
        <v>1350</v>
      </c>
    </row>
    <row r="12" spans="1:5">
      <c r="A12" s="122" t="s">
        <v>1349</v>
      </c>
      <c r="B12" s="122" t="s">
        <v>1348</v>
      </c>
      <c r="C12" s="122" t="s">
        <v>1347</v>
      </c>
      <c r="D12" s="123">
        <v>34618</v>
      </c>
      <c r="E12" s="122" t="s">
        <v>1346</v>
      </c>
    </row>
    <row r="13" spans="1:5">
      <c r="A13" s="122" t="s">
        <v>1345</v>
      </c>
      <c r="B13" s="122" t="s">
        <v>1344</v>
      </c>
      <c r="C13" s="122" t="s">
        <v>1343</v>
      </c>
      <c r="D13" s="123">
        <v>32479</v>
      </c>
      <c r="E13" s="122" t="s">
        <v>1342</v>
      </c>
    </row>
    <row r="14" spans="1:5">
      <c r="A14" s="122" t="s">
        <v>1341</v>
      </c>
      <c r="B14" s="122" t="s">
        <v>1340</v>
      </c>
      <c r="C14" s="122" t="s">
        <v>1339</v>
      </c>
      <c r="D14" s="123">
        <v>36953</v>
      </c>
      <c r="E14" s="122" t="s">
        <v>1338</v>
      </c>
    </row>
    <row r="15" spans="1:5">
      <c r="A15" s="122" t="s">
        <v>1337</v>
      </c>
      <c r="B15" s="122" t="s">
        <v>1336</v>
      </c>
      <c r="C15" s="122" t="s">
        <v>1335</v>
      </c>
      <c r="D15" s="123">
        <v>39557</v>
      </c>
      <c r="E15" s="122" t="s">
        <v>1334</v>
      </c>
    </row>
    <row r="16" spans="1:5">
      <c r="A16" s="122" t="s">
        <v>1333</v>
      </c>
      <c r="B16" s="122" t="s">
        <v>1332</v>
      </c>
      <c r="C16" s="122" t="s">
        <v>1331</v>
      </c>
      <c r="D16" s="123">
        <v>39452</v>
      </c>
      <c r="E16" s="122" t="s">
        <v>1330</v>
      </c>
    </row>
    <row r="17" spans="1:5">
      <c r="A17" s="122" t="s">
        <v>1329</v>
      </c>
      <c r="B17" s="122" t="s">
        <v>1328</v>
      </c>
      <c r="C17" s="122" t="s">
        <v>1327</v>
      </c>
      <c r="D17" s="123">
        <v>31059</v>
      </c>
      <c r="E17" s="122" t="s">
        <v>1326</v>
      </c>
    </row>
    <row r="18" spans="1:5">
      <c r="A18" s="122" t="s">
        <v>1325</v>
      </c>
      <c r="B18" s="122" t="s">
        <v>1324</v>
      </c>
      <c r="C18" s="122" t="s">
        <v>1323</v>
      </c>
      <c r="D18" s="123">
        <v>36533</v>
      </c>
      <c r="E18" s="122" t="s">
        <v>1322</v>
      </c>
    </row>
    <row r="19" spans="1:5">
      <c r="A19" s="122" t="s">
        <v>1321</v>
      </c>
      <c r="B19" s="122" t="s">
        <v>1320</v>
      </c>
      <c r="C19" s="122" t="s">
        <v>1319</v>
      </c>
      <c r="D19" s="123">
        <v>34262</v>
      </c>
      <c r="E19" s="122" t="s">
        <v>1318</v>
      </c>
    </row>
    <row r="20" spans="1:5">
      <c r="A20" s="122" t="s">
        <v>1317</v>
      </c>
      <c r="B20" s="122" t="s">
        <v>1316</v>
      </c>
      <c r="C20" s="122" t="s">
        <v>1315</v>
      </c>
      <c r="D20" s="123">
        <v>35017</v>
      </c>
      <c r="E20" s="122" t="s">
        <v>1314</v>
      </c>
    </row>
    <row r="21" spans="1:5">
      <c r="A21" s="122" t="s">
        <v>1313</v>
      </c>
      <c r="B21" s="122" t="s">
        <v>1312</v>
      </c>
      <c r="C21" s="122" t="s">
        <v>1311</v>
      </c>
      <c r="D21" s="123">
        <v>38365</v>
      </c>
      <c r="E21" s="122" t="s">
        <v>1310</v>
      </c>
    </row>
    <row r="22" spans="1:5">
      <c r="A22" s="122" t="s">
        <v>1309</v>
      </c>
      <c r="B22" s="122" t="s">
        <v>1308</v>
      </c>
      <c r="C22" s="122" t="s">
        <v>1307</v>
      </c>
      <c r="D22" s="123">
        <v>35670</v>
      </c>
      <c r="E22" s="122" t="s">
        <v>1306</v>
      </c>
    </row>
    <row r="23" spans="1:5">
      <c r="A23" s="122" t="s">
        <v>1305</v>
      </c>
      <c r="B23" s="122" t="s">
        <v>1304</v>
      </c>
      <c r="C23" s="122" t="s">
        <v>1303</v>
      </c>
      <c r="D23" s="123">
        <v>33820</v>
      </c>
      <c r="E23" s="122" t="s">
        <v>1302</v>
      </c>
    </row>
    <row r="24" spans="1:5">
      <c r="A24" s="122" t="s">
        <v>1301</v>
      </c>
      <c r="B24" s="122" t="s">
        <v>1300</v>
      </c>
      <c r="C24" s="122" t="s">
        <v>1299</v>
      </c>
      <c r="D24" s="123">
        <v>36152</v>
      </c>
      <c r="E24" s="122" t="s">
        <v>1298</v>
      </c>
    </row>
    <row r="25" spans="1:5">
      <c r="A25" s="122" t="s">
        <v>1297</v>
      </c>
      <c r="B25" s="122" t="s">
        <v>1296</v>
      </c>
      <c r="C25" s="122" t="s">
        <v>1295</v>
      </c>
      <c r="D25" s="123">
        <v>33211</v>
      </c>
      <c r="E25" s="122" t="s">
        <v>1294</v>
      </c>
    </row>
    <row r="26" spans="1:5">
      <c r="A26" s="122" t="s">
        <v>1293</v>
      </c>
      <c r="B26" s="122" t="s">
        <v>1292</v>
      </c>
      <c r="C26" s="122" t="s">
        <v>1291</v>
      </c>
      <c r="D26" s="123">
        <v>38027</v>
      </c>
      <c r="E26" s="122" t="s">
        <v>1290</v>
      </c>
    </row>
    <row r="27" spans="1:5">
      <c r="A27" s="122" t="s">
        <v>1289</v>
      </c>
      <c r="B27" s="122" t="s">
        <v>1288</v>
      </c>
      <c r="C27" s="122" t="s">
        <v>1287</v>
      </c>
      <c r="D27" s="123">
        <v>33977</v>
      </c>
      <c r="E27" s="122" t="s">
        <v>1286</v>
      </c>
    </row>
    <row r="28" spans="1:5">
      <c r="A28" s="122" t="s">
        <v>1285</v>
      </c>
      <c r="B28" s="122" t="s">
        <v>1284</v>
      </c>
      <c r="C28" s="122" t="s">
        <v>1122</v>
      </c>
      <c r="D28" s="123">
        <v>31465</v>
      </c>
      <c r="E28" s="122" t="s">
        <v>1283</v>
      </c>
    </row>
    <row r="29" spans="1:5">
      <c r="A29" s="122" t="s">
        <v>1282</v>
      </c>
      <c r="B29" s="122" t="s">
        <v>1281</v>
      </c>
      <c r="C29" s="122" t="s">
        <v>1280</v>
      </c>
      <c r="D29" s="123">
        <v>34540</v>
      </c>
      <c r="E29" s="122" t="s">
        <v>1279</v>
      </c>
    </row>
    <row r="30" spans="1:5">
      <c r="A30" s="122" t="s">
        <v>1278</v>
      </c>
      <c r="B30" s="122" t="s">
        <v>1277</v>
      </c>
      <c r="C30" s="122" t="s">
        <v>1276</v>
      </c>
      <c r="D30" s="123">
        <v>34987</v>
      </c>
      <c r="E30" s="122" t="s">
        <v>1275</v>
      </c>
    </row>
    <row r="31" spans="1:5">
      <c r="A31" s="122" t="s">
        <v>1274</v>
      </c>
      <c r="B31" s="122" t="s">
        <v>1273</v>
      </c>
      <c r="C31" s="122" t="s">
        <v>1245</v>
      </c>
      <c r="D31" s="123">
        <v>31133</v>
      </c>
      <c r="E31" s="122" t="s">
        <v>1272</v>
      </c>
    </row>
    <row r="32" spans="1:5">
      <c r="A32" s="122" t="s">
        <v>1271</v>
      </c>
      <c r="B32" s="122" t="s">
        <v>1270</v>
      </c>
      <c r="C32" s="122" t="s">
        <v>1269</v>
      </c>
      <c r="D32" s="123">
        <v>34894</v>
      </c>
      <c r="E32" s="122" t="s">
        <v>1268</v>
      </c>
    </row>
    <row r="33" spans="1:5">
      <c r="A33" s="122" t="s">
        <v>1267</v>
      </c>
      <c r="B33" s="122" t="s">
        <v>1266</v>
      </c>
      <c r="C33" s="122" t="s">
        <v>1265</v>
      </c>
      <c r="D33" s="123">
        <v>37811</v>
      </c>
      <c r="E33" s="122" t="s">
        <v>1264</v>
      </c>
    </row>
    <row r="34" spans="1:5">
      <c r="A34" s="122" t="s">
        <v>1263</v>
      </c>
      <c r="B34" s="122" t="s">
        <v>1262</v>
      </c>
      <c r="C34" s="122" t="s">
        <v>1261</v>
      </c>
      <c r="D34" s="123">
        <v>40782</v>
      </c>
      <c r="E34" s="122" t="s">
        <v>1260</v>
      </c>
    </row>
    <row r="35" spans="1:5">
      <c r="A35" s="122" t="s">
        <v>1259</v>
      </c>
      <c r="B35" s="122" t="s">
        <v>1258</v>
      </c>
      <c r="C35" s="122" t="s">
        <v>1257</v>
      </c>
      <c r="D35" s="123">
        <v>40508</v>
      </c>
      <c r="E35" s="122" t="s">
        <v>1256</v>
      </c>
    </row>
    <row r="36" spans="1:5">
      <c r="A36" s="122" t="s">
        <v>1255</v>
      </c>
      <c r="B36" s="122" t="s">
        <v>1254</v>
      </c>
      <c r="C36" s="122" t="s">
        <v>1253</v>
      </c>
      <c r="D36" s="123">
        <v>31861</v>
      </c>
      <c r="E36" s="122" t="s">
        <v>1252</v>
      </c>
    </row>
    <row r="37" spans="1:5">
      <c r="A37" s="122" t="s">
        <v>1251</v>
      </c>
      <c r="B37" s="122" t="s">
        <v>1250</v>
      </c>
      <c r="C37" s="122" t="s">
        <v>1249</v>
      </c>
      <c r="D37" s="123">
        <v>35294</v>
      </c>
      <c r="E37" s="122" t="s">
        <v>1248</v>
      </c>
    </row>
    <row r="38" spans="1:5">
      <c r="A38" s="122" t="s">
        <v>1247</v>
      </c>
      <c r="B38" s="122" t="s">
        <v>1246</v>
      </c>
      <c r="C38" s="122" t="s">
        <v>1245</v>
      </c>
      <c r="D38" s="123">
        <v>33664</v>
      </c>
      <c r="E38" s="122" t="s">
        <v>1244</v>
      </c>
    </row>
    <row r="39" spans="1:5">
      <c r="A39" s="122" t="s">
        <v>1243</v>
      </c>
      <c r="B39" s="122" t="s">
        <v>1242</v>
      </c>
      <c r="C39" s="122" t="s">
        <v>1241</v>
      </c>
      <c r="D39" s="123">
        <v>31727</v>
      </c>
      <c r="E39" s="122" t="s">
        <v>1240</v>
      </c>
    </row>
    <row r="40" spans="1:5">
      <c r="A40" s="122" t="s">
        <v>1239</v>
      </c>
      <c r="B40" s="122" t="s">
        <v>1238</v>
      </c>
      <c r="C40" s="122" t="s">
        <v>1237</v>
      </c>
      <c r="D40" s="123">
        <v>35327</v>
      </c>
      <c r="E40" s="122" t="s">
        <v>1236</v>
      </c>
    </row>
    <row r="41" spans="1:5">
      <c r="A41" s="122" t="s">
        <v>1235</v>
      </c>
      <c r="B41" s="122" t="s">
        <v>1234</v>
      </c>
      <c r="C41" s="122" t="s">
        <v>1233</v>
      </c>
      <c r="D41" s="123">
        <v>36257</v>
      </c>
      <c r="E41" s="122" t="s">
        <v>1232</v>
      </c>
    </row>
    <row r="42" spans="1:5">
      <c r="A42" s="122" t="s">
        <v>1231</v>
      </c>
      <c r="B42" s="122" t="s">
        <v>1230</v>
      </c>
      <c r="C42" s="122" t="s">
        <v>1229</v>
      </c>
      <c r="D42" s="123">
        <v>38055</v>
      </c>
      <c r="E42" s="122" t="s">
        <v>1228</v>
      </c>
    </row>
    <row r="43" spans="1:5">
      <c r="A43" s="122" t="s">
        <v>1227</v>
      </c>
      <c r="B43" s="122" t="s">
        <v>1226</v>
      </c>
      <c r="C43" s="122" t="s">
        <v>1225</v>
      </c>
      <c r="D43" s="123">
        <v>37658</v>
      </c>
      <c r="E43" s="122" t="s">
        <v>1224</v>
      </c>
    </row>
    <row r="44" spans="1:5">
      <c r="A44" s="122" t="s">
        <v>1223</v>
      </c>
      <c r="B44" s="122" t="s">
        <v>1222</v>
      </c>
      <c r="C44" s="122" t="s">
        <v>1221</v>
      </c>
      <c r="D44" s="123">
        <v>40101</v>
      </c>
      <c r="E44" s="122" t="s">
        <v>1220</v>
      </c>
    </row>
    <row r="45" spans="1:5">
      <c r="A45" s="122" t="s">
        <v>1219</v>
      </c>
      <c r="B45" s="122" t="s">
        <v>1218</v>
      </c>
      <c r="C45" s="122" t="s">
        <v>1217</v>
      </c>
      <c r="D45" s="123">
        <v>39845</v>
      </c>
      <c r="E45" s="122" t="s">
        <v>1216</v>
      </c>
    </row>
    <row r="46" spans="1:5">
      <c r="A46" s="122" t="s">
        <v>1215</v>
      </c>
      <c r="B46" s="122" t="s">
        <v>1214</v>
      </c>
      <c r="C46" s="122" t="s">
        <v>1186</v>
      </c>
      <c r="D46" s="123">
        <v>40704</v>
      </c>
      <c r="E46" s="122" t="s">
        <v>1213</v>
      </c>
    </row>
    <row r="47" spans="1:5">
      <c r="A47" s="122" t="s">
        <v>1212</v>
      </c>
      <c r="B47" s="122" t="s">
        <v>1211</v>
      </c>
      <c r="C47" s="122" t="s">
        <v>1210</v>
      </c>
      <c r="D47" s="123">
        <v>33426</v>
      </c>
      <c r="E47" s="122" t="s">
        <v>1209</v>
      </c>
    </row>
    <row r="48" spans="1:5">
      <c r="A48" s="122" t="s">
        <v>1208</v>
      </c>
      <c r="B48" s="122" t="s">
        <v>1207</v>
      </c>
      <c r="C48" s="122" t="s">
        <v>1206</v>
      </c>
      <c r="D48" s="123">
        <v>34305</v>
      </c>
      <c r="E48" s="122" t="s">
        <v>1205</v>
      </c>
    </row>
    <row r="49" spans="1:5">
      <c r="A49" s="122" t="s">
        <v>1204</v>
      </c>
      <c r="B49" s="122" t="s">
        <v>1203</v>
      </c>
      <c r="C49" s="122" t="s">
        <v>1202</v>
      </c>
      <c r="D49" s="123">
        <v>38041</v>
      </c>
      <c r="E49" s="122" t="s">
        <v>1201</v>
      </c>
    </row>
    <row r="50" spans="1:5">
      <c r="A50" s="122" t="s">
        <v>1200</v>
      </c>
      <c r="B50" s="122" t="s">
        <v>1199</v>
      </c>
      <c r="C50" s="122" t="s">
        <v>1198</v>
      </c>
      <c r="D50" s="123">
        <v>32568</v>
      </c>
      <c r="E50" s="122" t="s">
        <v>1197</v>
      </c>
    </row>
    <row r="51" spans="1:5">
      <c r="A51" s="122" t="s">
        <v>1196</v>
      </c>
      <c r="B51" s="122" t="s">
        <v>1195</v>
      </c>
      <c r="C51" s="122" t="s">
        <v>1194</v>
      </c>
      <c r="D51" s="123">
        <v>34205</v>
      </c>
      <c r="E51" s="122" t="s">
        <v>1193</v>
      </c>
    </row>
    <row r="52" spans="1:5">
      <c r="A52" s="122" t="s">
        <v>1192</v>
      </c>
      <c r="B52" s="122" t="s">
        <v>1191</v>
      </c>
      <c r="C52" s="122" t="s">
        <v>1190</v>
      </c>
      <c r="D52" s="123">
        <v>37238</v>
      </c>
      <c r="E52" s="122" t="s">
        <v>1189</v>
      </c>
    </row>
    <row r="53" spans="1:5">
      <c r="A53" s="122" t="s">
        <v>1188</v>
      </c>
      <c r="B53" s="122" t="s">
        <v>1187</v>
      </c>
      <c r="C53" s="122" t="s">
        <v>1186</v>
      </c>
      <c r="D53" s="123">
        <v>31753</v>
      </c>
      <c r="E53" s="122" t="s">
        <v>1185</v>
      </c>
    </row>
    <row r="54" spans="1:5">
      <c r="A54" s="122" t="s">
        <v>1184</v>
      </c>
      <c r="B54" s="122" t="s">
        <v>1183</v>
      </c>
      <c r="C54" s="122" t="s">
        <v>1182</v>
      </c>
      <c r="D54" s="123">
        <v>35543</v>
      </c>
      <c r="E54" s="122" t="s">
        <v>1181</v>
      </c>
    </row>
    <row r="55" spans="1:5">
      <c r="A55" s="122" t="s">
        <v>1180</v>
      </c>
      <c r="B55" s="122" t="s">
        <v>1179</v>
      </c>
      <c r="C55" s="122" t="s">
        <v>1178</v>
      </c>
      <c r="D55" s="123">
        <v>35268</v>
      </c>
      <c r="E55" s="122" t="s">
        <v>1177</v>
      </c>
    </row>
    <row r="56" spans="1:5">
      <c r="A56" s="122" t="s">
        <v>1176</v>
      </c>
      <c r="B56" s="122" t="s">
        <v>1175</v>
      </c>
      <c r="C56" s="122" t="s">
        <v>1174</v>
      </c>
      <c r="D56" s="123">
        <v>32032</v>
      </c>
      <c r="E56" s="122" t="s">
        <v>1173</v>
      </c>
    </row>
    <row r="57" spans="1:5">
      <c r="A57" s="122" t="s">
        <v>1172</v>
      </c>
      <c r="B57" s="122" t="s">
        <v>1171</v>
      </c>
      <c r="C57" s="122" t="s">
        <v>1170</v>
      </c>
      <c r="D57" s="123">
        <v>31477</v>
      </c>
      <c r="E57" s="122" t="s">
        <v>1169</v>
      </c>
    </row>
    <row r="58" spans="1:5">
      <c r="A58" s="122" t="s">
        <v>1168</v>
      </c>
      <c r="B58" s="122" t="s">
        <v>1167</v>
      </c>
      <c r="C58" s="122" t="s">
        <v>1166</v>
      </c>
      <c r="D58" s="123">
        <v>35294</v>
      </c>
      <c r="E58" s="122" t="s">
        <v>1165</v>
      </c>
    </row>
    <row r="59" spans="1:5">
      <c r="A59" s="122" t="s">
        <v>1164</v>
      </c>
      <c r="B59" s="122" t="s">
        <v>1163</v>
      </c>
      <c r="C59" s="122" t="s">
        <v>1162</v>
      </c>
      <c r="D59" s="123">
        <v>38446</v>
      </c>
      <c r="E59" s="122" t="s">
        <v>1161</v>
      </c>
    </row>
    <row r="60" spans="1:5">
      <c r="A60" s="122" t="s">
        <v>1160</v>
      </c>
      <c r="B60" s="122" t="s">
        <v>1159</v>
      </c>
      <c r="C60" s="122" t="s">
        <v>1158</v>
      </c>
      <c r="D60" s="123">
        <v>32389</v>
      </c>
      <c r="E60" s="122" t="s">
        <v>1157</v>
      </c>
    </row>
    <row r="61" spans="1:5">
      <c r="A61" s="122" t="s">
        <v>1156</v>
      </c>
      <c r="B61" s="122" t="s">
        <v>1155</v>
      </c>
      <c r="C61" s="122" t="s">
        <v>1154</v>
      </c>
      <c r="D61" s="123">
        <v>32096</v>
      </c>
      <c r="E61" s="122" t="s">
        <v>1153</v>
      </c>
    </row>
    <row r="62" spans="1:5">
      <c r="A62" s="122" t="s">
        <v>1152</v>
      </c>
      <c r="B62" s="122" t="s">
        <v>1151</v>
      </c>
      <c r="C62" s="122" t="s">
        <v>1150</v>
      </c>
      <c r="D62" s="123">
        <v>34924</v>
      </c>
      <c r="E62" s="122" t="s">
        <v>1149</v>
      </c>
    </row>
    <row r="63" spans="1:5">
      <c r="A63" s="122" t="s">
        <v>1148</v>
      </c>
      <c r="B63" s="122" t="s">
        <v>1147</v>
      </c>
      <c r="C63" s="122" t="s">
        <v>1146</v>
      </c>
      <c r="D63" s="123">
        <v>39676</v>
      </c>
      <c r="E63" s="122" t="s">
        <v>1145</v>
      </c>
    </row>
    <row r="64" spans="1:5">
      <c r="A64" s="122" t="s">
        <v>1144</v>
      </c>
      <c r="B64" s="122" t="s">
        <v>1143</v>
      </c>
      <c r="C64" s="122" t="s">
        <v>1142</v>
      </c>
      <c r="D64" s="123">
        <v>40185</v>
      </c>
      <c r="E64" s="122" t="s">
        <v>1141</v>
      </c>
    </row>
    <row r="65" spans="1:5">
      <c r="A65" s="122" t="s">
        <v>1140</v>
      </c>
      <c r="B65" s="122" t="s">
        <v>1139</v>
      </c>
      <c r="C65" s="122" t="s">
        <v>1138</v>
      </c>
      <c r="D65" s="123">
        <v>40535</v>
      </c>
      <c r="E65" s="122" t="s">
        <v>1137</v>
      </c>
    </row>
    <row r="66" spans="1:5">
      <c r="A66" s="122" t="s">
        <v>1136</v>
      </c>
      <c r="B66" s="122" t="s">
        <v>1135</v>
      </c>
      <c r="C66" s="122" t="s">
        <v>1134</v>
      </c>
      <c r="D66" s="123">
        <v>36638</v>
      </c>
      <c r="E66" s="122" t="s">
        <v>1133</v>
      </c>
    </row>
    <row r="67" spans="1:5">
      <c r="A67" s="122" t="s">
        <v>1132</v>
      </c>
      <c r="B67" s="122" t="s">
        <v>1131</v>
      </c>
      <c r="C67" s="122" t="s">
        <v>1130</v>
      </c>
      <c r="D67" s="123">
        <v>36747</v>
      </c>
      <c r="E67" s="122" t="s">
        <v>1129</v>
      </c>
    </row>
    <row r="68" spans="1:5">
      <c r="A68" s="122" t="s">
        <v>1128</v>
      </c>
      <c r="B68" s="122" t="s">
        <v>1127</v>
      </c>
      <c r="C68" s="122" t="s">
        <v>1126</v>
      </c>
      <c r="D68" s="123">
        <v>40381</v>
      </c>
      <c r="E68" s="122" t="s">
        <v>1125</v>
      </c>
    </row>
    <row r="69" spans="1:5">
      <c r="A69" s="122" t="s">
        <v>1124</v>
      </c>
      <c r="B69" s="122" t="s">
        <v>1123</v>
      </c>
      <c r="C69" s="122" t="s">
        <v>1122</v>
      </c>
      <c r="D69" s="123">
        <v>35054</v>
      </c>
      <c r="E69" s="122" t="s">
        <v>1121</v>
      </c>
    </row>
    <row r="70" spans="1:5">
      <c r="A70" s="122" t="s">
        <v>1120</v>
      </c>
      <c r="B70" s="122" t="s">
        <v>1119</v>
      </c>
      <c r="C70" s="122" t="s">
        <v>1118</v>
      </c>
      <c r="D70" s="123">
        <v>31361</v>
      </c>
      <c r="E70" s="122" t="s">
        <v>1117</v>
      </c>
    </row>
    <row r="71" spans="1:5">
      <c r="A71" s="122" t="s">
        <v>1116</v>
      </c>
      <c r="B71" s="122" t="s">
        <v>1115</v>
      </c>
      <c r="C71" s="122" t="s">
        <v>1114</v>
      </c>
      <c r="D71" s="123">
        <v>34301</v>
      </c>
      <c r="E71" s="122" t="s">
        <v>1113</v>
      </c>
    </row>
    <row r="72" spans="1:5">
      <c r="A72" s="122" t="s">
        <v>1112</v>
      </c>
      <c r="B72" s="122" t="s">
        <v>1111</v>
      </c>
      <c r="C72" s="122" t="s">
        <v>1110</v>
      </c>
      <c r="D72" s="123">
        <v>40854</v>
      </c>
      <c r="E72" s="122" t="s">
        <v>1109</v>
      </c>
    </row>
    <row r="73" spans="1:5">
      <c r="A73" s="122" t="s">
        <v>1108</v>
      </c>
      <c r="B73" s="122" t="s">
        <v>1107</v>
      </c>
      <c r="C73" s="122" t="s">
        <v>1106</v>
      </c>
      <c r="D73" s="123">
        <v>34592</v>
      </c>
      <c r="E73" s="122" t="s">
        <v>1105</v>
      </c>
    </row>
    <row r="74" spans="1:5">
      <c r="A74" s="122" t="s">
        <v>1104</v>
      </c>
      <c r="B74" s="122" t="s">
        <v>1103</v>
      </c>
      <c r="C74" s="122" t="s">
        <v>1102</v>
      </c>
      <c r="D74" s="123">
        <v>39784</v>
      </c>
      <c r="E74" s="122" t="s">
        <v>1101</v>
      </c>
    </row>
    <row r="75" spans="1:5">
      <c r="A75" s="122" t="s">
        <v>1100</v>
      </c>
      <c r="B75" s="122" t="s">
        <v>1099</v>
      </c>
      <c r="C75" s="122" t="s">
        <v>1098</v>
      </c>
      <c r="D75" s="123">
        <v>40812</v>
      </c>
      <c r="E75" s="122" t="s">
        <v>1097</v>
      </c>
    </row>
    <row r="76" spans="1:5">
      <c r="A76" s="122" t="s">
        <v>1096</v>
      </c>
      <c r="B76" s="122" t="s">
        <v>1095</v>
      </c>
      <c r="C76" s="122" t="s">
        <v>1094</v>
      </c>
      <c r="D76" s="123">
        <v>37504</v>
      </c>
      <c r="E76" s="122" t="s">
        <v>1093</v>
      </c>
    </row>
    <row r="77" spans="1:5">
      <c r="A77" s="122" t="s">
        <v>1092</v>
      </c>
      <c r="B77" s="122" t="s">
        <v>1091</v>
      </c>
      <c r="C77" s="122" t="s">
        <v>1090</v>
      </c>
      <c r="D77" s="123">
        <v>39585</v>
      </c>
      <c r="E77" s="122" t="s">
        <v>1089</v>
      </c>
    </row>
    <row r="78" spans="1:5">
      <c r="A78" s="122" t="s">
        <v>1088</v>
      </c>
      <c r="B78" s="122" t="s">
        <v>1087</v>
      </c>
      <c r="C78" s="122" t="s">
        <v>1086</v>
      </c>
      <c r="D78" s="123">
        <v>40474</v>
      </c>
      <c r="E78" s="122" t="s">
        <v>1085</v>
      </c>
    </row>
    <row r="79" spans="1:5">
      <c r="A79" s="122" t="s">
        <v>1084</v>
      </c>
      <c r="B79" s="122" t="s">
        <v>1083</v>
      </c>
      <c r="C79" s="122" t="s">
        <v>1082</v>
      </c>
      <c r="D79" s="123">
        <v>39193</v>
      </c>
      <c r="E79" s="122" t="s">
        <v>1081</v>
      </c>
    </row>
    <row r="80" spans="1:5">
      <c r="A80" s="122" t="s">
        <v>1080</v>
      </c>
      <c r="B80" s="122" t="s">
        <v>1079</v>
      </c>
      <c r="C80" s="122" t="s">
        <v>1078</v>
      </c>
      <c r="D80" s="123">
        <v>37158</v>
      </c>
      <c r="E80" s="122" t="s">
        <v>1077</v>
      </c>
    </row>
    <row r="83" spans="1:1">
      <c r="A83" s="39"/>
    </row>
    <row r="84" spans="1:1">
      <c r="A84" s="39"/>
    </row>
    <row r="85" spans="1:1">
      <c r="A85" s="39"/>
    </row>
    <row r="86" spans="1:1">
      <c r="A86" s="39"/>
    </row>
    <row r="87" spans="1:1">
      <c r="A87" s="39"/>
    </row>
    <row r="88" spans="1:1">
      <c r="A88" s="39"/>
    </row>
    <row r="89" spans="1:1">
      <c r="A89" s="39"/>
    </row>
    <row r="90" spans="1:1">
      <c r="A90" s="39"/>
    </row>
    <row r="91" spans="1:1">
      <c r="A91" s="39"/>
    </row>
    <row r="92" spans="1:1">
      <c r="A92" s="39"/>
    </row>
    <row r="93" spans="1:1">
      <c r="A93" s="39"/>
    </row>
    <row r="94" spans="1:1">
      <c r="A94" s="39"/>
    </row>
    <row r="95" spans="1:1">
      <c r="A95" s="39"/>
    </row>
    <row r="96" spans="1:1">
      <c r="A96" s="39"/>
    </row>
    <row r="97" spans="1:1">
      <c r="A97" s="39"/>
    </row>
    <row r="98" spans="1:1">
      <c r="A98" s="39"/>
    </row>
    <row r="99" spans="1:1">
      <c r="A99" s="39"/>
    </row>
    <row r="100" spans="1:1">
      <c r="A100" s="39"/>
    </row>
    <row r="101" spans="1:1">
      <c r="A101" s="39"/>
    </row>
    <row r="102" spans="1:1">
      <c r="A102" s="39"/>
    </row>
    <row r="103" spans="1:1">
      <c r="A103" s="39"/>
    </row>
    <row r="104" spans="1:1">
      <c r="A104" s="45"/>
    </row>
    <row r="105" spans="1:1">
      <c r="A105" s="39"/>
    </row>
    <row r="106" spans="1:1">
      <c r="A106" s="39"/>
    </row>
    <row r="107" spans="1:1">
      <c r="A107" s="39"/>
    </row>
    <row r="108" spans="1:1">
      <c r="A108" s="39"/>
    </row>
    <row r="109" spans="1:1">
      <c r="A109" s="39"/>
    </row>
    <row r="110" spans="1:1">
      <c r="A110" s="39"/>
    </row>
    <row r="111" spans="1:1">
      <c r="A111" s="39"/>
    </row>
    <row r="112" spans="1:1">
      <c r="A112" s="39"/>
    </row>
    <row r="113" spans="1:1">
      <c r="A113" s="39"/>
    </row>
    <row r="114" spans="1:1">
      <c r="A114" s="39"/>
    </row>
    <row r="115" spans="1:1">
      <c r="A115" s="39"/>
    </row>
    <row r="116" spans="1:1">
      <c r="A116" s="39"/>
    </row>
    <row r="117" spans="1:1">
      <c r="A117" s="39"/>
    </row>
    <row r="118" spans="1:1">
      <c r="A118" s="39"/>
    </row>
    <row r="119" spans="1:1">
      <c r="A119" s="39"/>
    </row>
    <row r="120" spans="1:1">
      <c r="A120" s="39"/>
    </row>
    <row r="121" spans="1:1">
      <c r="A121" s="39"/>
    </row>
    <row r="122" spans="1:1">
      <c r="A122" s="39"/>
    </row>
    <row r="123" spans="1:1">
      <c r="A123" s="39"/>
    </row>
    <row r="124" spans="1:1">
      <c r="A124" s="39"/>
    </row>
    <row r="125" spans="1:1">
      <c r="A125" s="39"/>
    </row>
    <row r="126" spans="1:1">
      <c r="A126" s="39"/>
    </row>
    <row r="127" spans="1:1">
      <c r="A127" s="39"/>
    </row>
    <row r="128" spans="1:1">
      <c r="A128" s="39"/>
    </row>
    <row r="129" spans="1:1">
      <c r="A129" s="39"/>
    </row>
    <row r="130" spans="1:1">
      <c r="A130" s="39"/>
    </row>
    <row r="131" spans="1:1">
      <c r="A131" s="39"/>
    </row>
    <row r="132" spans="1:1">
      <c r="A132" s="39"/>
    </row>
    <row r="133" spans="1:1">
      <c r="A133" s="39"/>
    </row>
    <row r="134" spans="1:1">
      <c r="A134" s="39"/>
    </row>
    <row r="135" spans="1:1">
      <c r="A135" s="39"/>
    </row>
    <row r="136" spans="1:1">
      <c r="A136" s="39"/>
    </row>
    <row r="137" spans="1:1">
      <c r="A137" s="39"/>
    </row>
    <row r="138" spans="1:1">
      <c r="A138" s="39"/>
    </row>
    <row r="139" spans="1:1">
      <c r="A139" s="39"/>
    </row>
    <row r="140" spans="1:1">
      <c r="A140" s="39"/>
    </row>
    <row r="141" spans="1:1">
      <c r="A141" s="39"/>
    </row>
    <row r="142" spans="1:1">
      <c r="A142" s="39"/>
    </row>
    <row r="143" spans="1:1">
      <c r="A143" s="39"/>
    </row>
    <row r="144" spans="1:1">
      <c r="A144" s="39"/>
    </row>
    <row r="145" spans="1:1">
      <c r="A145" s="39"/>
    </row>
    <row r="146" spans="1:1">
      <c r="A146" s="39"/>
    </row>
    <row r="147" spans="1:1">
      <c r="A147" s="39"/>
    </row>
    <row r="148" spans="1:1">
      <c r="A148" s="39"/>
    </row>
    <row r="149" spans="1:1">
      <c r="A149" s="39"/>
    </row>
    <row r="150" spans="1:1">
      <c r="A150" s="39"/>
    </row>
    <row r="151" spans="1:1">
      <c r="A151" s="39"/>
    </row>
    <row r="152" spans="1:1">
      <c r="A152" s="39"/>
    </row>
    <row r="153" spans="1:1">
      <c r="A153" s="39"/>
    </row>
    <row r="154" spans="1:1">
      <c r="A154" s="39"/>
    </row>
    <row r="155" spans="1:1">
      <c r="A155" s="39"/>
    </row>
    <row r="156" spans="1:1">
      <c r="A156" s="39"/>
    </row>
    <row r="157" spans="1:1">
      <c r="A157" s="39"/>
    </row>
    <row r="158" spans="1:1">
      <c r="A158" s="39"/>
    </row>
    <row r="159" spans="1:1">
      <c r="A159" s="39"/>
    </row>
    <row r="160" spans="1:1">
      <c r="A160" s="39"/>
    </row>
    <row r="161" spans="1:1">
      <c r="A161" s="39"/>
    </row>
    <row r="162" spans="1:1">
      <c r="A162" s="39"/>
    </row>
    <row r="163" spans="1:1">
      <c r="A163" s="39"/>
    </row>
    <row r="164" spans="1:1">
      <c r="A164" s="39"/>
    </row>
    <row r="165" spans="1:1">
      <c r="A165" s="39"/>
    </row>
    <row r="166" spans="1:1">
      <c r="A166" s="39"/>
    </row>
    <row r="167" spans="1:1">
      <c r="A167" s="39"/>
    </row>
    <row r="168" spans="1:1">
      <c r="A168" s="39"/>
    </row>
    <row r="169" spans="1:1">
      <c r="A169" s="39"/>
    </row>
    <row r="170" spans="1:1">
      <c r="A170" s="39"/>
    </row>
    <row r="171" spans="1:1">
      <c r="A171" s="3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5"/>
  <sheetViews>
    <sheetView topLeftCell="A16" workbookViewId="0">
      <selection activeCell="A8" sqref="A8:XFD8"/>
    </sheetView>
  </sheetViews>
  <sheetFormatPr defaultRowHeight="12.75"/>
  <cols>
    <col min="1" max="1" width="2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c r="A1" s="85" t="s">
        <v>229</v>
      </c>
      <c r="B1" s="86" t="s">
        <v>230</v>
      </c>
      <c r="C1" s="87" t="s">
        <v>231</v>
      </c>
      <c r="D1" s="87" t="s">
        <v>234</v>
      </c>
      <c r="E1" s="88" t="s">
        <v>235</v>
      </c>
      <c r="F1" s="88" t="s">
        <v>237</v>
      </c>
      <c r="G1" s="87" t="s">
        <v>238</v>
      </c>
      <c r="H1" s="89" t="s">
        <v>239</v>
      </c>
      <c r="I1" s="86" t="s">
        <v>240</v>
      </c>
    </row>
    <row r="2" spans="1:9" ht="13.5">
      <c r="A2" s="91" t="s">
        <v>766</v>
      </c>
      <c r="B2" s="92" t="s">
        <v>245</v>
      </c>
      <c r="C2" s="91" t="s">
        <v>246</v>
      </c>
      <c r="D2" s="91" t="s">
        <v>256</v>
      </c>
      <c r="E2" s="93">
        <v>34861</v>
      </c>
      <c r="F2" s="94">
        <f t="shared" ref="F2:F7" ca="1" si="0">DATEDIF(E2,TODAY(),"Y")</f>
        <v>21</v>
      </c>
      <c r="G2" s="95" t="s">
        <v>257</v>
      </c>
      <c r="H2" s="96">
        <v>24550</v>
      </c>
      <c r="I2" s="97">
        <v>1</v>
      </c>
    </row>
    <row r="3" spans="1:9" ht="13.5">
      <c r="A3" s="91" t="s">
        <v>1024</v>
      </c>
      <c r="B3" s="92" t="s">
        <v>245</v>
      </c>
      <c r="C3" s="91" t="s">
        <v>246</v>
      </c>
      <c r="D3" s="91" t="s">
        <v>247</v>
      </c>
      <c r="E3" s="93">
        <v>37107</v>
      </c>
      <c r="F3" s="94">
        <f t="shared" ca="1" si="0"/>
        <v>15</v>
      </c>
      <c r="G3" s="95"/>
      <c r="H3" s="96">
        <v>42540</v>
      </c>
      <c r="I3" s="97">
        <v>5</v>
      </c>
    </row>
    <row r="4" spans="1:9" ht="13.5">
      <c r="A4" s="91" t="s">
        <v>627</v>
      </c>
      <c r="B4" s="92" t="s">
        <v>266</v>
      </c>
      <c r="C4" s="91" t="s">
        <v>246</v>
      </c>
      <c r="D4" s="91" t="s">
        <v>256</v>
      </c>
      <c r="E4" s="93">
        <v>38137</v>
      </c>
      <c r="F4" s="94">
        <f t="shared" ca="1" si="0"/>
        <v>12</v>
      </c>
      <c r="G4" s="95" t="s">
        <v>267</v>
      </c>
      <c r="H4" s="96">
        <v>72830</v>
      </c>
      <c r="I4" s="97">
        <v>2</v>
      </c>
    </row>
    <row r="5" spans="1:9" ht="13.5">
      <c r="A5" s="91" t="s">
        <v>627</v>
      </c>
      <c r="B5" s="92" t="s">
        <v>266</v>
      </c>
      <c r="C5" s="91" t="s">
        <v>246</v>
      </c>
      <c r="D5" s="91" t="s">
        <v>256</v>
      </c>
      <c r="E5" s="93">
        <v>38137</v>
      </c>
      <c r="F5" s="94">
        <f t="shared" ca="1" si="0"/>
        <v>12</v>
      </c>
      <c r="G5" s="95" t="s">
        <v>267</v>
      </c>
      <c r="H5" s="96">
        <v>72830</v>
      </c>
      <c r="I5" s="97">
        <v>2</v>
      </c>
    </row>
    <row r="6" spans="1:9" ht="13.5">
      <c r="A6" s="91" t="s">
        <v>619</v>
      </c>
      <c r="B6" s="92" t="s">
        <v>245</v>
      </c>
      <c r="C6" s="91" t="s">
        <v>246</v>
      </c>
      <c r="D6" s="91" t="s">
        <v>261</v>
      </c>
      <c r="E6" s="93">
        <v>31980</v>
      </c>
      <c r="F6" s="94">
        <f t="shared" ca="1" si="0"/>
        <v>29</v>
      </c>
      <c r="G6" s="95" t="s">
        <v>262</v>
      </c>
      <c r="H6" s="96">
        <v>26795</v>
      </c>
      <c r="I6" s="97">
        <v>4</v>
      </c>
    </row>
    <row r="7" spans="1:9" ht="13.5">
      <c r="A7" s="91" t="s">
        <v>430</v>
      </c>
      <c r="B7" s="92" t="s">
        <v>251</v>
      </c>
      <c r="C7" s="91" t="s">
        <v>246</v>
      </c>
      <c r="D7" s="91" t="s">
        <v>252</v>
      </c>
      <c r="E7" s="93">
        <v>32536</v>
      </c>
      <c r="F7" s="94">
        <f t="shared" ca="1" si="0"/>
        <v>27</v>
      </c>
      <c r="G7" s="95"/>
      <c r="H7" s="96">
        <v>35680</v>
      </c>
      <c r="I7" s="97">
        <v>2</v>
      </c>
    </row>
    <row r="8" spans="1:9" ht="13.5">
      <c r="A8" s="98"/>
      <c r="B8" s="92"/>
      <c r="C8" s="98"/>
      <c r="D8" s="91"/>
      <c r="E8" s="93"/>
      <c r="F8" s="94"/>
      <c r="G8" s="95"/>
      <c r="H8" s="96"/>
      <c r="I8" s="97"/>
    </row>
    <row r="9" spans="1:9" ht="13.5">
      <c r="A9" s="91" t="s">
        <v>272</v>
      </c>
      <c r="B9" s="92" t="s">
        <v>271</v>
      </c>
      <c r="C9" s="91" t="s">
        <v>272</v>
      </c>
      <c r="D9" s="91" t="s">
        <v>261</v>
      </c>
      <c r="E9" s="93">
        <v>32164</v>
      </c>
      <c r="F9" s="94">
        <f t="shared" ref="F9:F25" ca="1" si="1">DATEDIF(E9,TODAY(),"Y")</f>
        <v>28</v>
      </c>
      <c r="G9" s="95" t="s">
        <v>262</v>
      </c>
      <c r="H9" s="96">
        <v>30445</v>
      </c>
      <c r="I9" s="97">
        <v>1</v>
      </c>
    </row>
    <row r="10" spans="1:9" ht="13.5">
      <c r="A10" s="91" t="s">
        <v>272</v>
      </c>
      <c r="B10" s="92" t="s">
        <v>280</v>
      </c>
      <c r="C10" s="91" t="s">
        <v>272</v>
      </c>
      <c r="D10" s="91" t="s">
        <v>252</v>
      </c>
      <c r="E10" s="93">
        <v>32172</v>
      </c>
      <c r="F10" s="94">
        <f t="shared" ca="1" si="1"/>
        <v>28</v>
      </c>
      <c r="G10" s="95" t="s">
        <v>257</v>
      </c>
      <c r="H10" s="96">
        <v>29070</v>
      </c>
      <c r="I10" s="97">
        <v>3</v>
      </c>
    </row>
    <row r="11" spans="1:9" ht="13.5">
      <c r="A11" s="91" t="s">
        <v>272</v>
      </c>
      <c r="B11" s="92" t="s">
        <v>285</v>
      </c>
      <c r="C11" s="91" t="s">
        <v>272</v>
      </c>
      <c r="D11" s="91" t="s">
        <v>256</v>
      </c>
      <c r="E11" s="93">
        <v>32521</v>
      </c>
      <c r="F11" s="94">
        <f t="shared" ca="1" si="1"/>
        <v>27</v>
      </c>
      <c r="G11" s="95" t="s">
        <v>257</v>
      </c>
      <c r="H11" s="96">
        <v>79760</v>
      </c>
      <c r="I11" s="97">
        <v>5</v>
      </c>
    </row>
    <row r="12" spans="1:9" ht="13.5">
      <c r="A12" s="91" t="s">
        <v>272</v>
      </c>
      <c r="B12" s="92" t="s">
        <v>271</v>
      </c>
      <c r="C12" s="91" t="s">
        <v>272</v>
      </c>
      <c r="D12" s="91" t="s">
        <v>247</v>
      </c>
      <c r="E12" s="93">
        <v>32766</v>
      </c>
      <c r="F12" s="94">
        <f t="shared" ca="1" si="1"/>
        <v>27</v>
      </c>
      <c r="G12" s="95"/>
      <c r="H12" s="96">
        <v>66580</v>
      </c>
      <c r="I12" s="97">
        <v>5</v>
      </c>
    </row>
    <row r="13" spans="1:9" ht="13.5">
      <c r="A13" s="91" t="s">
        <v>272</v>
      </c>
      <c r="B13" s="92" t="s">
        <v>285</v>
      </c>
      <c r="C13" s="91" t="s">
        <v>272</v>
      </c>
      <c r="D13" s="91" t="s">
        <v>256</v>
      </c>
      <c r="E13" s="93">
        <v>34154</v>
      </c>
      <c r="F13" s="94">
        <f t="shared" ca="1" si="1"/>
        <v>23</v>
      </c>
      <c r="G13" s="95" t="s">
        <v>257</v>
      </c>
      <c r="H13" s="96">
        <v>60830</v>
      </c>
      <c r="I13" s="97">
        <v>1</v>
      </c>
    </row>
    <row r="14" spans="1:9" ht="13.5">
      <c r="A14" s="91" t="s">
        <v>272</v>
      </c>
      <c r="B14" s="92" t="s">
        <v>280</v>
      </c>
      <c r="C14" s="91" t="s">
        <v>272</v>
      </c>
      <c r="D14" s="91" t="s">
        <v>256</v>
      </c>
      <c r="E14" s="93">
        <v>34432</v>
      </c>
      <c r="F14" s="94">
        <f t="shared" ca="1" si="1"/>
        <v>22</v>
      </c>
      <c r="G14" s="95" t="s">
        <v>283</v>
      </c>
      <c r="H14" s="96">
        <v>85300</v>
      </c>
      <c r="I14" s="97">
        <v>2</v>
      </c>
    </row>
    <row r="15" spans="1:9" ht="13.5">
      <c r="A15" s="91" t="s">
        <v>272</v>
      </c>
      <c r="B15" s="92" t="s">
        <v>251</v>
      </c>
      <c r="C15" s="91" t="s">
        <v>272</v>
      </c>
      <c r="D15" s="91" t="s">
        <v>256</v>
      </c>
      <c r="E15" s="93">
        <v>34833</v>
      </c>
      <c r="F15" s="94">
        <f t="shared" ca="1" si="1"/>
        <v>21</v>
      </c>
      <c r="G15" s="95" t="s">
        <v>283</v>
      </c>
      <c r="H15" s="96">
        <v>72090</v>
      </c>
      <c r="I15" s="97">
        <v>5</v>
      </c>
    </row>
    <row r="16" spans="1:9" ht="13.5">
      <c r="A16" s="91" t="s">
        <v>272</v>
      </c>
      <c r="B16" s="92" t="s">
        <v>251</v>
      </c>
      <c r="C16" s="91" t="s">
        <v>272</v>
      </c>
      <c r="D16" s="91" t="s">
        <v>261</v>
      </c>
      <c r="E16" s="93">
        <v>34907</v>
      </c>
      <c r="F16" s="94">
        <f t="shared" ca="1" si="1"/>
        <v>21</v>
      </c>
      <c r="G16" s="95" t="s">
        <v>257</v>
      </c>
      <c r="H16" s="96">
        <v>15240</v>
      </c>
      <c r="I16" s="97">
        <v>1</v>
      </c>
    </row>
    <row r="17" spans="1:9" ht="13.5">
      <c r="A17" s="91" t="s">
        <v>272</v>
      </c>
      <c r="B17" s="92" t="s">
        <v>285</v>
      </c>
      <c r="C17" s="91" t="s">
        <v>272</v>
      </c>
      <c r="D17" s="91" t="s">
        <v>256</v>
      </c>
      <c r="E17" s="93">
        <v>34950</v>
      </c>
      <c r="F17" s="94">
        <f t="shared" ca="1" si="1"/>
        <v>21</v>
      </c>
      <c r="G17" s="95" t="s">
        <v>257</v>
      </c>
      <c r="H17" s="96">
        <v>75150</v>
      </c>
      <c r="I17" s="97">
        <v>1</v>
      </c>
    </row>
    <row r="18" spans="1:9" ht="13.5">
      <c r="A18" s="91" t="s">
        <v>272</v>
      </c>
      <c r="B18" s="92" t="s">
        <v>266</v>
      </c>
      <c r="C18" s="91" t="s">
        <v>272</v>
      </c>
      <c r="D18" s="91" t="s">
        <v>256</v>
      </c>
      <c r="E18" s="93">
        <v>35454</v>
      </c>
      <c r="F18" s="94">
        <f t="shared" ca="1" si="1"/>
        <v>19</v>
      </c>
      <c r="G18" s="95" t="s">
        <v>276</v>
      </c>
      <c r="H18" s="96">
        <v>74840</v>
      </c>
      <c r="I18" s="97">
        <v>4</v>
      </c>
    </row>
    <row r="19" spans="1:9" ht="13.5">
      <c r="A19" s="91" t="s">
        <v>272</v>
      </c>
      <c r="B19" s="92" t="s">
        <v>245</v>
      </c>
      <c r="C19" s="91" t="s">
        <v>272</v>
      </c>
      <c r="D19" s="91" t="s">
        <v>247</v>
      </c>
      <c r="E19" s="93">
        <v>35467</v>
      </c>
      <c r="F19" s="94">
        <f t="shared" ca="1" si="1"/>
        <v>19</v>
      </c>
      <c r="G19" s="95"/>
      <c r="H19" s="96">
        <v>76690</v>
      </c>
      <c r="I19" s="97">
        <v>3</v>
      </c>
    </row>
    <row r="20" spans="1:9" ht="13.5">
      <c r="A20" s="91" t="s">
        <v>272</v>
      </c>
      <c r="B20" s="92" t="s">
        <v>251</v>
      </c>
      <c r="C20" s="91" t="s">
        <v>272</v>
      </c>
      <c r="D20" s="91" t="s">
        <v>256</v>
      </c>
      <c r="E20" s="93">
        <v>36094</v>
      </c>
      <c r="F20" s="94">
        <f t="shared" ca="1" si="1"/>
        <v>18</v>
      </c>
      <c r="G20" s="95" t="s">
        <v>257</v>
      </c>
      <c r="H20" s="96">
        <v>30780</v>
      </c>
      <c r="I20" s="97">
        <v>4</v>
      </c>
    </row>
    <row r="21" spans="1:9" ht="13.5">
      <c r="A21" s="91" t="s">
        <v>272</v>
      </c>
      <c r="B21" s="92" t="s">
        <v>271</v>
      </c>
      <c r="C21" s="91" t="s">
        <v>272</v>
      </c>
      <c r="D21" s="91" t="s">
        <v>261</v>
      </c>
      <c r="E21" s="93">
        <v>36472</v>
      </c>
      <c r="F21" s="94">
        <f t="shared" ca="1" si="1"/>
        <v>17</v>
      </c>
      <c r="G21" s="95" t="s">
        <v>276</v>
      </c>
      <c r="H21" s="96">
        <v>17735</v>
      </c>
      <c r="I21" s="97">
        <v>3</v>
      </c>
    </row>
    <row r="22" spans="1:9" ht="13.5">
      <c r="A22" s="91" t="s">
        <v>272</v>
      </c>
      <c r="B22" s="92" t="s">
        <v>271</v>
      </c>
      <c r="C22" s="91" t="s">
        <v>272</v>
      </c>
      <c r="D22" s="91" t="s">
        <v>256</v>
      </c>
      <c r="E22" s="93">
        <v>36832</v>
      </c>
      <c r="F22" s="94">
        <f t="shared" ca="1" si="1"/>
        <v>16</v>
      </c>
      <c r="G22" s="95" t="s">
        <v>257</v>
      </c>
      <c r="H22" s="96">
        <v>49350</v>
      </c>
      <c r="I22" s="97">
        <v>4</v>
      </c>
    </row>
    <row r="23" spans="1:9" ht="13.5">
      <c r="A23" s="91" t="s">
        <v>272</v>
      </c>
      <c r="B23" s="92" t="s">
        <v>266</v>
      </c>
      <c r="C23" s="91" t="s">
        <v>272</v>
      </c>
      <c r="D23" s="91" t="s">
        <v>256</v>
      </c>
      <c r="E23" s="93">
        <v>37759</v>
      </c>
      <c r="F23" s="94">
        <f t="shared" ca="1" si="1"/>
        <v>13</v>
      </c>
      <c r="G23" s="95" t="s">
        <v>267</v>
      </c>
      <c r="H23" s="96">
        <v>37670</v>
      </c>
      <c r="I23" s="97">
        <v>3</v>
      </c>
    </row>
    <row r="24" spans="1:9" ht="13.5">
      <c r="A24" s="91" t="s">
        <v>272</v>
      </c>
      <c r="B24" s="92" t="s">
        <v>245</v>
      </c>
      <c r="C24" s="91" t="s">
        <v>272</v>
      </c>
      <c r="D24" s="91" t="s">
        <v>256</v>
      </c>
      <c r="E24" s="93">
        <v>38394</v>
      </c>
      <c r="F24" s="94">
        <f t="shared" ca="1" si="1"/>
        <v>11</v>
      </c>
      <c r="G24" s="95" t="s">
        <v>276</v>
      </c>
      <c r="H24" s="96">
        <v>58290</v>
      </c>
      <c r="I24" s="97">
        <v>5</v>
      </c>
    </row>
    <row r="25" spans="1:9" ht="13.5">
      <c r="A25" s="91" t="s">
        <v>272</v>
      </c>
      <c r="B25" s="92" t="s">
        <v>245</v>
      </c>
      <c r="C25" s="91" t="s">
        <v>272</v>
      </c>
      <c r="D25" s="91" t="s">
        <v>252</v>
      </c>
      <c r="E25" s="93">
        <v>38816</v>
      </c>
      <c r="F25" s="94">
        <f t="shared" ca="1" si="1"/>
        <v>10</v>
      </c>
      <c r="G25" s="95"/>
      <c r="H25" s="96">
        <v>10636</v>
      </c>
      <c r="I25" s="97">
        <v>4</v>
      </c>
    </row>
    <row r="26" spans="1:9" ht="13.5">
      <c r="A26" s="98"/>
      <c r="B26" s="92"/>
      <c r="C26" s="98"/>
      <c r="D26" s="91"/>
      <c r="E26" s="93"/>
      <c r="F26" s="94"/>
      <c r="G26" s="95"/>
      <c r="H26" s="96"/>
      <c r="I26" s="97"/>
    </row>
    <row r="27" spans="1:9" ht="13.5">
      <c r="A27" s="91" t="s">
        <v>296</v>
      </c>
      <c r="B27" s="92" t="s">
        <v>245</v>
      </c>
      <c r="C27" s="91" t="s">
        <v>296</v>
      </c>
      <c r="D27" s="91" t="s">
        <v>256</v>
      </c>
      <c r="E27" s="93">
        <v>32241</v>
      </c>
      <c r="F27" s="94">
        <f t="shared" ref="F27:F36" ca="1" si="2">DATEDIF(E27,TODAY(),"Y")</f>
        <v>28</v>
      </c>
      <c r="G27" s="95" t="s">
        <v>262</v>
      </c>
      <c r="H27" s="96">
        <v>41350</v>
      </c>
      <c r="I27" s="97">
        <v>2</v>
      </c>
    </row>
    <row r="28" spans="1:9" ht="13.5">
      <c r="A28" s="91" t="s">
        <v>296</v>
      </c>
      <c r="B28" s="92" t="s">
        <v>285</v>
      </c>
      <c r="C28" s="91" t="s">
        <v>296</v>
      </c>
      <c r="D28" s="91" t="s">
        <v>256</v>
      </c>
      <c r="E28" s="93">
        <v>32991</v>
      </c>
      <c r="F28" s="94">
        <f t="shared" ca="1" si="2"/>
        <v>26</v>
      </c>
      <c r="G28" s="95" t="s">
        <v>257</v>
      </c>
      <c r="H28" s="96">
        <v>73440</v>
      </c>
      <c r="I28" s="97">
        <v>1</v>
      </c>
    </row>
    <row r="29" spans="1:9" ht="13.5">
      <c r="A29" s="91" t="s">
        <v>296</v>
      </c>
      <c r="B29" s="92" t="s">
        <v>271</v>
      </c>
      <c r="C29" s="91" t="s">
        <v>296</v>
      </c>
      <c r="D29" s="91" t="s">
        <v>256</v>
      </c>
      <c r="E29" s="93">
        <v>34149</v>
      </c>
      <c r="F29" s="94">
        <f t="shared" ca="1" si="2"/>
        <v>23</v>
      </c>
      <c r="G29" s="95" t="s">
        <v>283</v>
      </c>
      <c r="H29" s="96">
        <v>49360</v>
      </c>
      <c r="I29" s="97">
        <v>2</v>
      </c>
    </row>
    <row r="30" spans="1:9" ht="13.5">
      <c r="A30" s="91" t="s">
        <v>296</v>
      </c>
      <c r="B30" s="92" t="s">
        <v>245</v>
      </c>
      <c r="C30" s="91" t="s">
        <v>296</v>
      </c>
      <c r="D30" s="91" t="s">
        <v>261</v>
      </c>
      <c r="E30" s="93">
        <v>34254</v>
      </c>
      <c r="F30" s="94">
        <f t="shared" ca="1" si="2"/>
        <v>23</v>
      </c>
      <c r="G30" s="95" t="s">
        <v>257</v>
      </c>
      <c r="H30" s="96">
        <v>11025</v>
      </c>
      <c r="I30" s="97">
        <v>1</v>
      </c>
    </row>
    <row r="31" spans="1:9" ht="13.5">
      <c r="A31" s="91" t="s">
        <v>296</v>
      </c>
      <c r="B31" s="92" t="s">
        <v>271</v>
      </c>
      <c r="C31" s="91" t="s">
        <v>296</v>
      </c>
      <c r="D31" s="91" t="s">
        <v>252</v>
      </c>
      <c r="E31" s="93">
        <v>34364</v>
      </c>
      <c r="F31" s="94">
        <f t="shared" ca="1" si="2"/>
        <v>22</v>
      </c>
      <c r="G31" s="95"/>
      <c r="H31" s="96">
        <v>20028</v>
      </c>
      <c r="I31" s="97">
        <v>4</v>
      </c>
    </row>
    <row r="32" spans="1:9" ht="13.5">
      <c r="A32" s="91" t="s">
        <v>296</v>
      </c>
      <c r="B32" s="92" t="s">
        <v>285</v>
      </c>
      <c r="C32" s="91" t="s">
        <v>296</v>
      </c>
      <c r="D32" s="91" t="s">
        <v>256</v>
      </c>
      <c r="E32" s="93">
        <v>34904</v>
      </c>
      <c r="F32" s="94">
        <f t="shared" ca="1" si="2"/>
        <v>21</v>
      </c>
      <c r="G32" s="95" t="s">
        <v>276</v>
      </c>
      <c r="H32" s="96">
        <v>47850</v>
      </c>
      <c r="I32" s="97">
        <v>1</v>
      </c>
    </row>
    <row r="33" spans="1:9" ht="13.5">
      <c r="A33" s="91" t="s">
        <v>296</v>
      </c>
      <c r="B33" s="92" t="s">
        <v>245</v>
      </c>
      <c r="C33" s="91" t="s">
        <v>296</v>
      </c>
      <c r="D33" s="91" t="s">
        <v>256</v>
      </c>
      <c r="E33" s="93">
        <v>35309</v>
      </c>
      <c r="F33" s="94">
        <f t="shared" ca="1" si="2"/>
        <v>20</v>
      </c>
      <c r="G33" s="95" t="s">
        <v>267</v>
      </c>
      <c r="H33" s="96">
        <v>56440</v>
      </c>
      <c r="I33" s="97">
        <v>1</v>
      </c>
    </row>
    <row r="34" spans="1:9" ht="13.5">
      <c r="A34" s="91" t="s">
        <v>296</v>
      </c>
      <c r="B34" s="92" t="s">
        <v>245</v>
      </c>
      <c r="C34" s="91" t="s">
        <v>296</v>
      </c>
      <c r="D34" s="91" t="s">
        <v>256</v>
      </c>
      <c r="E34" s="93">
        <v>35583</v>
      </c>
      <c r="F34" s="94">
        <f t="shared" ca="1" si="2"/>
        <v>19</v>
      </c>
      <c r="G34" s="95" t="s">
        <v>283</v>
      </c>
      <c r="H34" s="96">
        <v>33640</v>
      </c>
      <c r="I34" s="97">
        <v>3</v>
      </c>
    </row>
    <row r="35" spans="1:9" ht="13.5">
      <c r="A35" s="91" t="s">
        <v>296</v>
      </c>
      <c r="B35" s="92" t="s">
        <v>251</v>
      </c>
      <c r="C35" s="91" t="s">
        <v>296</v>
      </c>
      <c r="D35" s="91" t="s">
        <v>256</v>
      </c>
      <c r="E35" s="93">
        <v>36741</v>
      </c>
      <c r="F35" s="94">
        <f t="shared" ca="1" si="2"/>
        <v>16</v>
      </c>
      <c r="G35" s="95" t="s">
        <v>257</v>
      </c>
      <c r="H35" s="96">
        <v>30350</v>
      </c>
      <c r="I35" s="97">
        <v>1</v>
      </c>
    </row>
    <row r="36" spans="1:9" ht="13.5">
      <c r="A36" s="91" t="s">
        <v>296</v>
      </c>
      <c r="B36" s="92" t="s">
        <v>245</v>
      </c>
      <c r="C36" s="91" t="s">
        <v>296</v>
      </c>
      <c r="D36" s="91" t="s">
        <v>256</v>
      </c>
      <c r="E36" s="93">
        <v>38796</v>
      </c>
      <c r="F36" s="94">
        <f t="shared" ca="1" si="2"/>
        <v>10</v>
      </c>
      <c r="G36" s="95" t="s">
        <v>262</v>
      </c>
      <c r="H36" s="96">
        <v>51180</v>
      </c>
      <c r="I36" s="97">
        <v>3</v>
      </c>
    </row>
    <row r="37" spans="1:9" ht="13.5">
      <c r="A37" s="98"/>
      <c r="B37" s="92"/>
      <c r="C37" s="98"/>
      <c r="D37" s="91"/>
      <c r="E37" s="93"/>
      <c r="F37" s="94"/>
      <c r="G37" s="95"/>
      <c r="H37" s="96"/>
      <c r="I37" s="97"/>
    </row>
    <row r="38" spans="1:9" ht="13.5">
      <c r="A38" s="91" t="s">
        <v>307</v>
      </c>
      <c r="B38" s="92" t="s">
        <v>285</v>
      </c>
      <c r="C38" s="91" t="s">
        <v>307</v>
      </c>
      <c r="D38" s="91" t="s">
        <v>256</v>
      </c>
      <c r="E38" s="93">
        <v>32403</v>
      </c>
      <c r="F38" s="94">
        <f ca="1">DATEDIF(E38,TODAY(),"Y")</f>
        <v>28</v>
      </c>
      <c r="G38" s="95" t="s">
        <v>257</v>
      </c>
      <c r="H38" s="96">
        <v>46220</v>
      </c>
      <c r="I38" s="97">
        <v>3</v>
      </c>
    </row>
    <row r="39" spans="1:9" ht="13.5">
      <c r="A39" s="91" t="s">
        <v>307</v>
      </c>
      <c r="B39" s="92" t="s">
        <v>280</v>
      </c>
      <c r="C39" s="91" t="s">
        <v>307</v>
      </c>
      <c r="D39" s="91" t="s">
        <v>247</v>
      </c>
      <c r="E39" s="93">
        <v>34085</v>
      </c>
      <c r="F39" s="94">
        <f ca="1">DATEDIF(E39,TODAY(),"Y")</f>
        <v>23</v>
      </c>
      <c r="G39" s="95"/>
      <c r="H39" s="96">
        <v>58130</v>
      </c>
      <c r="I39" s="97">
        <v>2</v>
      </c>
    </row>
    <row r="40" spans="1:9" ht="13.5">
      <c r="A40" s="91" t="s">
        <v>307</v>
      </c>
      <c r="B40" s="92" t="s">
        <v>285</v>
      </c>
      <c r="C40" s="91" t="s">
        <v>307</v>
      </c>
      <c r="D40" s="91" t="s">
        <v>261</v>
      </c>
      <c r="E40" s="93">
        <v>38107</v>
      </c>
      <c r="F40" s="94">
        <f ca="1">DATEDIF(E40,TODAY(),"Y")</f>
        <v>12</v>
      </c>
      <c r="G40" s="95" t="s">
        <v>267</v>
      </c>
      <c r="H40" s="96">
        <v>46095</v>
      </c>
      <c r="I40" s="97">
        <v>3</v>
      </c>
    </row>
    <row r="41" spans="1:9" ht="13.5">
      <c r="A41" s="91" t="s">
        <v>307</v>
      </c>
      <c r="B41" s="92" t="s">
        <v>271</v>
      </c>
      <c r="C41" s="91" t="s">
        <v>307</v>
      </c>
      <c r="D41" s="91" t="s">
        <v>261</v>
      </c>
      <c r="E41" s="93">
        <v>38842</v>
      </c>
      <c r="F41" s="94">
        <f ca="1">DATEDIF(E41,TODAY(),"Y")</f>
        <v>10</v>
      </c>
      <c r="G41" s="95" t="s">
        <v>283</v>
      </c>
      <c r="H41" s="96">
        <v>28680</v>
      </c>
      <c r="I41" s="97">
        <v>1</v>
      </c>
    </row>
    <row r="42" spans="1:9" ht="13.5">
      <c r="A42" s="98"/>
      <c r="B42" s="92"/>
      <c r="C42" s="98"/>
      <c r="D42" s="91"/>
      <c r="E42" s="93"/>
      <c r="F42" s="94"/>
      <c r="G42" s="95"/>
      <c r="H42" s="96"/>
      <c r="I42" s="97"/>
    </row>
    <row r="43" spans="1:9" ht="13.5">
      <c r="A43" s="91" t="s">
        <v>312</v>
      </c>
      <c r="B43" s="92" t="s">
        <v>271</v>
      </c>
      <c r="C43" s="91" t="s">
        <v>312</v>
      </c>
      <c r="D43" s="91" t="s">
        <v>247</v>
      </c>
      <c r="E43" s="93">
        <v>31918</v>
      </c>
      <c r="F43" s="94">
        <f t="shared" ref="F43:F74" ca="1" si="3">DATEDIF(E43,TODAY(),"Y")</f>
        <v>29</v>
      </c>
      <c r="G43" s="95"/>
      <c r="H43" s="96">
        <v>42940</v>
      </c>
      <c r="I43" s="97">
        <v>1</v>
      </c>
    </row>
    <row r="44" spans="1:9" ht="13.5">
      <c r="A44" s="91" t="s">
        <v>312</v>
      </c>
      <c r="B44" s="92" t="s">
        <v>245</v>
      </c>
      <c r="C44" s="91" t="s">
        <v>312</v>
      </c>
      <c r="D44" s="91" t="s">
        <v>256</v>
      </c>
      <c r="E44" s="93">
        <v>32038</v>
      </c>
      <c r="F44" s="94">
        <f t="shared" ca="1" si="3"/>
        <v>29</v>
      </c>
      <c r="G44" s="95" t="s">
        <v>276</v>
      </c>
      <c r="H44" s="96">
        <v>49810</v>
      </c>
      <c r="I44" s="97">
        <v>2</v>
      </c>
    </row>
    <row r="45" spans="1:9" ht="13.5">
      <c r="A45" s="91" t="s">
        <v>312</v>
      </c>
      <c r="B45" s="92" t="s">
        <v>285</v>
      </c>
      <c r="C45" s="91" t="s">
        <v>312</v>
      </c>
      <c r="D45" s="91" t="s">
        <v>261</v>
      </c>
      <c r="E45" s="93">
        <v>32162</v>
      </c>
      <c r="F45" s="94">
        <f t="shared" ca="1" si="3"/>
        <v>28</v>
      </c>
      <c r="G45" s="95" t="s">
        <v>262</v>
      </c>
      <c r="H45" s="96">
        <v>13800</v>
      </c>
      <c r="I45" s="97">
        <v>3</v>
      </c>
    </row>
    <row r="46" spans="1:9" ht="13.5">
      <c r="A46" s="91" t="s">
        <v>312</v>
      </c>
      <c r="B46" s="92" t="s">
        <v>271</v>
      </c>
      <c r="C46" s="91" t="s">
        <v>312</v>
      </c>
      <c r="D46" s="91" t="s">
        <v>256</v>
      </c>
      <c r="E46" s="93">
        <v>32217</v>
      </c>
      <c r="F46" s="94">
        <f t="shared" ca="1" si="3"/>
        <v>28</v>
      </c>
      <c r="G46" s="95" t="s">
        <v>283</v>
      </c>
      <c r="H46" s="96">
        <v>85920</v>
      </c>
      <c r="I46" s="97">
        <v>4</v>
      </c>
    </row>
    <row r="47" spans="1:9" ht="13.5">
      <c r="A47" s="91" t="s">
        <v>312</v>
      </c>
      <c r="B47" s="92" t="s">
        <v>271</v>
      </c>
      <c r="C47" s="91" t="s">
        <v>312</v>
      </c>
      <c r="D47" s="91" t="s">
        <v>256</v>
      </c>
      <c r="E47" s="93">
        <v>32265</v>
      </c>
      <c r="F47" s="94">
        <f t="shared" ca="1" si="3"/>
        <v>28</v>
      </c>
      <c r="G47" s="95" t="s">
        <v>262</v>
      </c>
      <c r="H47" s="96">
        <v>61400</v>
      </c>
      <c r="I47" s="97">
        <v>5</v>
      </c>
    </row>
    <row r="48" spans="1:9" ht="13.5">
      <c r="A48" s="91" t="s">
        <v>312</v>
      </c>
      <c r="B48" s="92" t="s">
        <v>285</v>
      </c>
      <c r="C48" s="91" t="s">
        <v>312</v>
      </c>
      <c r="D48" s="91" t="s">
        <v>252</v>
      </c>
      <c r="E48" s="93">
        <v>32310</v>
      </c>
      <c r="F48" s="94">
        <f t="shared" ca="1" si="3"/>
        <v>28</v>
      </c>
      <c r="G48" s="95"/>
      <c r="H48" s="96">
        <v>14568</v>
      </c>
      <c r="I48" s="97">
        <v>3</v>
      </c>
    </row>
    <row r="49" spans="1:9" ht="13.5">
      <c r="A49" s="91" t="s">
        <v>312</v>
      </c>
      <c r="B49" s="92" t="s">
        <v>251</v>
      </c>
      <c r="C49" s="91" t="s">
        <v>312</v>
      </c>
      <c r="D49" s="91" t="s">
        <v>247</v>
      </c>
      <c r="E49" s="93">
        <v>32368</v>
      </c>
      <c r="F49" s="94">
        <f t="shared" ca="1" si="3"/>
        <v>28</v>
      </c>
      <c r="G49" s="95"/>
      <c r="H49" s="96">
        <v>64460</v>
      </c>
      <c r="I49" s="97">
        <v>1</v>
      </c>
    </row>
    <row r="50" spans="1:9" ht="13.5">
      <c r="A50" s="91" t="s">
        <v>312</v>
      </c>
      <c r="B50" s="92" t="s">
        <v>285</v>
      </c>
      <c r="C50" s="91" t="s">
        <v>312</v>
      </c>
      <c r="D50" s="91" t="s">
        <v>256</v>
      </c>
      <c r="E50" s="93">
        <v>32436</v>
      </c>
      <c r="F50" s="94">
        <f t="shared" ca="1" si="3"/>
        <v>28</v>
      </c>
      <c r="G50" s="95" t="s">
        <v>262</v>
      </c>
      <c r="H50" s="96">
        <v>31830</v>
      </c>
      <c r="I50" s="97">
        <v>3</v>
      </c>
    </row>
    <row r="51" spans="1:9" ht="13.5">
      <c r="A51" s="91" t="s">
        <v>312</v>
      </c>
      <c r="B51" s="92" t="s">
        <v>245</v>
      </c>
      <c r="C51" s="91" t="s">
        <v>312</v>
      </c>
      <c r="D51" s="91" t="s">
        <v>256</v>
      </c>
      <c r="E51" s="93">
        <v>32476</v>
      </c>
      <c r="F51" s="94">
        <f t="shared" ca="1" si="3"/>
        <v>27</v>
      </c>
      <c r="G51" s="95" t="s">
        <v>257</v>
      </c>
      <c r="H51" s="96">
        <v>71150</v>
      </c>
      <c r="I51" s="97">
        <v>2</v>
      </c>
    </row>
    <row r="52" spans="1:9" ht="13.5">
      <c r="A52" s="91" t="s">
        <v>312</v>
      </c>
      <c r="B52" s="92" t="s">
        <v>285</v>
      </c>
      <c r="C52" s="91" t="s">
        <v>312</v>
      </c>
      <c r="D52" s="91" t="s">
        <v>256</v>
      </c>
      <c r="E52" s="93">
        <v>32585</v>
      </c>
      <c r="F52" s="94">
        <f t="shared" ca="1" si="3"/>
        <v>27</v>
      </c>
      <c r="G52" s="95" t="s">
        <v>283</v>
      </c>
      <c r="H52" s="96">
        <v>71670</v>
      </c>
      <c r="I52" s="97">
        <v>4</v>
      </c>
    </row>
    <row r="53" spans="1:9" ht="13.5">
      <c r="A53" s="91" t="s">
        <v>312</v>
      </c>
      <c r="B53" s="92" t="s">
        <v>245</v>
      </c>
      <c r="C53" s="91" t="s">
        <v>312</v>
      </c>
      <c r="D53" s="91" t="s">
        <v>247</v>
      </c>
      <c r="E53" s="93">
        <v>32671</v>
      </c>
      <c r="F53" s="94">
        <f t="shared" ca="1" si="3"/>
        <v>27</v>
      </c>
      <c r="G53" s="95"/>
      <c r="H53" s="96">
        <v>83020</v>
      </c>
      <c r="I53" s="97">
        <v>4</v>
      </c>
    </row>
    <row r="54" spans="1:9" ht="13.5">
      <c r="A54" s="91" t="s">
        <v>312</v>
      </c>
      <c r="B54" s="92" t="s">
        <v>271</v>
      </c>
      <c r="C54" s="91" t="s">
        <v>312</v>
      </c>
      <c r="D54" s="91" t="s">
        <v>261</v>
      </c>
      <c r="E54" s="93">
        <v>32856</v>
      </c>
      <c r="F54" s="94">
        <f t="shared" ca="1" si="3"/>
        <v>26</v>
      </c>
      <c r="G54" s="95" t="s">
        <v>257</v>
      </c>
      <c r="H54" s="96">
        <v>26890</v>
      </c>
      <c r="I54" s="97">
        <v>3</v>
      </c>
    </row>
    <row r="55" spans="1:9" ht="13.5">
      <c r="A55" s="91" t="s">
        <v>312</v>
      </c>
      <c r="B55" s="92" t="s">
        <v>285</v>
      </c>
      <c r="C55" s="91" t="s">
        <v>312</v>
      </c>
      <c r="D55" s="91" t="s">
        <v>256</v>
      </c>
      <c r="E55" s="93">
        <v>33164</v>
      </c>
      <c r="F55" s="94">
        <f t="shared" ca="1" si="3"/>
        <v>26</v>
      </c>
      <c r="G55" s="95" t="s">
        <v>262</v>
      </c>
      <c r="H55" s="96">
        <v>74670</v>
      </c>
      <c r="I55" s="97">
        <v>5</v>
      </c>
    </row>
    <row r="56" spans="1:9" ht="13.5">
      <c r="A56" s="91" t="s">
        <v>312</v>
      </c>
      <c r="B56" s="92" t="s">
        <v>285</v>
      </c>
      <c r="C56" s="91" t="s">
        <v>312</v>
      </c>
      <c r="D56" s="91" t="s">
        <v>261</v>
      </c>
      <c r="E56" s="93">
        <v>33238</v>
      </c>
      <c r="F56" s="94">
        <f t="shared" ca="1" si="3"/>
        <v>25</v>
      </c>
      <c r="G56" s="95" t="s">
        <v>276</v>
      </c>
      <c r="H56" s="96">
        <v>38920</v>
      </c>
      <c r="I56" s="97">
        <v>4</v>
      </c>
    </row>
    <row r="57" spans="1:9" ht="13.5">
      <c r="A57" s="91" t="s">
        <v>312</v>
      </c>
      <c r="B57" s="92" t="s">
        <v>285</v>
      </c>
      <c r="C57" s="91" t="s">
        <v>312</v>
      </c>
      <c r="D57" s="91" t="s">
        <v>247</v>
      </c>
      <c r="E57" s="93">
        <v>33341</v>
      </c>
      <c r="F57" s="94">
        <f t="shared" ca="1" si="3"/>
        <v>25</v>
      </c>
      <c r="G57" s="95"/>
      <c r="H57" s="96">
        <v>46670</v>
      </c>
      <c r="I57" s="97">
        <v>3</v>
      </c>
    </row>
    <row r="58" spans="1:9" ht="13.5">
      <c r="A58" s="91" t="s">
        <v>312</v>
      </c>
      <c r="B58" s="92" t="s">
        <v>271</v>
      </c>
      <c r="C58" s="91" t="s">
        <v>312</v>
      </c>
      <c r="D58" s="91" t="s">
        <v>256</v>
      </c>
      <c r="E58" s="93">
        <v>33522</v>
      </c>
      <c r="F58" s="94">
        <f t="shared" ca="1" si="3"/>
        <v>25</v>
      </c>
      <c r="G58" s="95" t="s">
        <v>257</v>
      </c>
      <c r="H58" s="96">
        <v>31910</v>
      </c>
      <c r="I58" s="97">
        <v>5</v>
      </c>
    </row>
    <row r="59" spans="1:9" ht="13.5">
      <c r="A59" s="91" t="s">
        <v>312</v>
      </c>
      <c r="B59" s="92" t="s">
        <v>266</v>
      </c>
      <c r="C59" s="91" t="s">
        <v>312</v>
      </c>
      <c r="D59" s="91" t="s">
        <v>256</v>
      </c>
      <c r="E59" s="93">
        <v>33686</v>
      </c>
      <c r="F59" s="94">
        <f t="shared" ca="1" si="3"/>
        <v>24</v>
      </c>
      <c r="G59" s="95" t="s">
        <v>257</v>
      </c>
      <c r="H59" s="96">
        <v>67890</v>
      </c>
      <c r="I59" s="97">
        <v>5</v>
      </c>
    </row>
    <row r="60" spans="1:9" ht="13.5">
      <c r="A60" s="91" t="s">
        <v>312</v>
      </c>
      <c r="B60" s="92" t="s">
        <v>271</v>
      </c>
      <c r="C60" s="91" t="s">
        <v>312</v>
      </c>
      <c r="D60" s="91" t="s">
        <v>256</v>
      </c>
      <c r="E60" s="93">
        <v>33776</v>
      </c>
      <c r="F60" s="94">
        <f t="shared" ca="1" si="3"/>
        <v>24</v>
      </c>
      <c r="G60" s="95" t="s">
        <v>267</v>
      </c>
      <c r="H60" s="96">
        <v>77350</v>
      </c>
      <c r="I60" s="97">
        <v>5</v>
      </c>
    </row>
    <row r="61" spans="1:9" ht="13.5">
      <c r="A61" s="91" t="s">
        <v>312</v>
      </c>
      <c r="B61" s="92" t="s">
        <v>280</v>
      </c>
      <c r="C61" s="91" t="s">
        <v>312</v>
      </c>
      <c r="D61" s="91" t="s">
        <v>247</v>
      </c>
      <c r="E61" s="93">
        <v>33809</v>
      </c>
      <c r="F61" s="94">
        <f t="shared" ca="1" si="3"/>
        <v>24</v>
      </c>
      <c r="G61" s="95"/>
      <c r="H61" s="96">
        <v>64390</v>
      </c>
      <c r="I61" s="97">
        <v>2</v>
      </c>
    </row>
    <row r="62" spans="1:9" ht="13.5">
      <c r="A62" s="91" t="s">
        <v>312</v>
      </c>
      <c r="B62" s="92" t="s">
        <v>245</v>
      </c>
      <c r="C62" s="91" t="s">
        <v>312</v>
      </c>
      <c r="D62" s="91" t="s">
        <v>247</v>
      </c>
      <c r="E62" s="93">
        <v>33850</v>
      </c>
      <c r="F62" s="94">
        <f t="shared" ca="1" si="3"/>
        <v>24</v>
      </c>
      <c r="G62" s="95"/>
      <c r="H62" s="96">
        <v>50550</v>
      </c>
      <c r="I62" s="97">
        <v>2</v>
      </c>
    </row>
    <row r="63" spans="1:9" ht="13.5">
      <c r="A63" s="91" t="s">
        <v>312</v>
      </c>
      <c r="B63" s="92" t="s">
        <v>251</v>
      </c>
      <c r="C63" s="91" t="s">
        <v>312</v>
      </c>
      <c r="D63" s="91" t="s">
        <v>256</v>
      </c>
      <c r="E63" s="93">
        <v>33887</v>
      </c>
      <c r="F63" s="94">
        <f t="shared" ca="1" si="3"/>
        <v>24</v>
      </c>
      <c r="G63" s="95" t="s">
        <v>276</v>
      </c>
      <c r="H63" s="96">
        <v>82120</v>
      </c>
      <c r="I63" s="97">
        <v>5</v>
      </c>
    </row>
    <row r="64" spans="1:9" ht="13.5">
      <c r="A64" s="91" t="s">
        <v>312</v>
      </c>
      <c r="B64" s="92" t="s">
        <v>285</v>
      </c>
      <c r="C64" s="91" t="s">
        <v>312</v>
      </c>
      <c r="D64" s="91" t="s">
        <v>256</v>
      </c>
      <c r="E64" s="93">
        <v>33897</v>
      </c>
      <c r="F64" s="94">
        <f t="shared" ca="1" si="3"/>
        <v>24</v>
      </c>
      <c r="G64" s="95" t="s">
        <v>267</v>
      </c>
      <c r="H64" s="96">
        <v>77580</v>
      </c>
      <c r="I64" s="97">
        <v>3</v>
      </c>
    </row>
    <row r="65" spans="1:9" ht="13.5">
      <c r="A65" s="91" t="s">
        <v>312</v>
      </c>
      <c r="B65" s="92" t="s">
        <v>285</v>
      </c>
      <c r="C65" s="91" t="s">
        <v>312</v>
      </c>
      <c r="D65" s="91" t="s">
        <v>247</v>
      </c>
      <c r="E65" s="93">
        <v>33945</v>
      </c>
      <c r="F65" s="94">
        <f t="shared" ca="1" si="3"/>
        <v>23</v>
      </c>
      <c r="G65" s="95"/>
      <c r="H65" s="96">
        <v>89310</v>
      </c>
      <c r="I65" s="97">
        <v>5</v>
      </c>
    </row>
    <row r="66" spans="1:9" ht="13.5">
      <c r="A66" s="91" t="s">
        <v>312</v>
      </c>
      <c r="B66" s="92" t="s">
        <v>271</v>
      </c>
      <c r="C66" s="91" t="s">
        <v>312</v>
      </c>
      <c r="D66" s="91" t="s">
        <v>247</v>
      </c>
      <c r="E66" s="93">
        <v>34195</v>
      </c>
      <c r="F66" s="94">
        <f t="shared" ca="1" si="3"/>
        <v>23</v>
      </c>
      <c r="G66" s="95"/>
      <c r="H66" s="96">
        <v>74740</v>
      </c>
      <c r="I66" s="97">
        <v>5</v>
      </c>
    </row>
    <row r="67" spans="1:9" ht="13.5">
      <c r="A67" s="91" t="s">
        <v>312</v>
      </c>
      <c r="B67" s="92" t="s">
        <v>245</v>
      </c>
      <c r="C67" s="91" t="s">
        <v>312</v>
      </c>
      <c r="D67" s="91" t="s">
        <v>261</v>
      </c>
      <c r="E67" s="93">
        <v>34207</v>
      </c>
      <c r="F67" s="94">
        <f t="shared" ca="1" si="3"/>
        <v>23</v>
      </c>
      <c r="G67" s="95" t="s">
        <v>267</v>
      </c>
      <c r="H67" s="96">
        <v>48415</v>
      </c>
      <c r="I67" s="97">
        <v>4</v>
      </c>
    </row>
    <row r="68" spans="1:9" ht="13.5">
      <c r="A68" s="91" t="s">
        <v>312</v>
      </c>
      <c r="B68" s="92" t="s">
        <v>285</v>
      </c>
      <c r="C68" s="91" t="s">
        <v>312</v>
      </c>
      <c r="D68" s="91" t="s">
        <v>247</v>
      </c>
      <c r="E68" s="93">
        <v>34259</v>
      </c>
      <c r="F68" s="94">
        <f t="shared" ca="1" si="3"/>
        <v>23</v>
      </c>
      <c r="G68" s="95"/>
      <c r="H68" s="96">
        <v>84200</v>
      </c>
      <c r="I68" s="97">
        <v>2</v>
      </c>
    </row>
    <row r="69" spans="1:9" ht="13.5">
      <c r="A69" s="91" t="s">
        <v>312</v>
      </c>
      <c r="B69" s="92" t="s">
        <v>245</v>
      </c>
      <c r="C69" s="91" t="s">
        <v>312</v>
      </c>
      <c r="D69" s="91" t="s">
        <v>256</v>
      </c>
      <c r="E69" s="93">
        <v>34357</v>
      </c>
      <c r="F69" s="94">
        <f t="shared" ca="1" si="3"/>
        <v>22</v>
      </c>
      <c r="G69" s="95" t="s">
        <v>257</v>
      </c>
      <c r="H69" s="96">
        <v>40920</v>
      </c>
      <c r="I69" s="97">
        <v>4</v>
      </c>
    </row>
    <row r="70" spans="1:9" ht="13.5">
      <c r="A70" s="91" t="s">
        <v>312</v>
      </c>
      <c r="B70" s="92" t="s">
        <v>285</v>
      </c>
      <c r="C70" s="91" t="s">
        <v>312</v>
      </c>
      <c r="D70" s="91" t="s">
        <v>256</v>
      </c>
      <c r="E70" s="93">
        <v>34519</v>
      </c>
      <c r="F70" s="94">
        <f t="shared" ca="1" si="3"/>
        <v>22</v>
      </c>
      <c r="G70" s="95" t="s">
        <v>257</v>
      </c>
      <c r="H70" s="96">
        <v>61030</v>
      </c>
      <c r="I70" s="97">
        <v>3</v>
      </c>
    </row>
    <row r="71" spans="1:9" ht="13.5">
      <c r="A71" s="91" t="s">
        <v>312</v>
      </c>
      <c r="B71" s="92" t="s">
        <v>271</v>
      </c>
      <c r="C71" s="91" t="s">
        <v>312</v>
      </c>
      <c r="D71" s="91" t="s">
        <v>261</v>
      </c>
      <c r="E71" s="93">
        <v>34532</v>
      </c>
      <c r="F71" s="94">
        <f t="shared" ca="1" si="3"/>
        <v>22</v>
      </c>
      <c r="G71" s="95" t="s">
        <v>276</v>
      </c>
      <c r="H71" s="96">
        <v>23380</v>
      </c>
      <c r="I71" s="97">
        <v>4</v>
      </c>
    </row>
    <row r="72" spans="1:9" ht="13.5">
      <c r="A72" s="91" t="s">
        <v>312</v>
      </c>
      <c r="B72" s="92" t="s">
        <v>271</v>
      </c>
      <c r="C72" s="91" t="s">
        <v>312</v>
      </c>
      <c r="D72" s="91" t="s">
        <v>247</v>
      </c>
      <c r="E72" s="93">
        <v>34538</v>
      </c>
      <c r="F72" s="94">
        <f t="shared" ca="1" si="3"/>
        <v>22</v>
      </c>
      <c r="G72" s="95"/>
      <c r="H72" s="96">
        <v>85480</v>
      </c>
      <c r="I72" s="97">
        <v>5</v>
      </c>
    </row>
    <row r="73" spans="1:9" ht="13.5">
      <c r="A73" s="91" t="s">
        <v>312</v>
      </c>
      <c r="B73" s="92" t="s">
        <v>271</v>
      </c>
      <c r="C73" s="91" t="s">
        <v>312</v>
      </c>
      <c r="D73" s="91" t="s">
        <v>247</v>
      </c>
      <c r="E73" s="93">
        <v>34538</v>
      </c>
      <c r="F73" s="94">
        <f t="shared" ca="1" si="3"/>
        <v>22</v>
      </c>
      <c r="G73" s="95"/>
      <c r="H73" s="96">
        <v>85480</v>
      </c>
      <c r="I73" s="97">
        <v>5</v>
      </c>
    </row>
    <row r="74" spans="1:9" ht="13.5">
      <c r="A74" s="91" t="s">
        <v>312</v>
      </c>
      <c r="B74" s="92" t="s">
        <v>271</v>
      </c>
      <c r="C74" s="91" t="s">
        <v>312</v>
      </c>
      <c r="D74" s="91" t="s">
        <v>247</v>
      </c>
      <c r="E74" s="93">
        <v>34592</v>
      </c>
      <c r="F74" s="94">
        <f t="shared" ca="1" si="3"/>
        <v>22</v>
      </c>
      <c r="G74" s="95"/>
      <c r="H74" s="96">
        <v>63340</v>
      </c>
      <c r="I74" s="97">
        <v>3</v>
      </c>
    </row>
    <row r="75" spans="1:9" ht="13.5">
      <c r="A75" s="91" t="s">
        <v>312</v>
      </c>
      <c r="B75" s="92" t="s">
        <v>266</v>
      </c>
      <c r="C75" s="91" t="s">
        <v>312</v>
      </c>
      <c r="D75" s="91" t="s">
        <v>247</v>
      </c>
      <c r="E75" s="93">
        <v>34630</v>
      </c>
      <c r="F75" s="94">
        <f t="shared" ref="F75:F102" ca="1" si="4">DATEDIF(E75,TODAY(),"Y")</f>
        <v>22</v>
      </c>
      <c r="G75" s="95"/>
      <c r="H75" s="96">
        <v>88000</v>
      </c>
      <c r="I75" s="97">
        <v>5</v>
      </c>
    </row>
    <row r="76" spans="1:9" ht="13.5">
      <c r="A76" s="91" t="s">
        <v>312</v>
      </c>
      <c r="B76" s="92" t="s">
        <v>245</v>
      </c>
      <c r="C76" s="91" t="s">
        <v>312</v>
      </c>
      <c r="D76" s="91" t="s">
        <v>256</v>
      </c>
      <c r="E76" s="93">
        <v>34655</v>
      </c>
      <c r="F76" s="94">
        <f t="shared" ca="1" si="4"/>
        <v>21</v>
      </c>
      <c r="G76" s="95" t="s">
        <v>267</v>
      </c>
      <c r="H76" s="96">
        <v>34780</v>
      </c>
      <c r="I76" s="97">
        <v>4</v>
      </c>
    </row>
    <row r="77" spans="1:9" ht="13.5">
      <c r="A77" s="91" t="s">
        <v>312</v>
      </c>
      <c r="B77" s="92" t="s">
        <v>280</v>
      </c>
      <c r="C77" s="91" t="s">
        <v>312</v>
      </c>
      <c r="D77" s="91" t="s">
        <v>247</v>
      </c>
      <c r="E77" s="93">
        <v>34728</v>
      </c>
      <c r="F77" s="94">
        <f t="shared" ca="1" si="4"/>
        <v>21</v>
      </c>
      <c r="G77" s="95"/>
      <c r="H77" s="96">
        <v>30340</v>
      </c>
      <c r="I77" s="97">
        <v>3</v>
      </c>
    </row>
    <row r="78" spans="1:9" ht="13.5">
      <c r="A78" s="91" t="s">
        <v>312</v>
      </c>
      <c r="B78" s="92" t="s">
        <v>245</v>
      </c>
      <c r="C78" s="91" t="s">
        <v>312</v>
      </c>
      <c r="D78" s="91" t="s">
        <v>252</v>
      </c>
      <c r="E78" s="93">
        <v>34749</v>
      </c>
      <c r="F78" s="94">
        <f t="shared" ca="1" si="4"/>
        <v>21</v>
      </c>
      <c r="G78" s="95"/>
      <c r="H78" s="96">
        <v>18500</v>
      </c>
      <c r="I78" s="97">
        <v>5</v>
      </c>
    </row>
    <row r="79" spans="1:9" ht="13.5">
      <c r="A79" s="91" t="s">
        <v>312</v>
      </c>
      <c r="B79" s="92" t="s">
        <v>245</v>
      </c>
      <c r="C79" s="91" t="s">
        <v>312</v>
      </c>
      <c r="D79" s="91" t="s">
        <v>247</v>
      </c>
      <c r="E79" s="93">
        <v>34777</v>
      </c>
      <c r="F79" s="94">
        <f t="shared" ca="1" si="4"/>
        <v>21</v>
      </c>
      <c r="G79" s="95"/>
      <c r="H79" s="96">
        <v>76930</v>
      </c>
      <c r="I79" s="97">
        <v>1</v>
      </c>
    </row>
    <row r="80" spans="1:9" ht="13.5">
      <c r="A80" s="91" t="s">
        <v>312</v>
      </c>
      <c r="B80" s="92" t="s">
        <v>245</v>
      </c>
      <c r="C80" s="91" t="s">
        <v>312</v>
      </c>
      <c r="D80" s="91" t="s">
        <v>247</v>
      </c>
      <c r="E80" s="93">
        <v>35160</v>
      </c>
      <c r="F80" s="94">
        <f t="shared" ca="1" si="4"/>
        <v>20</v>
      </c>
      <c r="G80" s="95"/>
      <c r="H80" s="96">
        <v>23560</v>
      </c>
      <c r="I80" s="97">
        <v>3</v>
      </c>
    </row>
    <row r="81" spans="1:9" ht="13.5">
      <c r="A81" s="91" t="s">
        <v>312</v>
      </c>
      <c r="B81" s="92" t="s">
        <v>245</v>
      </c>
      <c r="C81" s="91" t="s">
        <v>312</v>
      </c>
      <c r="D81" s="91" t="s">
        <v>252</v>
      </c>
      <c r="E81" s="93">
        <v>35177</v>
      </c>
      <c r="F81" s="94">
        <f t="shared" ca="1" si="4"/>
        <v>20</v>
      </c>
      <c r="G81" s="95"/>
      <c r="H81" s="96">
        <v>33056</v>
      </c>
      <c r="I81" s="97">
        <v>5</v>
      </c>
    </row>
    <row r="82" spans="1:9" ht="13.5">
      <c r="A82" s="91" t="s">
        <v>312</v>
      </c>
      <c r="B82" s="92" t="s">
        <v>285</v>
      </c>
      <c r="C82" s="91" t="s">
        <v>312</v>
      </c>
      <c r="D82" s="91" t="s">
        <v>256</v>
      </c>
      <c r="E82" s="93">
        <v>35196</v>
      </c>
      <c r="F82" s="94">
        <f t="shared" ca="1" si="4"/>
        <v>20</v>
      </c>
      <c r="G82" s="95" t="s">
        <v>283</v>
      </c>
      <c r="H82" s="96">
        <v>32100</v>
      </c>
      <c r="I82" s="97">
        <v>1</v>
      </c>
    </row>
    <row r="83" spans="1:9" ht="13.5">
      <c r="A83" s="91" t="s">
        <v>312</v>
      </c>
      <c r="B83" s="92" t="s">
        <v>285</v>
      </c>
      <c r="C83" s="91" t="s">
        <v>312</v>
      </c>
      <c r="D83" s="91" t="s">
        <v>252</v>
      </c>
      <c r="E83" s="93">
        <v>35292</v>
      </c>
      <c r="F83" s="94">
        <f t="shared" ca="1" si="4"/>
        <v>20</v>
      </c>
      <c r="G83" s="95"/>
      <c r="H83" s="96">
        <v>30080</v>
      </c>
      <c r="I83" s="97">
        <v>3</v>
      </c>
    </row>
    <row r="84" spans="1:9" ht="13.5">
      <c r="A84" s="91" t="s">
        <v>312</v>
      </c>
      <c r="B84" s="92" t="s">
        <v>266</v>
      </c>
      <c r="C84" s="91" t="s">
        <v>312</v>
      </c>
      <c r="D84" s="91" t="s">
        <v>261</v>
      </c>
      <c r="E84" s="93">
        <v>35586</v>
      </c>
      <c r="F84" s="94">
        <f t="shared" ca="1" si="4"/>
        <v>19</v>
      </c>
      <c r="G84" s="95" t="s">
        <v>257</v>
      </c>
      <c r="H84" s="96">
        <v>35280</v>
      </c>
      <c r="I84" s="97">
        <v>3</v>
      </c>
    </row>
    <row r="85" spans="1:9" ht="13.5">
      <c r="A85" s="91" t="s">
        <v>312</v>
      </c>
      <c r="B85" s="92" t="s">
        <v>285</v>
      </c>
      <c r="C85" s="91" t="s">
        <v>312</v>
      </c>
      <c r="D85" s="91" t="s">
        <v>256</v>
      </c>
      <c r="E85" s="93">
        <v>35698</v>
      </c>
      <c r="F85" s="94">
        <f t="shared" ca="1" si="4"/>
        <v>19</v>
      </c>
      <c r="G85" s="95" t="s">
        <v>257</v>
      </c>
      <c r="H85" s="96">
        <v>27180</v>
      </c>
      <c r="I85" s="97">
        <v>4</v>
      </c>
    </row>
    <row r="86" spans="1:9" ht="13.5">
      <c r="A86" s="91" t="s">
        <v>312</v>
      </c>
      <c r="B86" s="92" t="s">
        <v>285</v>
      </c>
      <c r="C86" s="91" t="s">
        <v>312</v>
      </c>
      <c r="D86" s="91" t="s">
        <v>256</v>
      </c>
      <c r="E86" s="93">
        <v>35708</v>
      </c>
      <c r="F86" s="94">
        <f t="shared" ca="1" si="4"/>
        <v>19</v>
      </c>
      <c r="G86" s="95" t="s">
        <v>283</v>
      </c>
      <c r="H86" s="96">
        <v>28650</v>
      </c>
      <c r="I86" s="97">
        <v>4</v>
      </c>
    </row>
    <row r="87" spans="1:9" ht="13.5">
      <c r="A87" s="91" t="s">
        <v>312</v>
      </c>
      <c r="B87" s="92" t="s">
        <v>271</v>
      </c>
      <c r="C87" s="91" t="s">
        <v>312</v>
      </c>
      <c r="D87" s="91" t="s">
        <v>256</v>
      </c>
      <c r="E87" s="93">
        <v>35866</v>
      </c>
      <c r="F87" s="94">
        <f t="shared" ca="1" si="4"/>
        <v>18</v>
      </c>
      <c r="G87" s="95" t="s">
        <v>267</v>
      </c>
      <c r="H87" s="96">
        <v>62790</v>
      </c>
      <c r="I87" s="97">
        <v>2</v>
      </c>
    </row>
    <row r="88" spans="1:9" ht="13.5">
      <c r="A88" s="91" t="s">
        <v>312</v>
      </c>
      <c r="B88" s="92" t="s">
        <v>271</v>
      </c>
      <c r="C88" s="91" t="s">
        <v>312</v>
      </c>
      <c r="D88" s="91" t="s">
        <v>256</v>
      </c>
      <c r="E88" s="93">
        <v>35931</v>
      </c>
      <c r="F88" s="94">
        <f t="shared" ca="1" si="4"/>
        <v>18</v>
      </c>
      <c r="G88" s="95" t="s">
        <v>257</v>
      </c>
      <c r="H88" s="96">
        <v>71950</v>
      </c>
      <c r="I88" s="97">
        <v>5</v>
      </c>
    </row>
    <row r="89" spans="1:9" ht="13.5">
      <c r="A89" s="91" t="s">
        <v>312</v>
      </c>
      <c r="B89" s="92" t="s">
        <v>285</v>
      </c>
      <c r="C89" s="91" t="s">
        <v>312</v>
      </c>
      <c r="D89" s="91" t="s">
        <v>256</v>
      </c>
      <c r="E89" s="93">
        <v>36038</v>
      </c>
      <c r="F89" s="94">
        <f t="shared" ca="1" si="4"/>
        <v>18</v>
      </c>
      <c r="G89" s="95" t="s">
        <v>262</v>
      </c>
      <c r="H89" s="96">
        <v>85880</v>
      </c>
      <c r="I89" s="97">
        <v>3</v>
      </c>
    </row>
    <row r="90" spans="1:9" ht="13.5">
      <c r="A90" s="91" t="s">
        <v>312</v>
      </c>
      <c r="B90" s="92" t="s">
        <v>285</v>
      </c>
      <c r="C90" s="91" t="s">
        <v>312</v>
      </c>
      <c r="D90" s="91" t="s">
        <v>256</v>
      </c>
      <c r="E90" s="93">
        <v>36475</v>
      </c>
      <c r="F90" s="94">
        <f t="shared" ca="1" si="4"/>
        <v>16</v>
      </c>
      <c r="G90" s="95" t="s">
        <v>283</v>
      </c>
      <c r="H90" s="96">
        <v>87280</v>
      </c>
      <c r="I90" s="97">
        <v>4</v>
      </c>
    </row>
    <row r="91" spans="1:9" ht="13.5">
      <c r="A91" s="91" t="s">
        <v>312</v>
      </c>
      <c r="B91" s="92" t="s">
        <v>245</v>
      </c>
      <c r="C91" s="91" t="s">
        <v>312</v>
      </c>
      <c r="D91" s="91" t="s">
        <v>256</v>
      </c>
      <c r="E91" s="93">
        <v>36650</v>
      </c>
      <c r="F91" s="94">
        <f t="shared" ca="1" si="4"/>
        <v>16</v>
      </c>
      <c r="G91" s="95" t="s">
        <v>257</v>
      </c>
      <c r="H91" s="96">
        <v>66890</v>
      </c>
      <c r="I91" s="97">
        <v>5</v>
      </c>
    </row>
    <row r="92" spans="1:9" ht="13.5">
      <c r="A92" s="91" t="s">
        <v>312</v>
      </c>
      <c r="B92" s="92" t="s">
        <v>245</v>
      </c>
      <c r="C92" s="91" t="s">
        <v>312</v>
      </c>
      <c r="D92" s="91" t="s">
        <v>247</v>
      </c>
      <c r="E92" s="93">
        <v>37660</v>
      </c>
      <c r="F92" s="94">
        <f t="shared" ca="1" si="4"/>
        <v>13</v>
      </c>
      <c r="G92" s="95"/>
      <c r="H92" s="96">
        <v>83070</v>
      </c>
      <c r="I92" s="97">
        <v>3</v>
      </c>
    </row>
    <row r="93" spans="1:9" ht="13.5">
      <c r="A93" s="91" t="s">
        <v>312</v>
      </c>
      <c r="B93" s="92" t="s">
        <v>245</v>
      </c>
      <c r="C93" s="91" t="s">
        <v>312</v>
      </c>
      <c r="D93" s="91" t="s">
        <v>247</v>
      </c>
      <c r="E93" s="93">
        <v>37730</v>
      </c>
      <c r="F93" s="94">
        <f t="shared" ca="1" si="4"/>
        <v>13</v>
      </c>
      <c r="G93" s="95"/>
      <c r="H93" s="96">
        <v>62150</v>
      </c>
      <c r="I93" s="97">
        <v>4</v>
      </c>
    </row>
    <row r="94" spans="1:9" ht="13.5">
      <c r="A94" s="91" t="s">
        <v>312</v>
      </c>
      <c r="B94" s="92" t="s">
        <v>266</v>
      </c>
      <c r="C94" s="91" t="s">
        <v>312</v>
      </c>
      <c r="D94" s="91" t="s">
        <v>261</v>
      </c>
      <c r="E94" s="93">
        <v>38492</v>
      </c>
      <c r="F94" s="94">
        <f t="shared" ca="1" si="4"/>
        <v>11</v>
      </c>
      <c r="G94" s="95" t="s">
        <v>276</v>
      </c>
      <c r="H94" s="96">
        <v>22535</v>
      </c>
      <c r="I94" s="97">
        <v>3</v>
      </c>
    </row>
    <row r="95" spans="1:9" ht="13.5">
      <c r="A95" s="91" t="s">
        <v>312</v>
      </c>
      <c r="B95" s="92" t="s">
        <v>280</v>
      </c>
      <c r="C95" s="91" t="s">
        <v>312</v>
      </c>
      <c r="D95" s="91" t="s">
        <v>247</v>
      </c>
      <c r="E95" s="93">
        <v>38612</v>
      </c>
      <c r="F95" s="94">
        <f t="shared" ca="1" si="4"/>
        <v>11</v>
      </c>
      <c r="G95" s="95"/>
      <c r="H95" s="96">
        <v>25790</v>
      </c>
      <c r="I95" s="97">
        <v>3</v>
      </c>
    </row>
    <row r="96" spans="1:9" ht="13.5">
      <c r="A96" s="91" t="s">
        <v>312</v>
      </c>
      <c r="B96" s="92" t="s">
        <v>285</v>
      </c>
      <c r="C96" s="91" t="s">
        <v>312</v>
      </c>
      <c r="D96" s="91" t="s">
        <v>247</v>
      </c>
      <c r="E96" s="93">
        <v>38649</v>
      </c>
      <c r="F96" s="94">
        <f t="shared" ca="1" si="4"/>
        <v>11</v>
      </c>
      <c r="G96" s="95"/>
      <c r="H96" s="96">
        <v>79460</v>
      </c>
      <c r="I96" s="97">
        <v>5</v>
      </c>
    </row>
    <row r="97" spans="1:9" ht="13.5">
      <c r="A97" s="91" t="s">
        <v>312</v>
      </c>
      <c r="B97" s="92" t="s">
        <v>271</v>
      </c>
      <c r="C97" s="91" t="s">
        <v>312</v>
      </c>
      <c r="D97" s="91" t="s">
        <v>256</v>
      </c>
      <c r="E97" s="93">
        <v>38775</v>
      </c>
      <c r="F97" s="94">
        <f t="shared" ca="1" si="4"/>
        <v>10</v>
      </c>
      <c r="G97" s="95" t="s">
        <v>257</v>
      </c>
      <c r="H97" s="96">
        <v>41490</v>
      </c>
      <c r="I97" s="97">
        <v>5</v>
      </c>
    </row>
    <row r="98" spans="1:9" ht="13.5">
      <c r="A98" s="91" t="s">
        <v>312</v>
      </c>
      <c r="B98" s="92" t="s">
        <v>271</v>
      </c>
      <c r="C98" s="91" t="s">
        <v>312</v>
      </c>
      <c r="D98" s="91" t="s">
        <v>256</v>
      </c>
      <c r="E98" s="93">
        <v>38964</v>
      </c>
      <c r="F98" s="94">
        <f t="shared" ca="1" si="4"/>
        <v>10</v>
      </c>
      <c r="G98" s="95" t="s">
        <v>262</v>
      </c>
      <c r="H98" s="96">
        <v>38730</v>
      </c>
      <c r="I98" s="97">
        <v>1</v>
      </c>
    </row>
    <row r="99" spans="1:9" ht="13.5">
      <c r="A99" s="91" t="s">
        <v>312</v>
      </c>
      <c r="B99" s="92" t="s">
        <v>245</v>
      </c>
      <c r="C99" s="91" t="s">
        <v>312</v>
      </c>
      <c r="D99" s="91" t="s">
        <v>256</v>
      </c>
      <c r="E99" s="99">
        <v>38982</v>
      </c>
      <c r="F99" s="94">
        <f t="shared" ca="1" si="4"/>
        <v>10</v>
      </c>
      <c r="G99" s="95" t="s">
        <v>257</v>
      </c>
      <c r="H99" s="96">
        <v>23280</v>
      </c>
      <c r="I99" s="97">
        <v>1</v>
      </c>
    </row>
    <row r="100" spans="1:9" ht="13.5">
      <c r="A100" s="91" t="s">
        <v>312</v>
      </c>
      <c r="B100" s="92" t="s">
        <v>271</v>
      </c>
      <c r="C100" s="91" t="s">
        <v>312</v>
      </c>
      <c r="D100" s="91" t="s">
        <v>256</v>
      </c>
      <c r="E100" s="93">
        <v>39191</v>
      </c>
      <c r="F100" s="94">
        <f t="shared" ca="1" si="4"/>
        <v>9</v>
      </c>
      <c r="G100" s="95" t="s">
        <v>267</v>
      </c>
      <c r="H100" s="96">
        <v>77820</v>
      </c>
      <c r="I100" s="97">
        <v>3</v>
      </c>
    </row>
    <row r="101" spans="1:9" ht="13.5">
      <c r="A101" s="91" t="s">
        <v>312</v>
      </c>
      <c r="B101" s="92" t="s">
        <v>251</v>
      </c>
      <c r="C101" s="91" t="s">
        <v>312</v>
      </c>
      <c r="D101" s="91" t="s">
        <v>256</v>
      </c>
      <c r="E101" s="93">
        <v>39265</v>
      </c>
      <c r="F101" s="94">
        <f t="shared" ca="1" si="4"/>
        <v>9</v>
      </c>
      <c r="G101" s="95" t="s">
        <v>276</v>
      </c>
      <c r="H101" s="96">
        <v>74710</v>
      </c>
      <c r="I101" s="97">
        <v>2</v>
      </c>
    </row>
    <row r="102" spans="1:9" ht="13.5">
      <c r="A102" s="91" t="s">
        <v>312</v>
      </c>
      <c r="B102" s="92" t="s">
        <v>285</v>
      </c>
      <c r="C102" s="91" t="s">
        <v>312</v>
      </c>
      <c r="D102" s="91" t="s">
        <v>256</v>
      </c>
      <c r="E102" s="93">
        <v>39286</v>
      </c>
      <c r="F102" s="94">
        <f t="shared" ca="1" si="4"/>
        <v>9</v>
      </c>
      <c r="G102" s="95" t="s">
        <v>267</v>
      </c>
      <c r="H102" s="96">
        <v>68910</v>
      </c>
      <c r="I102" s="97">
        <v>5</v>
      </c>
    </row>
    <row r="103" spans="1:9" ht="13.5">
      <c r="A103" s="98"/>
      <c r="B103" s="92"/>
      <c r="C103" s="98"/>
      <c r="D103" s="91"/>
      <c r="E103" s="93"/>
      <c r="F103" s="94"/>
      <c r="G103" s="95"/>
      <c r="H103" s="96"/>
      <c r="I103" s="97"/>
    </row>
    <row r="104" spans="1:9" ht="13.5">
      <c r="A104" s="91" t="s">
        <v>372</v>
      </c>
      <c r="B104" s="92" t="s">
        <v>285</v>
      </c>
      <c r="C104" s="91" t="s">
        <v>372</v>
      </c>
      <c r="D104" s="91" t="s">
        <v>256</v>
      </c>
      <c r="E104" s="93">
        <v>36573</v>
      </c>
      <c r="F104" s="94">
        <f t="shared" ref="F104:F111" ca="1" si="5">DATEDIF(E104,TODAY(),"Y")</f>
        <v>16</v>
      </c>
      <c r="G104" s="95" t="s">
        <v>257</v>
      </c>
      <c r="H104" s="96">
        <v>86530</v>
      </c>
      <c r="I104" s="97">
        <v>1</v>
      </c>
    </row>
    <row r="105" spans="1:9" ht="13.5">
      <c r="A105" s="91" t="s">
        <v>372</v>
      </c>
      <c r="B105" s="92" t="s">
        <v>271</v>
      </c>
      <c r="C105" s="91" t="s">
        <v>372</v>
      </c>
      <c r="D105" s="91" t="s">
        <v>256</v>
      </c>
      <c r="E105" s="93">
        <v>37087</v>
      </c>
      <c r="F105" s="94">
        <f t="shared" ca="1" si="5"/>
        <v>15</v>
      </c>
      <c r="G105" s="95" t="s">
        <v>257</v>
      </c>
      <c r="H105" s="96">
        <v>36630</v>
      </c>
      <c r="I105" s="97">
        <v>4</v>
      </c>
    </row>
    <row r="106" spans="1:9" ht="13.5">
      <c r="A106" s="91" t="s">
        <v>372</v>
      </c>
      <c r="B106" s="92" t="s">
        <v>285</v>
      </c>
      <c r="C106" s="91" t="s">
        <v>372</v>
      </c>
      <c r="D106" s="91" t="s">
        <v>247</v>
      </c>
      <c r="E106" s="93">
        <v>37445</v>
      </c>
      <c r="F106" s="94">
        <f t="shared" ca="1" si="5"/>
        <v>14</v>
      </c>
      <c r="G106" s="95"/>
      <c r="H106" s="96">
        <v>78860</v>
      </c>
      <c r="I106" s="97">
        <v>2</v>
      </c>
    </row>
    <row r="107" spans="1:9" ht="13.5">
      <c r="A107" s="91" t="s">
        <v>372</v>
      </c>
      <c r="B107" s="92" t="s">
        <v>280</v>
      </c>
      <c r="C107" s="91" t="s">
        <v>372</v>
      </c>
      <c r="D107" s="91" t="s">
        <v>256</v>
      </c>
      <c r="E107" s="93">
        <v>38078</v>
      </c>
      <c r="F107" s="94">
        <f t="shared" ca="1" si="5"/>
        <v>12</v>
      </c>
      <c r="G107" s="95" t="s">
        <v>257</v>
      </c>
      <c r="H107" s="96">
        <v>71120</v>
      </c>
      <c r="I107" s="97">
        <v>4</v>
      </c>
    </row>
    <row r="108" spans="1:9" ht="13.5">
      <c r="A108" s="91" t="s">
        <v>372</v>
      </c>
      <c r="B108" s="92" t="s">
        <v>271</v>
      </c>
      <c r="C108" s="91" t="s">
        <v>372</v>
      </c>
      <c r="D108" s="91" t="s">
        <v>247</v>
      </c>
      <c r="E108" s="93">
        <v>38219</v>
      </c>
      <c r="F108" s="94">
        <f t="shared" ca="1" si="5"/>
        <v>12</v>
      </c>
      <c r="G108" s="95"/>
      <c r="H108" s="96">
        <v>35620</v>
      </c>
      <c r="I108" s="97">
        <v>4</v>
      </c>
    </row>
    <row r="109" spans="1:9" ht="13.5">
      <c r="A109" s="91" t="s">
        <v>372</v>
      </c>
      <c r="B109" s="92" t="s">
        <v>285</v>
      </c>
      <c r="C109" s="91" t="s">
        <v>372</v>
      </c>
      <c r="D109" s="91" t="s">
        <v>256</v>
      </c>
      <c r="E109" s="93">
        <v>38613</v>
      </c>
      <c r="F109" s="94">
        <f t="shared" ca="1" si="5"/>
        <v>11</v>
      </c>
      <c r="G109" s="95" t="s">
        <v>257</v>
      </c>
      <c r="H109" s="96">
        <v>76440</v>
      </c>
      <c r="I109" s="97">
        <v>3</v>
      </c>
    </row>
    <row r="110" spans="1:9" ht="13.5">
      <c r="A110" s="91" t="s">
        <v>372</v>
      </c>
      <c r="B110" s="92" t="s">
        <v>285</v>
      </c>
      <c r="C110" s="91" t="s">
        <v>372</v>
      </c>
      <c r="D110" s="91" t="s">
        <v>247</v>
      </c>
      <c r="E110" s="99">
        <v>38943</v>
      </c>
      <c r="F110" s="94">
        <f t="shared" ca="1" si="5"/>
        <v>10</v>
      </c>
      <c r="G110" s="95"/>
      <c r="H110" s="96">
        <v>59350</v>
      </c>
      <c r="I110" s="97">
        <v>5</v>
      </c>
    </row>
    <row r="111" spans="1:9" ht="13.5">
      <c r="A111" s="91" t="s">
        <v>372</v>
      </c>
      <c r="B111" s="92" t="s">
        <v>251</v>
      </c>
      <c r="C111" s="91" t="s">
        <v>372</v>
      </c>
      <c r="D111" s="91" t="s">
        <v>261</v>
      </c>
      <c r="E111" s="99">
        <v>39195</v>
      </c>
      <c r="F111" s="94">
        <f t="shared" ca="1" si="5"/>
        <v>9</v>
      </c>
      <c r="G111" s="95" t="s">
        <v>283</v>
      </c>
      <c r="H111" s="96">
        <v>46230</v>
      </c>
      <c r="I111" s="97">
        <v>2</v>
      </c>
    </row>
    <row r="112" spans="1:9" ht="13.5">
      <c r="A112" s="98"/>
      <c r="B112" s="92"/>
      <c r="C112" s="98"/>
      <c r="D112" s="91"/>
      <c r="E112" s="99"/>
      <c r="F112" s="94"/>
      <c r="G112" s="95"/>
      <c r="H112" s="96"/>
      <c r="I112" s="97"/>
    </row>
    <row r="113" spans="1:9" ht="13.5">
      <c r="A113" s="91" t="s">
        <v>381</v>
      </c>
      <c r="B113" s="92" t="s">
        <v>285</v>
      </c>
      <c r="C113" s="91" t="s">
        <v>381</v>
      </c>
      <c r="D113" s="91" t="s">
        <v>256</v>
      </c>
      <c r="E113" s="93">
        <v>31761</v>
      </c>
      <c r="F113" s="94">
        <f t="shared" ref="F113:F121" ca="1" si="6">DATEDIF(E113,TODAY(),"Y")</f>
        <v>29</v>
      </c>
      <c r="G113" s="95" t="s">
        <v>283</v>
      </c>
      <c r="H113" s="96">
        <v>69060</v>
      </c>
      <c r="I113" s="97">
        <v>1</v>
      </c>
    </row>
    <row r="114" spans="1:9" ht="13.5">
      <c r="A114" s="91" t="s">
        <v>381</v>
      </c>
      <c r="B114" s="92" t="s">
        <v>271</v>
      </c>
      <c r="C114" s="91" t="s">
        <v>381</v>
      </c>
      <c r="D114" s="91" t="s">
        <v>256</v>
      </c>
      <c r="E114" s="93">
        <v>34139</v>
      </c>
      <c r="F114" s="94">
        <f t="shared" ca="1" si="6"/>
        <v>23</v>
      </c>
      <c r="G114" s="95" t="s">
        <v>283</v>
      </c>
      <c r="H114" s="96">
        <v>22920</v>
      </c>
      <c r="I114" s="97">
        <v>3</v>
      </c>
    </row>
    <row r="115" spans="1:9" ht="13.5">
      <c r="A115" s="91" t="s">
        <v>381</v>
      </c>
      <c r="B115" s="92" t="s">
        <v>266</v>
      </c>
      <c r="C115" s="91" t="s">
        <v>381</v>
      </c>
      <c r="D115" s="91" t="s">
        <v>256</v>
      </c>
      <c r="E115" s="93">
        <v>34204</v>
      </c>
      <c r="F115" s="94">
        <f t="shared" ca="1" si="6"/>
        <v>23</v>
      </c>
      <c r="G115" s="95" t="s">
        <v>267</v>
      </c>
      <c r="H115" s="96">
        <v>26510</v>
      </c>
      <c r="I115" s="97">
        <v>1</v>
      </c>
    </row>
    <row r="116" spans="1:9" ht="13.5">
      <c r="A116" s="91" t="s">
        <v>381</v>
      </c>
      <c r="B116" s="92" t="s">
        <v>280</v>
      </c>
      <c r="C116" s="91" t="s">
        <v>381</v>
      </c>
      <c r="D116" s="91" t="s">
        <v>256</v>
      </c>
      <c r="E116" s="93">
        <v>34872</v>
      </c>
      <c r="F116" s="94">
        <f t="shared" ca="1" si="6"/>
        <v>21</v>
      </c>
      <c r="G116" s="95" t="s">
        <v>283</v>
      </c>
      <c r="H116" s="96">
        <v>68300</v>
      </c>
      <c r="I116" s="97">
        <v>5</v>
      </c>
    </row>
    <row r="117" spans="1:9" ht="13.5">
      <c r="A117" s="91" t="s">
        <v>381</v>
      </c>
      <c r="B117" s="92" t="s">
        <v>271</v>
      </c>
      <c r="C117" s="91" t="s">
        <v>381</v>
      </c>
      <c r="D117" s="91" t="s">
        <v>256</v>
      </c>
      <c r="E117" s="93">
        <v>34939</v>
      </c>
      <c r="F117" s="94">
        <f t="shared" ca="1" si="6"/>
        <v>21</v>
      </c>
      <c r="G117" s="95" t="s">
        <v>257</v>
      </c>
      <c r="H117" s="96">
        <v>49860</v>
      </c>
      <c r="I117" s="97">
        <v>2</v>
      </c>
    </row>
    <row r="118" spans="1:9" ht="13.5">
      <c r="A118" s="91" t="s">
        <v>381</v>
      </c>
      <c r="B118" s="92" t="s">
        <v>285</v>
      </c>
      <c r="C118" s="91" t="s">
        <v>381</v>
      </c>
      <c r="D118" s="91" t="s">
        <v>256</v>
      </c>
      <c r="E118" s="93">
        <v>37837</v>
      </c>
      <c r="F118" s="94">
        <f t="shared" ca="1" si="6"/>
        <v>13</v>
      </c>
      <c r="G118" s="95" t="s">
        <v>283</v>
      </c>
      <c r="H118" s="96">
        <v>43680</v>
      </c>
      <c r="I118" s="97">
        <v>5</v>
      </c>
    </row>
    <row r="119" spans="1:9" ht="13.5">
      <c r="A119" s="91" t="s">
        <v>381</v>
      </c>
      <c r="B119" s="92" t="s">
        <v>271</v>
      </c>
      <c r="C119" s="91" t="s">
        <v>381</v>
      </c>
      <c r="D119" s="91" t="s">
        <v>252</v>
      </c>
      <c r="E119" s="99">
        <v>39003</v>
      </c>
      <c r="F119" s="94">
        <f t="shared" ca="1" si="6"/>
        <v>10</v>
      </c>
      <c r="G119" s="95"/>
      <c r="H119" s="96">
        <v>27484</v>
      </c>
      <c r="I119" s="97">
        <v>4</v>
      </c>
    </row>
    <row r="120" spans="1:9" ht="13.5">
      <c r="A120" s="91" t="s">
        <v>381</v>
      </c>
      <c r="B120" s="92" t="s">
        <v>271</v>
      </c>
      <c r="C120" s="91" t="s">
        <v>381</v>
      </c>
      <c r="D120" s="91" t="s">
        <v>261</v>
      </c>
      <c r="E120" s="99">
        <v>39206</v>
      </c>
      <c r="F120" s="94">
        <f t="shared" ca="1" si="6"/>
        <v>9</v>
      </c>
      <c r="G120" s="95" t="s">
        <v>283</v>
      </c>
      <c r="H120" s="96">
        <v>28625</v>
      </c>
      <c r="I120" s="97">
        <v>1</v>
      </c>
    </row>
    <row r="121" spans="1:9" ht="13.5">
      <c r="A121" s="91" t="s">
        <v>381</v>
      </c>
      <c r="B121" s="92" t="s">
        <v>285</v>
      </c>
      <c r="C121" s="91" t="s">
        <v>381</v>
      </c>
      <c r="D121" s="91" t="s">
        <v>261</v>
      </c>
      <c r="E121" s="93">
        <v>39262</v>
      </c>
      <c r="F121" s="94">
        <f t="shared" ca="1" si="6"/>
        <v>9</v>
      </c>
      <c r="G121" s="95" t="s">
        <v>283</v>
      </c>
      <c r="H121" s="96">
        <v>10520</v>
      </c>
      <c r="I121" s="97">
        <v>4</v>
      </c>
    </row>
    <row r="122" spans="1:9" ht="13.5">
      <c r="A122" s="98"/>
      <c r="B122" s="92"/>
      <c r="C122" s="98"/>
      <c r="D122" s="91"/>
      <c r="E122" s="93"/>
      <c r="F122" s="94"/>
      <c r="G122" s="95"/>
      <c r="H122" s="96"/>
      <c r="I122" s="97"/>
    </row>
    <row r="123" spans="1:9" ht="13.5">
      <c r="A123" s="91" t="s">
        <v>391</v>
      </c>
      <c r="B123" s="92" t="s">
        <v>285</v>
      </c>
      <c r="C123" s="91" t="s">
        <v>391</v>
      </c>
      <c r="D123" s="91" t="s">
        <v>252</v>
      </c>
      <c r="E123" s="93">
        <v>31873</v>
      </c>
      <c r="F123" s="94">
        <f t="shared" ref="F123:F141" ca="1" si="7">DATEDIF(E123,TODAY(),"Y")</f>
        <v>29</v>
      </c>
      <c r="G123" s="95"/>
      <c r="H123" s="96">
        <v>14712</v>
      </c>
      <c r="I123" s="97">
        <v>5</v>
      </c>
    </row>
    <row r="124" spans="1:9" ht="13.5">
      <c r="A124" s="91" t="s">
        <v>391</v>
      </c>
      <c r="B124" s="92" t="s">
        <v>251</v>
      </c>
      <c r="C124" s="91" t="s">
        <v>391</v>
      </c>
      <c r="D124" s="91" t="s">
        <v>247</v>
      </c>
      <c r="E124" s="93">
        <v>31935</v>
      </c>
      <c r="F124" s="94">
        <f t="shared" ca="1" si="7"/>
        <v>29</v>
      </c>
      <c r="G124" s="95"/>
      <c r="H124" s="96">
        <v>80050</v>
      </c>
      <c r="I124" s="97">
        <v>2</v>
      </c>
    </row>
    <row r="125" spans="1:9" ht="13.5">
      <c r="A125" s="91" t="s">
        <v>391</v>
      </c>
      <c r="B125" s="92" t="s">
        <v>245</v>
      </c>
      <c r="C125" s="91" t="s">
        <v>391</v>
      </c>
      <c r="D125" s="91" t="s">
        <v>256</v>
      </c>
      <c r="E125" s="93">
        <v>32137</v>
      </c>
      <c r="F125" s="94">
        <f t="shared" ca="1" si="7"/>
        <v>28</v>
      </c>
      <c r="G125" s="95" t="s">
        <v>283</v>
      </c>
      <c r="H125" s="96">
        <v>37620</v>
      </c>
      <c r="I125" s="97">
        <v>5</v>
      </c>
    </row>
    <row r="126" spans="1:9" ht="13.5">
      <c r="A126" s="91" t="s">
        <v>391</v>
      </c>
      <c r="B126" s="92" t="s">
        <v>271</v>
      </c>
      <c r="C126" s="91" t="s">
        <v>391</v>
      </c>
      <c r="D126" s="91" t="s">
        <v>256</v>
      </c>
      <c r="E126" s="93">
        <v>32303</v>
      </c>
      <c r="F126" s="94">
        <f t="shared" ca="1" si="7"/>
        <v>28</v>
      </c>
      <c r="G126" s="95" t="s">
        <v>267</v>
      </c>
      <c r="H126" s="96">
        <v>82500</v>
      </c>
      <c r="I126" s="97">
        <v>5</v>
      </c>
    </row>
    <row r="127" spans="1:9" ht="13.5">
      <c r="A127" s="91" t="s">
        <v>391</v>
      </c>
      <c r="B127" s="92" t="s">
        <v>285</v>
      </c>
      <c r="C127" s="91" t="s">
        <v>391</v>
      </c>
      <c r="D127" s="91" t="s">
        <v>256</v>
      </c>
      <c r="E127" s="93">
        <v>32513</v>
      </c>
      <c r="F127" s="94">
        <f t="shared" ca="1" si="7"/>
        <v>27</v>
      </c>
      <c r="G127" s="95" t="s">
        <v>283</v>
      </c>
      <c r="H127" s="96">
        <v>82760</v>
      </c>
      <c r="I127" s="97">
        <v>4</v>
      </c>
    </row>
    <row r="128" spans="1:9" ht="13.5">
      <c r="A128" s="91" t="s">
        <v>391</v>
      </c>
      <c r="B128" s="92" t="s">
        <v>285</v>
      </c>
      <c r="C128" s="91" t="s">
        <v>391</v>
      </c>
      <c r="D128" s="91" t="s">
        <v>261</v>
      </c>
      <c r="E128" s="93">
        <v>32684</v>
      </c>
      <c r="F128" s="94">
        <f t="shared" ca="1" si="7"/>
        <v>27</v>
      </c>
      <c r="G128" s="95" t="s">
        <v>276</v>
      </c>
      <c r="H128" s="96">
        <v>18655</v>
      </c>
      <c r="I128" s="97">
        <v>4</v>
      </c>
    </row>
    <row r="129" spans="1:9" ht="13.5">
      <c r="A129" s="91" t="s">
        <v>391</v>
      </c>
      <c r="B129" s="92" t="s">
        <v>245</v>
      </c>
      <c r="C129" s="91" t="s">
        <v>391</v>
      </c>
      <c r="D129" s="91" t="s">
        <v>247</v>
      </c>
      <c r="E129" s="93">
        <v>33840</v>
      </c>
      <c r="F129" s="94">
        <f t="shared" ca="1" si="7"/>
        <v>24</v>
      </c>
      <c r="G129" s="95"/>
      <c r="H129" s="96">
        <v>35260</v>
      </c>
      <c r="I129" s="97">
        <v>2</v>
      </c>
    </row>
    <row r="130" spans="1:9" ht="13.5">
      <c r="A130" s="91" t="s">
        <v>391</v>
      </c>
      <c r="B130" s="92" t="s">
        <v>266</v>
      </c>
      <c r="C130" s="91" t="s">
        <v>391</v>
      </c>
      <c r="D130" s="91" t="s">
        <v>256</v>
      </c>
      <c r="E130" s="93">
        <v>34177</v>
      </c>
      <c r="F130" s="94">
        <f t="shared" ca="1" si="7"/>
        <v>23</v>
      </c>
      <c r="G130" s="95" t="s">
        <v>257</v>
      </c>
      <c r="H130" s="96">
        <v>80120</v>
      </c>
      <c r="I130" s="97">
        <v>4</v>
      </c>
    </row>
    <row r="131" spans="1:9" ht="13.5">
      <c r="A131" s="91" t="s">
        <v>391</v>
      </c>
      <c r="B131" s="92" t="s">
        <v>285</v>
      </c>
      <c r="C131" s="91" t="s">
        <v>391</v>
      </c>
      <c r="D131" s="91" t="s">
        <v>252</v>
      </c>
      <c r="E131" s="93">
        <v>34363</v>
      </c>
      <c r="F131" s="94">
        <f t="shared" ca="1" si="7"/>
        <v>22</v>
      </c>
      <c r="G131" s="95"/>
      <c r="H131" s="96">
        <v>12676</v>
      </c>
      <c r="I131" s="97">
        <v>2</v>
      </c>
    </row>
    <row r="132" spans="1:9" ht="13.5">
      <c r="A132" s="91" t="s">
        <v>391</v>
      </c>
      <c r="B132" s="92" t="s">
        <v>271</v>
      </c>
      <c r="C132" s="91" t="s">
        <v>391</v>
      </c>
      <c r="D132" s="91" t="s">
        <v>247</v>
      </c>
      <c r="E132" s="93">
        <v>34427</v>
      </c>
      <c r="F132" s="94">
        <f t="shared" ca="1" si="7"/>
        <v>22</v>
      </c>
      <c r="G132" s="95"/>
      <c r="H132" s="96">
        <v>76020</v>
      </c>
      <c r="I132" s="97">
        <v>1</v>
      </c>
    </row>
    <row r="133" spans="1:9" ht="13.5">
      <c r="A133" s="91" t="s">
        <v>391</v>
      </c>
      <c r="B133" s="92" t="s">
        <v>271</v>
      </c>
      <c r="C133" s="91" t="s">
        <v>391</v>
      </c>
      <c r="D133" s="91" t="s">
        <v>247</v>
      </c>
      <c r="E133" s="93">
        <v>34649</v>
      </c>
      <c r="F133" s="94">
        <f t="shared" ca="1" si="7"/>
        <v>21</v>
      </c>
      <c r="G133" s="95"/>
      <c r="H133" s="96">
        <v>64470</v>
      </c>
      <c r="I133" s="97">
        <v>3</v>
      </c>
    </row>
    <row r="134" spans="1:9" ht="13.5">
      <c r="A134" s="91" t="s">
        <v>391</v>
      </c>
      <c r="B134" s="92" t="s">
        <v>271</v>
      </c>
      <c r="C134" s="91" t="s">
        <v>391</v>
      </c>
      <c r="D134" s="91" t="s">
        <v>256</v>
      </c>
      <c r="E134" s="93">
        <v>34767</v>
      </c>
      <c r="F134" s="94">
        <f t="shared" ca="1" si="7"/>
        <v>21</v>
      </c>
      <c r="G134" s="95" t="s">
        <v>283</v>
      </c>
      <c r="H134" s="96">
        <v>50110</v>
      </c>
      <c r="I134" s="97">
        <v>1</v>
      </c>
    </row>
    <row r="135" spans="1:9" ht="13.5">
      <c r="A135" s="91" t="s">
        <v>391</v>
      </c>
      <c r="B135" s="92" t="s">
        <v>251</v>
      </c>
      <c r="C135" s="91" t="s">
        <v>391</v>
      </c>
      <c r="D135" s="91" t="s">
        <v>247</v>
      </c>
      <c r="E135" s="93">
        <v>34866</v>
      </c>
      <c r="F135" s="94">
        <f t="shared" ca="1" si="7"/>
        <v>21</v>
      </c>
      <c r="G135" s="95"/>
      <c r="H135" s="96">
        <v>32940</v>
      </c>
      <c r="I135" s="97">
        <v>5</v>
      </c>
    </row>
    <row r="136" spans="1:9" ht="13.5">
      <c r="A136" s="91" t="s">
        <v>391</v>
      </c>
      <c r="B136" s="92" t="s">
        <v>285</v>
      </c>
      <c r="C136" s="91" t="s">
        <v>391</v>
      </c>
      <c r="D136" s="91" t="s">
        <v>256</v>
      </c>
      <c r="E136" s="93">
        <v>34959</v>
      </c>
      <c r="F136" s="94">
        <f t="shared" ca="1" si="7"/>
        <v>21</v>
      </c>
      <c r="G136" s="95" t="s">
        <v>283</v>
      </c>
      <c r="H136" s="96">
        <v>61330</v>
      </c>
      <c r="I136" s="97">
        <v>1</v>
      </c>
    </row>
    <row r="137" spans="1:9" ht="13.5">
      <c r="A137" s="91" t="s">
        <v>391</v>
      </c>
      <c r="B137" s="92" t="s">
        <v>266</v>
      </c>
      <c r="C137" s="91" t="s">
        <v>391</v>
      </c>
      <c r="D137" s="91" t="s">
        <v>247</v>
      </c>
      <c r="E137" s="93">
        <v>35032</v>
      </c>
      <c r="F137" s="94">
        <f t="shared" ca="1" si="7"/>
        <v>20</v>
      </c>
      <c r="G137" s="95"/>
      <c r="H137" s="96">
        <v>86970</v>
      </c>
      <c r="I137" s="97">
        <v>4</v>
      </c>
    </row>
    <row r="138" spans="1:9" ht="13.5">
      <c r="A138" s="91" t="s">
        <v>391</v>
      </c>
      <c r="B138" s="92" t="s">
        <v>271</v>
      </c>
      <c r="C138" s="91" t="s">
        <v>391</v>
      </c>
      <c r="D138" s="91" t="s">
        <v>261</v>
      </c>
      <c r="E138" s="93">
        <v>35047</v>
      </c>
      <c r="F138" s="94">
        <f t="shared" ca="1" si="7"/>
        <v>20</v>
      </c>
      <c r="G138" s="95" t="s">
        <v>276</v>
      </c>
      <c r="H138" s="96">
        <v>42905</v>
      </c>
      <c r="I138" s="97">
        <v>1</v>
      </c>
    </row>
    <row r="139" spans="1:9" ht="13.5">
      <c r="A139" s="91" t="s">
        <v>391</v>
      </c>
      <c r="B139" s="92" t="s">
        <v>271</v>
      </c>
      <c r="C139" s="91" t="s">
        <v>391</v>
      </c>
      <c r="D139" s="91" t="s">
        <v>256</v>
      </c>
      <c r="E139" s="93">
        <v>35803</v>
      </c>
      <c r="F139" s="94">
        <f t="shared" ca="1" si="7"/>
        <v>18</v>
      </c>
      <c r="G139" s="95" t="s">
        <v>267</v>
      </c>
      <c r="H139" s="96">
        <v>61150</v>
      </c>
      <c r="I139" s="97">
        <v>4</v>
      </c>
    </row>
    <row r="140" spans="1:9" ht="13.5">
      <c r="A140" s="91" t="s">
        <v>391</v>
      </c>
      <c r="B140" s="92" t="s">
        <v>266</v>
      </c>
      <c r="C140" s="91" t="s">
        <v>391</v>
      </c>
      <c r="D140" s="91" t="s">
        <v>256</v>
      </c>
      <c r="E140" s="93">
        <v>36302</v>
      </c>
      <c r="F140" s="94">
        <f t="shared" ca="1" si="7"/>
        <v>17</v>
      </c>
      <c r="G140" s="95" t="s">
        <v>267</v>
      </c>
      <c r="H140" s="96">
        <v>39740</v>
      </c>
      <c r="I140" s="97">
        <v>1</v>
      </c>
    </row>
    <row r="141" spans="1:9" ht="13.5">
      <c r="A141" s="91" t="s">
        <v>391</v>
      </c>
      <c r="B141" s="92" t="s">
        <v>280</v>
      </c>
      <c r="C141" s="91" t="s">
        <v>391</v>
      </c>
      <c r="D141" s="91" t="s">
        <v>247</v>
      </c>
      <c r="E141" s="93">
        <v>36357</v>
      </c>
      <c r="F141" s="94">
        <f t="shared" ca="1" si="7"/>
        <v>17</v>
      </c>
      <c r="G141" s="95"/>
      <c r="H141" s="96">
        <v>73390</v>
      </c>
      <c r="I141" s="97">
        <v>2</v>
      </c>
    </row>
    <row r="142" spans="1:9" ht="13.5">
      <c r="A142" s="98"/>
      <c r="B142" s="92"/>
      <c r="C142" s="98"/>
      <c r="D142" s="91"/>
      <c r="E142" s="93"/>
      <c r="F142" s="94"/>
      <c r="G142" s="95"/>
      <c r="H142" s="96"/>
      <c r="I142" s="97"/>
    </row>
    <row r="143" spans="1:9" ht="13.5">
      <c r="A143" s="91" t="s">
        <v>411</v>
      </c>
      <c r="B143" s="92" t="s">
        <v>271</v>
      </c>
      <c r="C143" s="91" t="s">
        <v>411</v>
      </c>
      <c r="D143" s="91" t="s">
        <v>256</v>
      </c>
      <c r="E143" s="93">
        <v>34019</v>
      </c>
      <c r="F143" s="94">
        <f t="shared" ref="F143:F148" ca="1" si="8">DATEDIF(E143,TODAY(),"Y")</f>
        <v>23</v>
      </c>
      <c r="G143" s="95" t="s">
        <v>257</v>
      </c>
      <c r="H143" s="96">
        <v>66740</v>
      </c>
      <c r="I143" s="97">
        <v>2</v>
      </c>
    </row>
    <row r="144" spans="1:9" ht="13.5">
      <c r="A144" s="91" t="s">
        <v>411</v>
      </c>
      <c r="B144" s="92" t="s">
        <v>271</v>
      </c>
      <c r="C144" s="91" t="s">
        <v>411</v>
      </c>
      <c r="D144" s="91" t="s">
        <v>256</v>
      </c>
      <c r="E144" s="93">
        <v>34019</v>
      </c>
      <c r="F144" s="94">
        <f t="shared" ca="1" si="8"/>
        <v>23</v>
      </c>
      <c r="G144" s="95" t="s">
        <v>257</v>
      </c>
      <c r="H144" s="96">
        <v>66740</v>
      </c>
      <c r="I144" s="97">
        <v>2</v>
      </c>
    </row>
    <row r="145" spans="1:9" ht="13.5">
      <c r="A145" s="91" t="s">
        <v>411</v>
      </c>
      <c r="B145" s="92" t="s">
        <v>245</v>
      </c>
      <c r="C145" s="91" t="s">
        <v>411</v>
      </c>
      <c r="D145" s="91" t="s">
        <v>256</v>
      </c>
      <c r="E145" s="93">
        <v>35259</v>
      </c>
      <c r="F145" s="94">
        <f t="shared" ca="1" si="8"/>
        <v>20</v>
      </c>
      <c r="G145" s="95" t="s">
        <v>283</v>
      </c>
      <c r="H145" s="96">
        <v>75060</v>
      </c>
      <c r="I145" s="97">
        <v>5</v>
      </c>
    </row>
    <row r="146" spans="1:9" ht="13.5">
      <c r="A146" s="91" t="s">
        <v>411</v>
      </c>
      <c r="B146" s="92" t="s">
        <v>285</v>
      </c>
      <c r="C146" s="91" t="s">
        <v>411</v>
      </c>
      <c r="D146" s="91" t="s">
        <v>247</v>
      </c>
      <c r="E146" s="93">
        <v>37217</v>
      </c>
      <c r="F146" s="94">
        <f t="shared" ca="1" si="8"/>
        <v>14</v>
      </c>
      <c r="G146" s="95"/>
      <c r="H146" s="96">
        <v>60060</v>
      </c>
      <c r="I146" s="97">
        <v>2</v>
      </c>
    </row>
    <row r="147" spans="1:9" ht="13.5">
      <c r="A147" s="91" t="s">
        <v>411</v>
      </c>
      <c r="B147" s="92" t="s">
        <v>285</v>
      </c>
      <c r="C147" s="91" t="s">
        <v>411</v>
      </c>
      <c r="D147" s="91" t="s">
        <v>256</v>
      </c>
      <c r="E147" s="93">
        <v>37277</v>
      </c>
      <c r="F147" s="94">
        <f t="shared" ca="1" si="8"/>
        <v>14</v>
      </c>
      <c r="G147" s="95" t="s">
        <v>257</v>
      </c>
      <c r="H147" s="96">
        <v>47350</v>
      </c>
      <c r="I147" s="97">
        <v>5</v>
      </c>
    </row>
    <row r="148" spans="1:9" ht="13.5">
      <c r="A148" s="91" t="s">
        <v>411</v>
      </c>
      <c r="B148" s="92" t="s">
        <v>245</v>
      </c>
      <c r="C148" s="91" t="s">
        <v>411</v>
      </c>
      <c r="D148" s="91" t="s">
        <v>256</v>
      </c>
      <c r="E148" s="99">
        <v>39090</v>
      </c>
      <c r="F148" s="94">
        <f t="shared" ca="1" si="8"/>
        <v>9</v>
      </c>
      <c r="G148" s="95" t="s">
        <v>283</v>
      </c>
      <c r="H148" s="96">
        <v>79150</v>
      </c>
      <c r="I148" s="97">
        <v>2</v>
      </c>
    </row>
    <row r="149" spans="1:9" ht="13.5">
      <c r="A149" s="98"/>
      <c r="B149" s="92"/>
      <c r="C149" s="98"/>
      <c r="D149" s="91"/>
      <c r="E149" s="99"/>
      <c r="F149" s="94"/>
      <c r="G149" s="95"/>
      <c r="H149" s="96"/>
      <c r="I149" s="97"/>
    </row>
    <row r="150" spans="1:9" ht="13.5">
      <c r="A150" s="91" t="s">
        <v>417</v>
      </c>
      <c r="B150" s="92" t="s">
        <v>280</v>
      </c>
      <c r="C150" s="91" t="s">
        <v>417</v>
      </c>
      <c r="D150" s="91" t="s">
        <v>256</v>
      </c>
      <c r="E150" s="93">
        <v>31769</v>
      </c>
      <c r="F150" s="94">
        <f t="shared" ref="F150:F188" ca="1" si="9">DATEDIF(E150,TODAY(),"Y")</f>
        <v>29</v>
      </c>
      <c r="G150" s="95" t="s">
        <v>276</v>
      </c>
      <c r="H150" s="96">
        <v>32360</v>
      </c>
      <c r="I150" s="97">
        <v>4</v>
      </c>
    </row>
    <row r="151" spans="1:9" ht="13.5">
      <c r="A151" s="91" t="s">
        <v>417</v>
      </c>
      <c r="B151" s="92" t="s">
        <v>271</v>
      </c>
      <c r="C151" s="91" t="s">
        <v>417</v>
      </c>
      <c r="D151" s="91" t="s">
        <v>256</v>
      </c>
      <c r="E151" s="93">
        <v>31807</v>
      </c>
      <c r="F151" s="94">
        <f t="shared" ca="1" si="9"/>
        <v>29</v>
      </c>
      <c r="G151" s="95" t="s">
        <v>267</v>
      </c>
      <c r="H151" s="96">
        <v>35360</v>
      </c>
      <c r="I151" s="97">
        <v>5</v>
      </c>
    </row>
    <row r="152" spans="1:9" ht="13.5">
      <c r="A152" s="91" t="s">
        <v>417</v>
      </c>
      <c r="B152" s="92" t="s">
        <v>271</v>
      </c>
      <c r="C152" s="91" t="s">
        <v>417</v>
      </c>
      <c r="D152" s="91" t="s">
        <v>256</v>
      </c>
      <c r="E152" s="93">
        <v>32095</v>
      </c>
      <c r="F152" s="94">
        <f t="shared" ca="1" si="9"/>
        <v>28</v>
      </c>
      <c r="G152" s="95" t="s">
        <v>283</v>
      </c>
      <c r="H152" s="96">
        <v>32140</v>
      </c>
      <c r="I152" s="97">
        <v>2</v>
      </c>
    </row>
    <row r="153" spans="1:9" ht="13.5">
      <c r="A153" s="91" t="s">
        <v>417</v>
      </c>
      <c r="B153" s="92" t="s">
        <v>285</v>
      </c>
      <c r="C153" s="91" t="s">
        <v>417</v>
      </c>
      <c r="D153" s="91" t="s">
        <v>247</v>
      </c>
      <c r="E153" s="93">
        <v>32114</v>
      </c>
      <c r="F153" s="94">
        <f t="shared" ca="1" si="9"/>
        <v>28</v>
      </c>
      <c r="G153" s="95"/>
      <c r="H153" s="96">
        <v>22320</v>
      </c>
      <c r="I153" s="97">
        <v>2</v>
      </c>
    </row>
    <row r="154" spans="1:9" ht="13.5">
      <c r="A154" s="91" t="s">
        <v>417</v>
      </c>
      <c r="B154" s="92" t="s">
        <v>245</v>
      </c>
      <c r="C154" s="91" t="s">
        <v>417</v>
      </c>
      <c r="D154" s="91" t="s">
        <v>261</v>
      </c>
      <c r="E154" s="93">
        <v>32399</v>
      </c>
      <c r="F154" s="94">
        <f t="shared" ca="1" si="9"/>
        <v>28</v>
      </c>
      <c r="G154" s="95" t="s">
        <v>257</v>
      </c>
      <c r="H154" s="96">
        <v>34110</v>
      </c>
      <c r="I154" s="97">
        <v>4</v>
      </c>
    </row>
    <row r="155" spans="1:9" ht="13.5">
      <c r="A155" s="91" t="s">
        <v>417</v>
      </c>
      <c r="B155" s="92" t="s">
        <v>280</v>
      </c>
      <c r="C155" s="91" t="s">
        <v>417</v>
      </c>
      <c r="D155" s="91" t="s">
        <v>256</v>
      </c>
      <c r="E155" s="93">
        <v>32562</v>
      </c>
      <c r="F155" s="94">
        <f t="shared" ca="1" si="9"/>
        <v>27</v>
      </c>
      <c r="G155" s="95" t="s">
        <v>257</v>
      </c>
      <c r="H155" s="96">
        <v>64510</v>
      </c>
      <c r="I155" s="97">
        <v>3</v>
      </c>
    </row>
    <row r="156" spans="1:9" ht="13.5">
      <c r="A156" s="91" t="s">
        <v>417</v>
      </c>
      <c r="B156" s="92" t="s">
        <v>251</v>
      </c>
      <c r="C156" s="91" t="s">
        <v>417</v>
      </c>
      <c r="D156" s="91" t="s">
        <v>256</v>
      </c>
      <c r="E156" s="93">
        <v>32613</v>
      </c>
      <c r="F156" s="94">
        <f t="shared" ca="1" si="9"/>
        <v>27</v>
      </c>
      <c r="G156" s="95" t="s">
        <v>283</v>
      </c>
      <c r="H156" s="96">
        <v>46340</v>
      </c>
      <c r="I156" s="97">
        <v>5</v>
      </c>
    </row>
    <row r="157" spans="1:9" ht="13.5">
      <c r="A157" s="91" t="s">
        <v>417</v>
      </c>
      <c r="B157" s="92" t="s">
        <v>251</v>
      </c>
      <c r="C157" s="91" t="s">
        <v>417</v>
      </c>
      <c r="D157" s="91" t="s">
        <v>256</v>
      </c>
      <c r="E157" s="93">
        <v>32613</v>
      </c>
      <c r="F157" s="94">
        <f t="shared" ca="1" si="9"/>
        <v>27</v>
      </c>
      <c r="G157" s="95" t="s">
        <v>283</v>
      </c>
      <c r="H157" s="96">
        <v>46340</v>
      </c>
      <c r="I157" s="97">
        <v>5</v>
      </c>
    </row>
    <row r="158" spans="1:9" ht="13.5">
      <c r="A158" s="91" t="s">
        <v>417</v>
      </c>
      <c r="B158" s="92" t="s">
        <v>271</v>
      </c>
      <c r="C158" s="91" t="s">
        <v>417</v>
      </c>
      <c r="D158" s="91" t="s">
        <v>247</v>
      </c>
      <c r="E158" s="93">
        <v>32639</v>
      </c>
      <c r="F158" s="94">
        <f t="shared" ca="1" si="9"/>
        <v>27</v>
      </c>
      <c r="G158" s="95"/>
      <c r="H158" s="96">
        <v>81070</v>
      </c>
      <c r="I158" s="97">
        <v>5</v>
      </c>
    </row>
    <row r="159" spans="1:9" ht="13.5">
      <c r="A159" s="91" t="s">
        <v>417</v>
      </c>
      <c r="B159" s="92" t="s">
        <v>285</v>
      </c>
      <c r="C159" s="91" t="s">
        <v>417</v>
      </c>
      <c r="D159" s="91" t="s">
        <v>256</v>
      </c>
      <c r="E159" s="93">
        <v>32776</v>
      </c>
      <c r="F159" s="94">
        <f t="shared" ca="1" si="9"/>
        <v>27</v>
      </c>
      <c r="G159" s="95" t="s">
        <v>257</v>
      </c>
      <c r="H159" s="96">
        <v>31840</v>
      </c>
      <c r="I159" s="97">
        <v>1</v>
      </c>
    </row>
    <row r="160" spans="1:9" ht="13.5">
      <c r="A160" s="91" t="s">
        <v>417</v>
      </c>
      <c r="B160" s="92" t="s">
        <v>245</v>
      </c>
      <c r="C160" s="91" t="s">
        <v>417</v>
      </c>
      <c r="D160" s="91" t="s">
        <v>247</v>
      </c>
      <c r="E160" s="93">
        <v>32851</v>
      </c>
      <c r="F160" s="94">
        <f t="shared" ca="1" si="9"/>
        <v>26</v>
      </c>
      <c r="G160" s="95"/>
      <c r="H160" s="96">
        <v>64090</v>
      </c>
      <c r="I160" s="97">
        <v>2</v>
      </c>
    </row>
    <row r="161" spans="1:9" ht="13.5">
      <c r="A161" s="91" t="s">
        <v>417</v>
      </c>
      <c r="B161" s="92" t="s">
        <v>271</v>
      </c>
      <c r="C161" s="91" t="s">
        <v>417</v>
      </c>
      <c r="D161" s="91" t="s">
        <v>256</v>
      </c>
      <c r="E161" s="93">
        <v>32903</v>
      </c>
      <c r="F161" s="94">
        <f t="shared" ca="1" si="9"/>
        <v>26</v>
      </c>
      <c r="G161" s="95" t="s">
        <v>257</v>
      </c>
      <c r="H161" s="96">
        <v>72900</v>
      </c>
      <c r="I161" s="97">
        <v>3</v>
      </c>
    </row>
    <row r="162" spans="1:9" ht="13.5">
      <c r="A162" s="91" t="s">
        <v>417</v>
      </c>
      <c r="B162" s="92" t="s">
        <v>285</v>
      </c>
      <c r="C162" s="91" t="s">
        <v>417</v>
      </c>
      <c r="D162" s="91" t="s">
        <v>261</v>
      </c>
      <c r="E162" s="93">
        <v>33445</v>
      </c>
      <c r="F162" s="94">
        <f t="shared" ca="1" si="9"/>
        <v>25</v>
      </c>
      <c r="G162" s="95" t="s">
        <v>267</v>
      </c>
      <c r="H162" s="96">
        <v>15005</v>
      </c>
      <c r="I162" s="97">
        <v>4</v>
      </c>
    </row>
    <row r="163" spans="1:9" ht="13.5">
      <c r="A163" s="91" t="s">
        <v>417</v>
      </c>
      <c r="B163" s="92" t="s">
        <v>245</v>
      </c>
      <c r="C163" s="91" t="s">
        <v>417</v>
      </c>
      <c r="D163" s="91" t="s">
        <v>247</v>
      </c>
      <c r="E163" s="93">
        <v>33451</v>
      </c>
      <c r="F163" s="94">
        <f t="shared" ca="1" si="9"/>
        <v>25</v>
      </c>
      <c r="G163" s="95"/>
      <c r="H163" s="96">
        <v>45040</v>
      </c>
      <c r="I163" s="97">
        <v>5</v>
      </c>
    </row>
    <row r="164" spans="1:9" ht="13.5">
      <c r="A164" s="91" t="s">
        <v>417</v>
      </c>
      <c r="B164" s="92" t="s">
        <v>271</v>
      </c>
      <c r="C164" s="91" t="s">
        <v>417</v>
      </c>
      <c r="D164" s="91" t="s">
        <v>247</v>
      </c>
      <c r="E164" s="93">
        <v>33461</v>
      </c>
      <c r="F164" s="94">
        <f t="shared" ca="1" si="9"/>
        <v>25</v>
      </c>
      <c r="G164" s="95"/>
      <c r="H164" s="96">
        <v>26360</v>
      </c>
      <c r="I164" s="97">
        <v>4</v>
      </c>
    </row>
    <row r="165" spans="1:9" ht="13.5">
      <c r="A165" s="91" t="s">
        <v>417</v>
      </c>
      <c r="B165" s="92" t="s">
        <v>285</v>
      </c>
      <c r="C165" s="91" t="s">
        <v>417</v>
      </c>
      <c r="D165" s="91" t="s">
        <v>247</v>
      </c>
      <c r="E165" s="93">
        <v>33602</v>
      </c>
      <c r="F165" s="94">
        <f t="shared" ca="1" si="9"/>
        <v>24</v>
      </c>
      <c r="G165" s="95"/>
      <c r="H165" s="96">
        <v>40560</v>
      </c>
      <c r="I165" s="97">
        <v>5</v>
      </c>
    </row>
    <row r="166" spans="1:9" ht="13.5">
      <c r="A166" s="91" t="s">
        <v>417</v>
      </c>
      <c r="B166" s="92" t="s">
        <v>285</v>
      </c>
      <c r="C166" s="91" t="s">
        <v>417</v>
      </c>
      <c r="D166" s="91" t="s">
        <v>261</v>
      </c>
      <c r="E166" s="93">
        <v>33760</v>
      </c>
      <c r="F166" s="94">
        <f t="shared" ca="1" si="9"/>
        <v>24</v>
      </c>
      <c r="G166" s="95" t="s">
        <v>276</v>
      </c>
      <c r="H166" s="96">
        <v>21220</v>
      </c>
      <c r="I166" s="97">
        <v>3</v>
      </c>
    </row>
    <row r="167" spans="1:9" ht="13.5">
      <c r="A167" s="91" t="s">
        <v>417</v>
      </c>
      <c r="B167" s="92" t="s">
        <v>271</v>
      </c>
      <c r="C167" s="91" t="s">
        <v>417</v>
      </c>
      <c r="D167" s="91" t="s">
        <v>256</v>
      </c>
      <c r="E167" s="93">
        <v>33774</v>
      </c>
      <c r="F167" s="94">
        <f t="shared" ca="1" si="9"/>
        <v>24</v>
      </c>
      <c r="G167" s="95" t="s">
        <v>276</v>
      </c>
      <c r="H167" s="96">
        <v>49260</v>
      </c>
      <c r="I167" s="97">
        <v>3</v>
      </c>
    </row>
    <row r="168" spans="1:9" ht="13.5">
      <c r="A168" s="91" t="s">
        <v>417</v>
      </c>
      <c r="B168" s="92" t="s">
        <v>285</v>
      </c>
      <c r="C168" s="91" t="s">
        <v>417</v>
      </c>
      <c r="D168" s="91" t="s">
        <v>261</v>
      </c>
      <c r="E168" s="93">
        <v>33876</v>
      </c>
      <c r="F168" s="94">
        <f t="shared" ca="1" si="9"/>
        <v>24</v>
      </c>
      <c r="G168" s="95" t="s">
        <v>276</v>
      </c>
      <c r="H168" s="96">
        <v>32835</v>
      </c>
      <c r="I168" s="97">
        <v>2</v>
      </c>
    </row>
    <row r="169" spans="1:9" ht="13.5">
      <c r="A169" s="91" t="s">
        <v>417</v>
      </c>
      <c r="B169" s="92" t="s">
        <v>285</v>
      </c>
      <c r="C169" s="91" t="s">
        <v>417</v>
      </c>
      <c r="D169" s="91" t="s">
        <v>256</v>
      </c>
      <c r="E169" s="93">
        <v>33943</v>
      </c>
      <c r="F169" s="94">
        <f t="shared" ca="1" si="9"/>
        <v>23</v>
      </c>
      <c r="G169" s="95" t="s">
        <v>257</v>
      </c>
      <c r="H169" s="96">
        <v>63780</v>
      </c>
      <c r="I169" s="97">
        <v>5</v>
      </c>
    </row>
    <row r="170" spans="1:9" ht="13.5">
      <c r="A170" s="91" t="s">
        <v>417</v>
      </c>
      <c r="B170" s="92" t="s">
        <v>285</v>
      </c>
      <c r="C170" s="91" t="s">
        <v>417</v>
      </c>
      <c r="D170" s="91" t="s">
        <v>256</v>
      </c>
      <c r="E170" s="93">
        <v>34191</v>
      </c>
      <c r="F170" s="94">
        <f t="shared" ca="1" si="9"/>
        <v>23</v>
      </c>
      <c r="G170" s="95" t="s">
        <v>283</v>
      </c>
      <c r="H170" s="96">
        <v>37750</v>
      </c>
      <c r="I170" s="97">
        <v>5</v>
      </c>
    </row>
    <row r="171" spans="1:9" ht="13.5">
      <c r="A171" s="91" t="s">
        <v>417</v>
      </c>
      <c r="B171" s="92" t="s">
        <v>271</v>
      </c>
      <c r="C171" s="91" t="s">
        <v>417</v>
      </c>
      <c r="D171" s="91" t="s">
        <v>256</v>
      </c>
      <c r="E171" s="93">
        <v>34295</v>
      </c>
      <c r="F171" s="94">
        <f t="shared" ca="1" si="9"/>
        <v>22</v>
      </c>
      <c r="G171" s="95" t="s">
        <v>283</v>
      </c>
      <c r="H171" s="96">
        <v>56870</v>
      </c>
      <c r="I171" s="97">
        <v>1</v>
      </c>
    </row>
    <row r="172" spans="1:9" ht="13.5">
      <c r="A172" s="91" t="s">
        <v>417</v>
      </c>
      <c r="B172" s="92" t="s">
        <v>271</v>
      </c>
      <c r="C172" s="91" t="s">
        <v>417</v>
      </c>
      <c r="D172" s="91" t="s">
        <v>247</v>
      </c>
      <c r="E172" s="93">
        <v>34629</v>
      </c>
      <c r="F172" s="94">
        <f t="shared" ca="1" si="9"/>
        <v>22</v>
      </c>
      <c r="G172" s="95"/>
      <c r="H172" s="96">
        <v>25120</v>
      </c>
      <c r="I172" s="97">
        <v>5</v>
      </c>
    </row>
    <row r="173" spans="1:9" ht="13.5">
      <c r="A173" s="91" t="s">
        <v>417</v>
      </c>
      <c r="B173" s="92" t="s">
        <v>251</v>
      </c>
      <c r="C173" s="91" t="s">
        <v>417</v>
      </c>
      <c r="D173" s="91" t="s">
        <v>256</v>
      </c>
      <c r="E173" s="93">
        <v>34679</v>
      </c>
      <c r="F173" s="94">
        <f t="shared" ca="1" si="9"/>
        <v>21</v>
      </c>
      <c r="G173" s="95" t="s">
        <v>262</v>
      </c>
      <c r="H173" s="96">
        <v>71010</v>
      </c>
      <c r="I173" s="97">
        <v>5</v>
      </c>
    </row>
    <row r="174" spans="1:9" ht="13.5">
      <c r="A174" s="91" t="s">
        <v>417</v>
      </c>
      <c r="B174" s="92" t="s">
        <v>251</v>
      </c>
      <c r="C174" s="91" t="s">
        <v>417</v>
      </c>
      <c r="D174" s="91" t="s">
        <v>256</v>
      </c>
      <c r="E174" s="93">
        <v>34772</v>
      </c>
      <c r="F174" s="94">
        <f t="shared" ca="1" si="9"/>
        <v>21</v>
      </c>
      <c r="G174" s="95" t="s">
        <v>283</v>
      </c>
      <c r="H174" s="96">
        <v>82400</v>
      </c>
      <c r="I174" s="97">
        <v>2</v>
      </c>
    </row>
    <row r="175" spans="1:9" ht="13.5">
      <c r="A175" s="91" t="s">
        <v>417</v>
      </c>
      <c r="B175" s="92" t="s">
        <v>280</v>
      </c>
      <c r="C175" s="91" t="s">
        <v>417</v>
      </c>
      <c r="D175" s="91" t="s">
        <v>252</v>
      </c>
      <c r="E175" s="93">
        <v>34953</v>
      </c>
      <c r="F175" s="94">
        <f t="shared" ca="1" si="9"/>
        <v>21</v>
      </c>
      <c r="G175" s="95"/>
      <c r="H175" s="96">
        <v>38768</v>
      </c>
      <c r="I175" s="97">
        <v>4</v>
      </c>
    </row>
    <row r="176" spans="1:9" ht="13.5">
      <c r="A176" s="91" t="s">
        <v>417</v>
      </c>
      <c r="B176" s="92" t="s">
        <v>280</v>
      </c>
      <c r="C176" s="91" t="s">
        <v>417</v>
      </c>
      <c r="D176" s="91" t="s">
        <v>256</v>
      </c>
      <c r="E176" s="93">
        <v>35104</v>
      </c>
      <c r="F176" s="94">
        <f t="shared" ca="1" si="9"/>
        <v>20</v>
      </c>
      <c r="G176" s="95" t="s">
        <v>276</v>
      </c>
      <c r="H176" s="96">
        <v>39680</v>
      </c>
      <c r="I176" s="97">
        <v>5</v>
      </c>
    </row>
    <row r="177" spans="1:9" ht="13.5">
      <c r="A177" s="91" t="s">
        <v>417</v>
      </c>
      <c r="B177" s="92" t="s">
        <v>245</v>
      </c>
      <c r="C177" s="91" t="s">
        <v>417</v>
      </c>
      <c r="D177" s="91" t="s">
        <v>256</v>
      </c>
      <c r="E177" s="93">
        <v>35333</v>
      </c>
      <c r="F177" s="94">
        <f t="shared" ca="1" si="9"/>
        <v>20</v>
      </c>
      <c r="G177" s="95" t="s">
        <v>283</v>
      </c>
      <c r="H177" s="96">
        <v>71380</v>
      </c>
      <c r="I177" s="97">
        <v>2</v>
      </c>
    </row>
    <row r="178" spans="1:9" ht="13.5">
      <c r="A178" s="91" t="s">
        <v>417</v>
      </c>
      <c r="B178" s="92" t="s">
        <v>271</v>
      </c>
      <c r="C178" s="91" t="s">
        <v>417</v>
      </c>
      <c r="D178" s="91" t="s">
        <v>256</v>
      </c>
      <c r="E178" s="93">
        <v>35978</v>
      </c>
      <c r="F178" s="94">
        <f t="shared" ca="1" si="9"/>
        <v>18</v>
      </c>
      <c r="G178" s="95" t="s">
        <v>257</v>
      </c>
      <c r="H178" s="96">
        <v>42480</v>
      </c>
      <c r="I178" s="97">
        <v>3</v>
      </c>
    </row>
    <row r="179" spans="1:9" ht="13.5">
      <c r="A179" s="91" t="s">
        <v>417</v>
      </c>
      <c r="B179" s="92" t="s">
        <v>285</v>
      </c>
      <c r="C179" s="91" t="s">
        <v>417</v>
      </c>
      <c r="D179" s="91" t="s">
        <v>247</v>
      </c>
      <c r="E179" s="93">
        <v>36331</v>
      </c>
      <c r="F179" s="94">
        <f t="shared" ca="1" si="9"/>
        <v>17</v>
      </c>
      <c r="G179" s="95"/>
      <c r="H179" s="96">
        <v>31970</v>
      </c>
      <c r="I179" s="97">
        <v>5</v>
      </c>
    </row>
    <row r="180" spans="1:9" ht="13.5">
      <c r="A180" s="91" t="s">
        <v>417</v>
      </c>
      <c r="B180" s="92" t="s">
        <v>285</v>
      </c>
      <c r="C180" s="91" t="s">
        <v>417</v>
      </c>
      <c r="D180" s="91" t="s">
        <v>256</v>
      </c>
      <c r="E180" s="93">
        <v>36825</v>
      </c>
      <c r="F180" s="94">
        <f t="shared" ca="1" si="9"/>
        <v>16</v>
      </c>
      <c r="G180" s="95" t="s">
        <v>267</v>
      </c>
      <c r="H180" s="96">
        <v>65560</v>
      </c>
      <c r="I180" s="97">
        <v>1</v>
      </c>
    </row>
    <row r="181" spans="1:9" ht="13.5">
      <c r="A181" s="91" t="s">
        <v>417</v>
      </c>
      <c r="B181" s="92" t="s">
        <v>285</v>
      </c>
      <c r="C181" s="91" t="s">
        <v>417</v>
      </c>
      <c r="D181" s="91" t="s">
        <v>256</v>
      </c>
      <c r="E181" s="93">
        <v>37443</v>
      </c>
      <c r="F181" s="94">
        <f t="shared" ca="1" si="9"/>
        <v>14</v>
      </c>
      <c r="G181" s="95" t="s">
        <v>257</v>
      </c>
      <c r="H181" s="96">
        <v>22410</v>
      </c>
      <c r="I181" s="97">
        <v>4</v>
      </c>
    </row>
    <row r="182" spans="1:9" ht="13.5">
      <c r="A182" s="91" t="s">
        <v>417</v>
      </c>
      <c r="B182" s="92" t="s">
        <v>271</v>
      </c>
      <c r="C182" s="91" t="s">
        <v>417</v>
      </c>
      <c r="D182" s="91" t="s">
        <v>261</v>
      </c>
      <c r="E182" s="93">
        <v>38458</v>
      </c>
      <c r="F182" s="94">
        <f t="shared" ca="1" si="9"/>
        <v>11</v>
      </c>
      <c r="G182" s="95" t="s">
        <v>257</v>
      </c>
      <c r="H182" s="96">
        <v>39515</v>
      </c>
      <c r="I182" s="97">
        <v>5</v>
      </c>
    </row>
    <row r="183" spans="1:9" ht="13.5">
      <c r="A183" s="91" t="s">
        <v>417</v>
      </c>
      <c r="B183" s="92" t="s">
        <v>271</v>
      </c>
      <c r="C183" s="91" t="s">
        <v>417</v>
      </c>
      <c r="D183" s="91" t="s">
        <v>252</v>
      </c>
      <c r="E183" s="93">
        <v>38583</v>
      </c>
      <c r="F183" s="94">
        <f t="shared" ca="1" si="9"/>
        <v>11</v>
      </c>
      <c r="G183" s="95"/>
      <c r="H183" s="96">
        <v>15744</v>
      </c>
      <c r="I183" s="97">
        <v>3</v>
      </c>
    </row>
    <row r="184" spans="1:9" ht="13.5">
      <c r="A184" s="91" t="s">
        <v>417</v>
      </c>
      <c r="B184" s="92" t="s">
        <v>251</v>
      </c>
      <c r="C184" s="91" t="s">
        <v>417</v>
      </c>
      <c r="D184" s="91" t="s">
        <v>247</v>
      </c>
      <c r="E184" s="93">
        <v>38744</v>
      </c>
      <c r="F184" s="94">
        <f t="shared" ca="1" si="9"/>
        <v>10</v>
      </c>
      <c r="G184" s="95"/>
      <c r="H184" s="96">
        <v>56920</v>
      </c>
      <c r="I184" s="97">
        <v>4</v>
      </c>
    </row>
    <row r="185" spans="1:9" ht="13.5">
      <c r="A185" s="91" t="s">
        <v>417</v>
      </c>
      <c r="B185" s="92" t="s">
        <v>271</v>
      </c>
      <c r="C185" s="91" t="s">
        <v>417</v>
      </c>
      <c r="D185" s="91" t="s">
        <v>247</v>
      </c>
      <c r="E185" s="99">
        <v>38926</v>
      </c>
      <c r="F185" s="94">
        <f t="shared" ca="1" si="9"/>
        <v>10</v>
      </c>
      <c r="G185" s="95"/>
      <c r="H185" s="96">
        <v>45830</v>
      </c>
      <c r="I185" s="97">
        <v>4</v>
      </c>
    </row>
    <row r="186" spans="1:9" ht="13.5">
      <c r="A186" s="91" t="s">
        <v>417</v>
      </c>
      <c r="B186" s="92" t="s">
        <v>266</v>
      </c>
      <c r="C186" s="91" t="s">
        <v>417</v>
      </c>
      <c r="D186" s="91" t="s">
        <v>247</v>
      </c>
      <c r="E186" s="93">
        <v>38949</v>
      </c>
      <c r="F186" s="94">
        <f t="shared" ca="1" si="9"/>
        <v>10</v>
      </c>
      <c r="G186" s="95"/>
      <c r="H186" s="96">
        <v>45710</v>
      </c>
      <c r="I186" s="97">
        <v>3</v>
      </c>
    </row>
    <row r="187" spans="1:9" ht="13.5">
      <c r="A187" s="91" t="s">
        <v>417</v>
      </c>
      <c r="B187" s="92" t="s">
        <v>271</v>
      </c>
      <c r="C187" s="91" t="s">
        <v>417</v>
      </c>
      <c r="D187" s="91" t="s">
        <v>256</v>
      </c>
      <c r="E187" s="93">
        <v>39089</v>
      </c>
      <c r="F187" s="94">
        <f t="shared" ca="1" si="9"/>
        <v>9</v>
      </c>
      <c r="G187" s="95" t="s">
        <v>267</v>
      </c>
      <c r="H187" s="96">
        <v>32640</v>
      </c>
      <c r="I187" s="97">
        <v>4</v>
      </c>
    </row>
    <row r="188" spans="1:9" ht="13.5">
      <c r="A188" s="91" t="s">
        <v>417</v>
      </c>
      <c r="B188" s="92" t="s">
        <v>285</v>
      </c>
      <c r="C188" s="91" t="s">
        <v>417</v>
      </c>
      <c r="D188" s="91" t="s">
        <v>256</v>
      </c>
      <c r="E188" s="93">
        <v>39160</v>
      </c>
      <c r="F188" s="94">
        <f t="shared" ca="1" si="9"/>
        <v>9</v>
      </c>
      <c r="G188" s="95" t="s">
        <v>283</v>
      </c>
      <c r="H188" s="96">
        <v>42620</v>
      </c>
      <c r="I188" s="97">
        <v>3</v>
      </c>
    </row>
    <row r="189" spans="1:9" ht="13.5">
      <c r="A189" s="98"/>
      <c r="B189" s="92"/>
      <c r="C189" s="98"/>
      <c r="D189" s="91"/>
      <c r="E189" s="93"/>
      <c r="F189" s="94"/>
      <c r="G189" s="95"/>
      <c r="H189" s="96"/>
      <c r="I189" s="97"/>
    </row>
    <row r="190" spans="1:9" ht="13.5">
      <c r="A190" s="91" t="s">
        <v>456</v>
      </c>
      <c r="B190" s="92" t="s">
        <v>271</v>
      </c>
      <c r="C190" s="91" t="s">
        <v>456</v>
      </c>
      <c r="D190" s="91" t="s">
        <v>256</v>
      </c>
      <c r="E190" s="93">
        <v>32075</v>
      </c>
      <c r="F190" s="94">
        <f t="shared" ref="F190:F197" ca="1" si="10">DATEDIF(E190,TODAY(),"Y")</f>
        <v>29</v>
      </c>
      <c r="G190" s="95" t="s">
        <v>257</v>
      </c>
      <c r="H190" s="96">
        <v>89140</v>
      </c>
      <c r="I190" s="97">
        <v>1</v>
      </c>
    </row>
    <row r="191" spans="1:9" ht="13.5">
      <c r="A191" s="91" t="s">
        <v>456</v>
      </c>
      <c r="B191" s="92" t="s">
        <v>271</v>
      </c>
      <c r="C191" s="91" t="s">
        <v>456</v>
      </c>
      <c r="D191" s="91" t="s">
        <v>261</v>
      </c>
      <c r="E191" s="93">
        <v>33091</v>
      </c>
      <c r="F191" s="94">
        <f t="shared" ca="1" si="10"/>
        <v>26</v>
      </c>
      <c r="G191" s="95" t="s">
        <v>267</v>
      </c>
      <c r="H191" s="96">
        <v>89780</v>
      </c>
      <c r="I191" s="97">
        <v>4</v>
      </c>
    </row>
    <row r="192" spans="1:9" ht="13.5">
      <c r="A192" s="91" t="s">
        <v>456</v>
      </c>
      <c r="B192" s="92" t="s">
        <v>271</v>
      </c>
      <c r="C192" s="91" t="s">
        <v>456</v>
      </c>
      <c r="D192" s="91" t="s">
        <v>252</v>
      </c>
      <c r="E192" s="93">
        <v>35209</v>
      </c>
      <c r="F192" s="94">
        <f t="shared" ca="1" si="10"/>
        <v>20</v>
      </c>
      <c r="G192" s="95" t="s">
        <v>283</v>
      </c>
      <c r="H192" s="96">
        <v>61860</v>
      </c>
      <c r="I192" s="97">
        <v>5</v>
      </c>
    </row>
    <row r="193" spans="1:9" ht="13.5">
      <c r="A193" s="91" t="s">
        <v>456</v>
      </c>
      <c r="B193" s="92" t="s">
        <v>280</v>
      </c>
      <c r="C193" s="91" t="s">
        <v>456</v>
      </c>
      <c r="D193" s="91" t="s">
        <v>247</v>
      </c>
      <c r="E193" s="93">
        <v>35363</v>
      </c>
      <c r="F193" s="94">
        <f t="shared" ca="1" si="10"/>
        <v>20</v>
      </c>
      <c r="G193" s="95" t="s">
        <v>283</v>
      </c>
      <c r="H193" s="96">
        <v>69410</v>
      </c>
      <c r="I193" s="97">
        <v>4</v>
      </c>
    </row>
    <row r="194" spans="1:9" ht="13.5">
      <c r="A194" s="91" t="s">
        <v>456</v>
      </c>
      <c r="B194" s="92" t="s">
        <v>280</v>
      </c>
      <c r="C194" s="91" t="s">
        <v>456</v>
      </c>
      <c r="D194" s="91" t="s">
        <v>256</v>
      </c>
      <c r="E194" s="93">
        <v>35733</v>
      </c>
      <c r="F194" s="94">
        <f t="shared" ca="1" si="10"/>
        <v>19</v>
      </c>
      <c r="G194" s="95" t="s">
        <v>262</v>
      </c>
      <c r="H194" s="96">
        <v>45150</v>
      </c>
      <c r="I194" s="97">
        <v>1</v>
      </c>
    </row>
    <row r="195" spans="1:9" ht="13.5">
      <c r="A195" s="91" t="s">
        <v>456</v>
      </c>
      <c r="B195" s="92" t="s">
        <v>285</v>
      </c>
      <c r="C195" s="91" t="s">
        <v>456</v>
      </c>
      <c r="D195" s="91" t="s">
        <v>261</v>
      </c>
      <c r="E195" s="93">
        <v>36195</v>
      </c>
      <c r="F195" s="94">
        <f t="shared" ca="1" si="10"/>
        <v>17</v>
      </c>
      <c r="G195" s="95" t="s">
        <v>276</v>
      </c>
      <c r="H195" s="96">
        <v>51800</v>
      </c>
      <c r="I195" s="97">
        <v>1</v>
      </c>
    </row>
    <row r="196" spans="1:9" ht="13.5">
      <c r="A196" s="91" t="s">
        <v>456</v>
      </c>
      <c r="B196" s="92" t="s">
        <v>285</v>
      </c>
      <c r="C196" s="91" t="s">
        <v>456</v>
      </c>
      <c r="D196" s="91" t="s">
        <v>252</v>
      </c>
      <c r="E196" s="93">
        <v>36636</v>
      </c>
      <c r="F196" s="94">
        <f t="shared" ca="1" si="10"/>
        <v>16</v>
      </c>
      <c r="G196" s="95" t="s">
        <v>257</v>
      </c>
      <c r="H196" s="96">
        <v>85130</v>
      </c>
      <c r="I196" s="97">
        <v>5</v>
      </c>
    </row>
    <row r="197" spans="1:9" ht="13.5">
      <c r="A197" s="91" t="s">
        <v>456</v>
      </c>
      <c r="B197" s="92" t="s">
        <v>251</v>
      </c>
      <c r="C197" s="91" t="s">
        <v>456</v>
      </c>
      <c r="D197" s="91" t="s">
        <v>247</v>
      </c>
      <c r="E197" s="93">
        <v>38953</v>
      </c>
      <c r="F197" s="94">
        <f t="shared" ca="1" si="10"/>
        <v>10</v>
      </c>
      <c r="G197" s="95" t="s">
        <v>267</v>
      </c>
      <c r="H197" s="96">
        <v>71190</v>
      </c>
      <c r="I197" s="97">
        <v>4</v>
      </c>
    </row>
    <row r="198" spans="1:9" ht="13.5">
      <c r="A198" s="98"/>
      <c r="B198" s="92"/>
      <c r="C198" s="98"/>
      <c r="D198" s="91"/>
      <c r="E198" s="93"/>
      <c r="F198" s="94"/>
      <c r="G198" s="95"/>
      <c r="H198" s="96"/>
      <c r="I198" s="97"/>
    </row>
    <row r="199" spans="1:9" ht="13.5">
      <c r="A199" s="91" t="s">
        <v>465</v>
      </c>
      <c r="B199" s="92" t="s">
        <v>285</v>
      </c>
      <c r="C199" s="91" t="s">
        <v>465</v>
      </c>
      <c r="D199" s="91" t="s">
        <v>256</v>
      </c>
      <c r="E199" s="93">
        <v>32303</v>
      </c>
      <c r="F199" s="94">
        <f t="shared" ref="F199:F230" ca="1" si="11">DATEDIF(E199,TODAY(),"Y")</f>
        <v>28</v>
      </c>
      <c r="G199" s="95" t="s">
        <v>586</v>
      </c>
      <c r="H199" s="96">
        <v>56900</v>
      </c>
      <c r="I199" s="97">
        <v>5</v>
      </c>
    </row>
    <row r="200" spans="1:9" ht="13.5">
      <c r="A200" s="91" t="s">
        <v>465</v>
      </c>
      <c r="B200" s="92" t="s">
        <v>271</v>
      </c>
      <c r="C200" s="91" t="s">
        <v>465</v>
      </c>
      <c r="D200" s="91" t="s">
        <v>256</v>
      </c>
      <c r="E200" s="93">
        <v>32321</v>
      </c>
      <c r="F200" s="94">
        <f t="shared" ca="1" si="11"/>
        <v>28</v>
      </c>
      <c r="G200" s="95" t="s">
        <v>257</v>
      </c>
      <c r="H200" s="96">
        <v>52940</v>
      </c>
      <c r="I200" s="97">
        <v>4</v>
      </c>
    </row>
    <row r="201" spans="1:9" ht="13.5">
      <c r="A201" s="91" t="s">
        <v>465</v>
      </c>
      <c r="B201" s="92" t="s">
        <v>271</v>
      </c>
      <c r="C201" s="91" t="s">
        <v>465</v>
      </c>
      <c r="D201" s="91" t="s">
        <v>256</v>
      </c>
      <c r="E201" s="93">
        <v>32338</v>
      </c>
      <c r="F201" s="94">
        <f t="shared" ca="1" si="11"/>
        <v>28</v>
      </c>
      <c r="G201" s="95" t="s">
        <v>276</v>
      </c>
      <c r="H201" s="96">
        <v>60380</v>
      </c>
      <c r="I201" s="97">
        <v>4</v>
      </c>
    </row>
    <row r="202" spans="1:9" ht="13.5">
      <c r="A202" s="91" t="s">
        <v>465</v>
      </c>
      <c r="B202" s="92" t="s">
        <v>245</v>
      </c>
      <c r="C202" s="91" t="s">
        <v>465</v>
      </c>
      <c r="D202" s="91" t="s">
        <v>256</v>
      </c>
      <c r="E202" s="93">
        <v>32410</v>
      </c>
      <c r="F202" s="94">
        <f t="shared" ca="1" si="11"/>
        <v>28</v>
      </c>
      <c r="G202" s="95" t="s">
        <v>283</v>
      </c>
      <c r="H202" s="96">
        <v>58910</v>
      </c>
      <c r="I202" s="97">
        <v>1</v>
      </c>
    </row>
    <row r="203" spans="1:9" ht="13.5">
      <c r="A203" s="91" t="s">
        <v>465</v>
      </c>
      <c r="B203" s="92" t="s">
        <v>271</v>
      </c>
      <c r="C203" s="91" t="s">
        <v>465</v>
      </c>
      <c r="D203" s="91" t="s">
        <v>256</v>
      </c>
      <c r="E203" s="93">
        <v>32411</v>
      </c>
      <c r="F203" s="94">
        <f t="shared" ca="1" si="11"/>
        <v>28</v>
      </c>
      <c r="G203" s="95" t="s">
        <v>283</v>
      </c>
      <c r="H203" s="96">
        <v>26190</v>
      </c>
      <c r="I203" s="97">
        <v>5</v>
      </c>
    </row>
    <row r="204" spans="1:9" ht="13.5">
      <c r="A204" s="91" t="s">
        <v>465</v>
      </c>
      <c r="B204" s="92" t="s">
        <v>280</v>
      </c>
      <c r="C204" s="91" t="s">
        <v>465</v>
      </c>
      <c r="D204" s="91" t="s">
        <v>252</v>
      </c>
      <c r="E204" s="93">
        <v>32441</v>
      </c>
      <c r="F204" s="94">
        <f t="shared" ca="1" si="11"/>
        <v>28</v>
      </c>
      <c r="G204" s="95"/>
      <c r="H204" s="96">
        <v>22344</v>
      </c>
      <c r="I204" s="97">
        <v>4</v>
      </c>
    </row>
    <row r="205" spans="1:9" ht="13.5">
      <c r="A205" s="91" t="s">
        <v>465</v>
      </c>
      <c r="B205" s="92" t="s">
        <v>285</v>
      </c>
      <c r="C205" s="91" t="s">
        <v>465</v>
      </c>
      <c r="D205" s="91" t="s">
        <v>247</v>
      </c>
      <c r="E205" s="93">
        <v>32464</v>
      </c>
      <c r="F205" s="94">
        <f t="shared" ca="1" si="11"/>
        <v>27</v>
      </c>
      <c r="G205" s="95"/>
      <c r="H205" s="96">
        <v>32190</v>
      </c>
      <c r="I205" s="97">
        <v>3</v>
      </c>
    </row>
    <row r="206" spans="1:9" ht="13.5">
      <c r="A206" s="91" t="s">
        <v>465</v>
      </c>
      <c r="B206" s="92" t="s">
        <v>271</v>
      </c>
      <c r="C206" s="91" t="s">
        <v>465</v>
      </c>
      <c r="D206" s="91" t="s">
        <v>247</v>
      </c>
      <c r="E206" s="93">
        <v>32509</v>
      </c>
      <c r="F206" s="94">
        <f t="shared" ca="1" si="11"/>
        <v>27</v>
      </c>
      <c r="G206" s="95"/>
      <c r="H206" s="96">
        <v>49530</v>
      </c>
      <c r="I206" s="97">
        <v>2</v>
      </c>
    </row>
    <row r="207" spans="1:9" ht="13.5">
      <c r="A207" s="91" t="s">
        <v>465</v>
      </c>
      <c r="B207" s="92" t="s">
        <v>271</v>
      </c>
      <c r="C207" s="91" t="s">
        <v>465</v>
      </c>
      <c r="D207" s="91" t="s">
        <v>247</v>
      </c>
      <c r="E207" s="93">
        <v>32669</v>
      </c>
      <c r="F207" s="94">
        <f t="shared" ca="1" si="11"/>
        <v>27</v>
      </c>
      <c r="G207" s="95"/>
      <c r="H207" s="96">
        <v>73990</v>
      </c>
      <c r="I207" s="97">
        <v>3</v>
      </c>
    </row>
    <row r="208" spans="1:9" ht="13.5">
      <c r="A208" s="91" t="s">
        <v>465</v>
      </c>
      <c r="B208" s="92" t="s">
        <v>271</v>
      </c>
      <c r="C208" s="91" t="s">
        <v>465</v>
      </c>
      <c r="D208" s="91" t="s">
        <v>256</v>
      </c>
      <c r="E208" s="93">
        <v>32683</v>
      </c>
      <c r="F208" s="94">
        <f t="shared" ca="1" si="11"/>
        <v>27</v>
      </c>
      <c r="G208" s="95" t="s">
        <v>283</v>
      </c>
      <c r="H208" s="96">
        <v>45500</v>
      </c>
      <c r="I208" s="97">
        <v>3</v>
      </c>
    </row>
    <row r="209" spans="1:9" ht="13.5">
      <c r="A209" s="91" t="s">
        <v>465</v>
      </c>
      <c r="B209" s="92" t="s">
        <v>251</v>
      </c>
      <c r="C209" s="91" t="s">
        <v>465</v>
      </c>
      <c r="D209" s="91" t="s">
        <v>247</v>
      </c>
      <c r="E209" s="93">
        <v>32721</v>
      </c>
      <c r="F209" s="94">
        <f t="shared" ca="1" si="11"/>
        <v>27</v>
      </c>
      <c r="G209" s="95"/>
      <c r="H209" s="96">
        <v>64430</v>
      </c>
      <c r="I209" s="97">
        <v>4</v>
      </c>
    </row>
    <row r="210" spans="1:9" ht="13.5">
      <c r="A210" s="91" t="s">
        <v>465</v>
      </c>
      <c r="B210" s="92" t="s">
        <v>245</v>
      </c>
      <c r="C210" s="91" t="s">
        <v>465</v>
      </c>
      <c r="D210" s="91" t="s">
        <v>247</v>
      </c>
      <c r="E210" s="93">
        <v>32743</v>
      </c>
      <c r="F210" s="94">
        <f t="shared" ca="1" si="11"/>
        <v>27</v>
      </c>
      <c r="G210" s="95"/>
      <c r="H210" s="96">
        <v>79220</v>
      </c>
      <c r="I210" s="97">
        <v>4</v>
      </c>
    </row>
    <row r="211" spans="1:9" ht="13.5">
      <c r="A211" s="91" t="s">
        <v>465</v>
      </c>
      <c r="B211" s="92" t="s">
        <v>280</v>
      </c>
      <c r="C211" s="91" t="s">
        <v>465</v>
      </c>
      <c r="D211" s="91" t="s">
        <v>256</v>
      </c>
      <c r="E211" s="93">
        <v>32758</v>
      </c>
      <c r="F211" s="94">
        <f t="shared" ca="1" si="11"/>
        <v>27</v>
      </c>
      <c r="G211" s="95" t="s">
        <v>283</v>
      </c>
      <c r="H211" s="96">
        <v>23330</v>
      </c>
      <c r="I211" s="97">
        <v>4</v>
      </c>
    </row>
    <row r="212" spans="1:9" ht="13.5">
      <c r="A212" s="91" t="s">
        <v>465</v>
      </c>
      <c r="B212" s="92" t="s">
        <v>271</v>
      </c>
      <c r="C212" s="91" t="s">
        <v>465</v>
      </c>
      <c r="D212" s="91" t="s">
        <v>247</v>
      </c>
      <c r="E212" s="93">
        <v>32839</v>
      </c>
      <c r="F212" s="94">
        <f t="shared" ca="1" si="11"/>
        <v>26</v>
      </c>
      <c r="G212" s="95"/>
      <c r="H212" s="96">
        <v>45770</v>
      </c>
      <c r="I212" s="97">
        <v>5</v>
      </c>
    </row>
    <row r="213" spans="1:9" ht="13.5">
      <c r="A213" s="91" t="s">
        <v>465</v>
      </c>
      <c r="B213" s="92" t="s">
        <v>271</v>
      </c>
      <c r="C213" s="91" t="s">
        <v>465</v>
      </c>
      <c r="D213" s="91" t="s">
        <v>256</v>
      </c>
      <c r="E213" s="93">
        <v>32841</v>
      </c>
      <c r="F213" s="94">
        <f t="shared" ca="1" si="11"/>
        <v>26</v>
      </c>
      <c r="G213" s="95" t="s">
        <v>283</v>
      </c>
      <c r="H213" s="96">
        <v>81980</v>
      </c>
      <c r="I213" s="97">
        <v>2</v>
      </c>
    </row>
    <row r="214" spans="1:9" ht="13.5">
      <c r="A214" s="91" t="s">
        <v>465</v>
      </c>
      <c r="B214" s="92" t="s">
        <v>245</v>
      </c>
      <c r="C214" s="91" t="s">
        <v>465</v>
      </c>
      <c r="D214" s="91" t="s">
        <v>261</v>
      </c>
      <c r="E214" s="93">
        <v>32853</v>
      </c>
      <c r="F214" s="94">
        <f t="shared" ca="1" si="11"/>
        <v>26</v>
      </c>
      <c r="G214" s="95" t="s">
        <v>262</v>
      </c>
      <c r="H214" s="96">
        <v>18895</v>
      </c>
      <c r="I214" s="97">
        <v>4</v>
      </c>
    </row>
    <row r="215" spans="1:9" ht="13.5">
      <c r="A215" s="91" t="s">
        <v>465</v>
      </c>
      <c r="B215" s="92" t="s">
        <v>280</v>
      </c>
      <c r="C215" s="91" t="s">
        <v>465</v>
      </c>
      <c r="D215" s="91" t="s">
        <v>252</v>
      </c>
      <c r="E215" s="93">
        <v>32855</v>
      </c>
      <c r="F215" s="94">
        <f t="shared" ca="1" si="11"/>
        <v>26</v>
      </c>
      <c r="G215" s="95"/>
      <c r="H215" s="96">
        <v>30416</v>
      </c>
      <c r="I215" s="97">
        <v>1</v>
      </c>
    </row>
    <row r="216" spans="1:9" ht="13.5">
      <c r="A216" s="91" t="s">
        <v>465</v>
      </c>
      <c r="B216" s="92" t="s">
        <v>280</v>
      </c>
      <c r="C216" s="91" t="s">
        <v>465</v>
      </c>
      <c r="D216" s="91" t="s">
        <v>247</v>
      </c>
      <c r="E216" s="93">
        <v>32955</v>
      </c>
      <c r="F216" s="94">
        <f t="shared" ca="1" si="11"/>
        <v>26</v>
      </c>
      <c r="G216" s="95"/>
      <c r="H216" s="96">
        <v>35460</v>
      </c>
      <c r="I216" s="97">
        <v>3</v>
      </c>
    </row>
    <row r="217" spans="1:9" ht="13.5">
      <c r="A217" s="91" t="s">
        <v>465</v>
      </c>
      <c r="B217" s="92" t="s">
        <v>271</v>
      </c>
      <c r="C217" s="91" t="s">
        <v>465</v>
      </c>
      <c r="D217" s="91" t="s">
        <v>256</v>
      </c>
      <c r="E217" s="93">
        <v>33094</v>
      </c>
      <c r="F217" s="94">
        <f t="shared" ca="1" si="11"/>
        <v>26</v>
      </c>
      <c r="G217" s="95" t="s">
        <v>283</v>
      </c>
      <c r="H217" s="96">
        <v>24710</v>
      </c>
      <c r="I217" s="97">
        <v>2</v>
      </c>
    </row>
    <row r="218" spans="1:9" ht="13.5">
      <c r="A218" s="91" t="s">
        <v>465</v>
      </c>
      <c r="B218" s="92" t="s">
        <v>271</v>
      </c>
      <c r="C218" s="91" t="s">
        <v>465</v>
      </c>
      <c r="D218" s="91" t="s">
        <v>247</v>
      </c>
      <c r="E218" s="93">
        <v>33115</v>
      </c>
      <c r="F218" s="94">
        <f t="shared" ca="1" si="11"/>
        <v>26</v>
      </c>
      <c r="G218" s="95"/>
      <c r="H218" s="96">
        <v>63310</v>
      </c>
      <c r="I218" s="97">
        <v>3</v>
      </c>
    </row>
    <row r="219" spans="1:9" ht="13.5">
      <c r="A219" s="91" t="s">
        <v>465</v>
      </c>
      <c r="B219" s="92" t="s">
        <v>251</v>
      </c>
      <c r="C219" s="91" t="s">
        <v>465</v>
      </c>
      <c r="D219" s="91" t="s">
        <v>256</v>
      </c>
      <c r="E219" s="93">
        <v>33173</v>
      </c>
      <c r="F219" s="94">
        <f t="shared" ca="1" si="11"/>
        <v>26</v>
      </c>
      <c r="G219" s="95" t="s">
        <v>257</v>
      </c>
      <c r="H219" s="96">
        <v>81010</v>
      </c>
      <c r="I219" s="97">
        <v>4</v>
      </c>
    </row>
    <row r="220" spans="1:9" ht="13.5">
      <c r="A220" s="91" t="s">
        <v>465</v>
      </c>
      <c r="B220" s="92" t="s">
        <v>245</v>
      </c>
      <c r="C220" s="91" t="s">
        <v>465</v>
      </c>
      <c r="D220" s="91" t="s">
        <v>256</v>
      </c>
      <c r="E220" s="93">
        <v>33231</v>
      </c>
      <c r="F220" s="94">
        <f t="shared" ca="1" si="11"/>
        <v>25</v>
      </c>
      <c r="G220" s="95" t="s">
        <v>276</v>
      </c>
      <c r="H220" s="96">
        <v>34480</v>
      </c>
      <c r="I220" s="97">
        <v>3</v>
      </c>
    </row>
    <row r="221" spans="1:9" ht="13.5">
      <c r="A221" s="91" t="s">
        <v>465</v>
      </c>
      <c r="B221" s="92" t="s">
        <v>251</v>
      </c>
      <c r="C221" s="91" t="s">
        <v>465</v>
      </c>
      <c r="D221" s="91" t="s">
        <v>261</v>
      </c>
      <c r="E221" s="93">
        <v>33273</v>
      </c>
      <c r="F221" s="94">
        <f t="shared" ca="1" si="11"/>
        <v>25</v>
      </c>
      <c r="G221" s="95" t="s">
        <v>262</v>
      </c>
      <c r="H221" s="96">
        <v>15260</v>
      </c>
      <c r="I221" s="97">
        <v>2</v>
      </c>
    </row>
    <row r="222" spans="1:9" ht="13.5">
      <c r="A222" s="91" t="s">
        <v>465</v>
      </c>
      <c r="B222" s="92" t="s">
        <v>266</v>
      </c>
      <c r="C222" s="91" t="s">
        <v>465</v>
      </c>
      <c r="D222" s="91" t="s">
        <v>247</v>
      </c>
      <c r="E222" s="93">
        <v>33361</v>
      </c>
      <c r="F222" s="94">
        <f t="shared" ca="1" si="11"/>
        <v>25</v>
      </c>
      <c r="G222" s="95"/>
      <c r="H222" s="96">
        <v>80690</v>
      </c>
      <c r="I222" s="97">
        <v>3</v>
      </c>
    </row>
    <row r="223" spans="1:9" ht="13.5">
      <c r="A223" s="91" t="s">
        <v>465</v>
      </c>
      <c r="B223" s="92" t="s">
        <v>251</v>
      </c>
      <c r="C223" s="91" t="s">
        <v>465</v>
      </c>
      <c r="D223" s="91" t="s">
        <v>256</v>
      </c>
      <c r="E223" s="93">
        <v>33475</v>
      </c>
      <c r="F223" s="94">
        <f t="shared" ca="1" si="11"/>
        <v>25</v>
      </c>
      <c r="G223" s="95" t="s">
        <v>257</v>
      </c>
      <c r="H223" s="96">
        <v>24300</v>
      </c>
      <c r="I223" s="97">
        <v>3</v>
      </c>
    </row>
    <row r="224" spans="1:9" ht="13.5">
      <c r="A224" s="91" t="s">
        <v>465</v>
      </c>
      <c r="B224" s="92" t="s">
        <v>285</v>
      </c>
      <c r="C224" s="91" t="s">
        <v>465</v>
      </c>
      <c r="D224" s="91" t="s">
        <v>256</v>
      </c>
      <c r="E224" s="93">
        <v>33571</v>
      </c>
      <c r="F224" s="94">
        <f t="shared" ca="1" si="11"/>
        <v>24</v>
      </c>
      <c r="G224" s="95" t="s">
        <v>262</v>
      </c>
      <c r="H224" s="96">
        <v>63070</v>
      </c>
      <c r="I224" s="97">
        <v>1</v>
      </c>
    </row>
    <row r="225" spans="1:9" ht="13.5">
      <c r="A225" s="91" t="s">
        <v>465</v>
      </c>
      <c r="B225" s="92" t="s">
        <v>285</v>
      </c>
      <c r="C225" s="91" t="s">
        <v>465</v>
      </c>
      <c r="D225" s="91" t="s">
        <v>256</v>
      </c>
      <c r="E225" s="93">
        <v>33661</v>
      </c>
      <c r="F225" s="94">
        <f t="shared" ca="1" si="11"/>
        <v>24</v>
      </c>
      <c r="G225" s="95" t="s">
        <v>283</v>
      </c>
      <c r="H225" s="96">
        <v>67050</v>
      </c>
      <c r="I225" s="97">
        <v>4</v>
      </c>
    </row>
    <row r="226" spans="1:9" ht="13.5">
      <c r="A226" s="91" t="s">
        <v>465</v>
      </c>
      <c r="B226" s="92" t="s">
        <v>245</v>
      </c>
      <c r="C226" s="91" t="s">
        <v>465</v>
      </c>
      <c r="D226" s="91" t="s">
        <v>256</v>
      </c>
      <c r="E226" s="93">
        <v>33710</v>
      </c>
      <c r="F226" s="94">
        <f t="shared" ca="1" si="11"/>
        <v>24</v>
      </c>
      <c r="G226" s="95" t="s">
        <v>262</v>
      </c>
      <c r="H226" s="96">
        <v>38940</v>
      </c>
      <c r="I226" s="97">
        <v>2</v>
      </c>
    </row>
    <row r="227" spans="1:9" ht="13.5">
      <c r="A227" s="91" t="s">
        <v>465</v>
      </c>
      <c r="B227" s="92" t="s">
        <v>285</v>
      </c>
      <c r="C227" s="91" t="s">
        <v>465</v>
      </c>
      <c r="D227" s="91" t="s">
        <v>256</v>
      </c>
      <c r="E227" s="93">
        <v>33714</v>
      </c>
      <c r="F227" s="94">
        <f t="shared" ca="1" si="11"/>
        <v>24</v>
      </c>
      <c r="G227" s="95" t="s">
        <v>283</v>
      </c>
      <c r="H227" s="96">
        <v>73072</v>
      </c>
      <c r="I227" s="97">
        <v>5</v>
      </c>
    </row>
    <row r="228" spans="1:9" ht="13.5">
      <c r="A228" s="91" t="s">
        <v>465</v>
      </c>
      <c r="B228" s="92" t="s">
        <v>271</v>
      </c>
      <c r="C228" s="91" t="s">
        <v>465</v>
      </c>
      <c r="D228" s="91" t="s">
        <v>256</v>
      </c>
      <c r="E228" s="93">
        <v>33846</v>
      </c>
      <c r="F228" s="94">
        <f t="shared" ca="1" si="11"/>
        <v>24</v>
      </c>
      <c r="G228" s="95" t="s">
        <v>283</v>
      </c>
      <c r="H228" s="96">
        <v>86260</v>
      </c>
      <c r="I228" s="97">
        <v>3</v>
      </c>
    </row>
    <row r="229" spans="1:9" ht="13.5">
      <c r="A229" s="91" t="s">
        <v>465</v>
      </c>
      <c r="B229" s="92" t="s">
        <v>285</v>
      </c>
      <c r="C229" s="91" t="s">
        <v>465</v>
      </c>
      <c r="D229" s="91" t="s">
        <v>247</v>
      </c>
      <c r="E229" s="93">
        <v>33875</v>
      </c>
      <c r="F229" s="94">
        <f t="shared" ca="1" si="11"/>
        <v>24</v>
      </c>
      <c r="G229" s="95"/>
      <c r="H229" s="96">
        <v>24410</v>
      </c>
      <c r="I229" s="97">
        <v>3</v>
      </c>
    </row>
    <row r="230" spans="1:9" ht="13.5">
      <c r="A230" s="91" t="s">
        <v>465</v>
      </c>
      <c r="B230" s="92" t="s">
        <v>271</v>
      </c>
      <c r="C230" s="91" t="s">
        <v>465</v>
      </c>
      <c r="D230" s="91" t="s">
        <v>256</v>
      </c>
      <c r="E230" s="93">
        <v>33878</v>
      </c>
      <c r="F230" s="94">
        <f t="shared" ca="1" si="11"/>
        <v>24</v>
      </c>
      <c r="G230" s="95" t="s">
        <v>283</v>
      </c>
      <c r="H230" s="96">
        <v>44270</v>
      </c>
      <c r="I230" s="97">
        <v>2</v>
      </c>
    </row>
    <row r="231" spans="1:9" ht="13.5">
      <c r="A231" s="91" t="s">
        <v>465</v>
      </c>
      <c r="B231" s="92" t="s">
        <v>285</v>
      </c>
      <c r="C231" s="91" t="s">
        <v>465</v>
      </c>
      <c r="D231" s="91" t="s">
        <v>261</v>
      </c>
      <c r="E231" s="93">
        <v>33879</v>
      </c>
      <c r="F231" s="94">
        <f t="shared" ref="F231:F262" ca="1" si="12">DATEDIF(E231,TODAY(),"Y")</f>
        <v>24</v>
      </c>
      <c r="G231" s="95" t="s">
        <v>257</v>
      </c>
      <c r="H231" s="96">
        <v>46285</v>
      </c>
      <c r="I231" s="97">
        <v>5</v>
      </c>
    </row>
    <row r="232" spans="1:9" ht="13.5">
      <c r="A232" s="91" t="s">
        <v>465</v>
      </c>
      <c r="B232" s="92" t="s">
        <v>285</v>
      </c>
      <c r="C232" s="91" t="s">
        <v>465</v>
      </c>
      <c r="D232" s="91" t="s">
        <v>256</v>
      </c>
      <c r="E232" s="93">
        <v>33889</v>
      </c>
      <c r="F232" s="94">
        <f t="shared" ca="1" si="12"/>
        <v>24</v>
      </c>
      <c r="G232" s="95" t="s">
        <v>257</v>
      </c>
      <c r="H232" s="96">
        <v>73450</v>
      </c>
      <c r="I232" s="97">
        <v>3</v>
      </c>
    </row>
    <row r="233" spans="1:9" ht="13.5">
      <c r="A233" s="91" t="s">
        <v>465</v>
      </c>
      <c r="B233" s="92" t="s">
        <v>251</v>
      </c>
      <c r="C233" s="91" t="s">
        <v>465</v>
      </c>
      <c r="D233" s="91" t="s">
        <v>256</v>
      </c>
      <c r="E233" s="93">
        <v>34001</v>
      </c>
      <c r="F233" s="94">
        <f t="shared" ca="1" si="12"/>
        <v>23</v>
      </c>
      <c r="G233" s="95" t="s">
        <v>267</v>
      </c>
      <c r="H233" s="96">
        <v>39520</v>
      </c>
      <c r="I233" s="97">
        <v>5</v>
      </c>
    </row>
    <row r="234" spans="1:9" ht="13.5">
      <c r="A234" s="91" t="s">
        <v>465</v>
      </c>
      <c r="B234" s="92" t="s">
        <v>251</v>
      </c>
      <c r="C234" s="91" t="s">
        <v>465</v>
      </c>
      <c r="D234" s="91" t="s">
        <v>261</v>
      </c>
      <c r="E234" s="93">
        <v>34033</v>
      </c>
      <c r="F234" s="94">
        <f t="shared" ca="1" si="12"/>
        <v>23</v>
      </c>
      <c r="G234" s="95" t="s">
        <v>257</v>
      </c>
      <c r="H234" s="96">
        <v>46645</v>
      </c>
      <c r="I234" s="97">
        <v>5</v>
      </c>
    </row>
    <row r="235" spans="1:9" ht="13.5">
      <c r="A235" s="91" t="s">
        <v>465</v>
      </c>
      <c r="B235" s="92" t="s">
        <v>271</v>
      </c>
      <c r="C235" s="91" t="s">
        <v>465</v>
      </c>
      <c r="D235" s="91" t="s">
        <v>247</v>
      </c>
      <c r="E235" s="93">
        <v>34039</v>
      </c>
      <c r="F235" s="94">
        <f t="shared" ca="1" si="12"/>
        <v>23</v>
      </c>
      <c r="G235" s="95"/>
      <c r="H235" s="96">
        <v>52940</v>
      </c>
      <c r="I235" s="97">
        <v>4</v>
      </c>
    </row>
    <row r="236" spans="1:9" ht="13.5">
      <c r="A236" s="91" t="s">
        <v>465</v>
      </c>
      <c r="B236" s="92" t="s">
        <v>271</v>
      </c>
      <c r="C236" s="91" t="s">
        <v>465</v>
      </c>
      <c r="D236" s="91" t="s">
        <v>256</v>
      </c>
      <c r="E236" s="93">
        <v>34046</v>
      </c>
      <c r="F236" s="94">
        <f t="shared" ca="1" si="12"/>
        <v>23</v>
      </c>
      <c r="G236" s="95" t="s">
        <v>262</v>
      </c>
      <c r="H236" s="96">
        <v>45480</v>
      </c>
      <c r="I236" s="97">
        <v>4</v>
      </c>
    </row>
    <row r="237" spans="1:9" ht="13.5">
      <c r="A237" s="91" t="s">
        <v>465</v>
      </c>
      <c r="B237" s="92" t="s">
        <v>266</v>
      </c>
      <c r="C237" s="91" t="s">
        <v>465</v>
      </c>
      <c r="D237" s="91" t="s">
        <v>247</v>
      </c>
      <c r="E237" s="93">
        <v>34050</v>
      </c>
      <c r="F237" s="94">
        <f t="shared" ca="1" si="12"/>
        <v>23</v>
      </c>
      <c r="G237" s="95"/>
      <c r="H237" s="96">
        <v>28260</v>
      </c>
      <c r="I237" s="97">
        <v>5</v>
      </c>
    </row>
    <row r="238" spans="1:9" ht="13.5">
      <c r="A238" s="91" t="s">
        <v>465</v>
      </c>
      <c r="B238" s="92" t="s">
        <v>266</v>
      </c>
      <c r="C238" s="91" t="s">
        <v>465</v>
      </c>
      <c r="D238" s="91" t="s">
        <v>256</v>
      </c>
      <c r="E238" s="93">
        <v>34051</v>
      </c>
      <c r="F238" s="94">
        <f t="shared" ca="1" si="12"/>
        <v>23</v>
      </c>
      <c r="G238" s="95" t="s">
        <v>257</v>
      </c>
      <c r="H238" s="96">
        <v>59320</v>
      </c>
      <c r="I238" s="97">
        <v>4</v>
      </c>
    </row>
    <row r="239" spans="1:9" ht="13.5">
      <c r="A239" s="91" t="s">
        <v>465</v>
      </c>
      <c r="B239" s="92" t="s">
        <v>271</v>
      </c>
      <c r="C239" s="91" t="s">
        <v>465</v>
      </c>
      <c r="D239" s="91" t="s">
        <v>247</v>
      </c>
      <c r="E239" s="93">
        <v>34069</v>
      </c>
      <c r="F239" s="94">
        <f t="shared" ca="1" si="12"/>
        <v>23</v>
      </c>
      <c r="G239" s="95"/>
      <c r="H239" s="96">
        <v>66010</v>
      </c>
      <c r="I239" s="97">
        <v>2</v>
      </c>
    </row>
    <row r="240" spans="1:9" ht="13.5">
      <c r="A240" s="91" t="s">
        <v>465</v>
      </c>
      <c r="B240" s="92" t="s">
        <v>271</v>
      </c>
      <c r="C240" s="91" t="s">
        <v>465</v>
      </c>
      <c r="D240" s="91" t="s">
        <v>247</v>
      </c>
      <c r="E240" s="93">
        <v>34141</v>
      </c>
      <c r="F240" s="94">
        <f t="shared" ca="1" si="12"/>
        <v>23</v>
      </c>
      <c r="G240" s="95"/>
      <c r="H240" s="96">
        <v>42150</v>
      </c>
      <c r="I240" s="97">
        <v>5</v>
      </c>
    </row>
    <row r="241" spans="1:9" ht="13.5">
      <c r="A241" s="91" t="s">
        <v>465</v>
      </c>
      <c r="B241" s="92" t="s">
        <v>245</v>
      </c>
      <c r="C241" s="91" t="s">
        <v>465</v>
      </c>
      <c r="D241" s="91" t="s">
        <v>252</v>
      </c>
      <c r="E241" s="93">
        <v>34180</v>
      </c>
      <c r="F241" s="94">
        <f t="shared" ca="1" si="12"/>
        <v>23</v>
      </c>
      <c r="G241" s="95"/>
      <c r="H241" s="96">
        <v>22472</v>
      </c>
      <c r="I241" s="97">
        <v>1</v>
      </c>
    </row>
    <row r="242" spans="1:9" ht="13.5">
      <c r="A242" s="91" t="s">
        <v>465</v>
      </c>
      <c r="B242" s="92" t="s">
        <v>245</v>
      </c>
      <c r="C242" s="91" t="s">
        <v>465</v>
      </c>
      <c r="D242" s="91" t="s">
        <v>256</v>
      </c>
      <c r="E242" s="93">
        <v>34201</v>
      </c>
      <c r="F242" s="94">
        <f t="shared" ca="1" si="12"/>
        <v>23</v>
      </c>
      <c r="G242" s="95" t="s">
        <v>283</v>
      </c>
      <c r="H242" s="96">
        <v>73144</v>
      </c>
      <c r="I242" s="97">
        <v>5</v>
      </c>
    </row>
    <row r="243" spans="1:9" ht="13.5">
      <c r="A243" s="91" t="s">
        <v>465</v>
      </c>
      <c r="B243" s="92" t="s">
        <v>271</v>
      </c>
      <c r="C243" s="91" t="s">
        <v>465</v>
      </c>
      <c r="D243" s="91" t="s">
        <v>256</v>
      </c>
      <c r="E243" s="93">
        <v>34210</v>
      </c>
      <c r="F243" s="94">
        <f t="shared" ca="1" si="12"/>
        <v>23</v>
      </c>
      <c r="G243" s="95" t="s">
        <v>257</v>
      </c>
      <c r="H243" s="96">
        <v>79730</v>
      </c>
      <c r="I243" s="97">
        <v>2</v>
      </c>
    </row>
    <row r="244" spans="1:9" ht="13.5">
      <c r="A244" s="91" t="s">
        <v>465</v>
      </c>
      <c r="B244" s="92" t="s">
        <v>285</v>
      </c>
      <c r="C244" s="91" t="s">
        <v>465</v>
      </c>
      <c r="D244" s="91" t="s">
        <v>256</v>
      </c>
      <c r="E244" s="93">
        <v>34216</v>
      </c>
      <c r="F244" s="94">
        <f t="shared" ca="1" si="12"/>
        <v>23</v>
      </c>
      <c r="G244" s="95" t="s">
        <v>283</v>
      </c>
      <c r="H244" s="96">
        <v>32390</v>
      </c>
      <c r="I244" s="97">
        <v>2</v>
      </c>
    </row>
    <row r="245" spans="1:9" ht="13.5">
      <c r="A245" s="91" t="s">
        <v>465</v>
      </c>
      <c r="B245" s="92" t="s">
        <v>280</v>
      </c>
      <c r="C245" s="91" t="s">
        <v>465</v>
      </c>
      <c r="D245" s="91" t="s">
        <v>256</v>
      </c>
      <c r="E245" s="93">
        <v>34219</v>
      </c>
      <c r="F245" s="94">
        <f t="shared" ca="1" si="12"/>
        <v>23</v>
      </c>
      <c r="G245" s="95" t="s">
        <v>267</v>
      </c>
      <c r="H245" s="96">
        <v>44920</v>
      </c>
      <c r="I245" s="97">
        <v>1</v>
      </c>
    </row>
    <row r="246" spans="1:9" ht="13.5">
      <c r="A246" s="91" t="s">
        <v>465</v>
      </c>
      <c r="B246" s="92" t="s">
        <v>271</v>
      </c>
      <c r="C246" s="91" t="s">
        <v>465</v>
      </c>
      <c r="D246" s="91" t="s">
        <v>256</v>
      </c>
      <c r="E246" s="93">
        <v>34279</v>
      </c>
      <c r="F246" s="94">
        <f t="shared" ca="1" si="12"/>
        <v>23</v>
      </c>
      <c r="G246" s="95" t="s">
        <v>257</v>
      </c>
      <c r="H246" s="96">
        <v>60280</v>
      </c>
      <c r="I246" s="97">
        <v>1</v>
      </c>
    </row>
    <row r="247" spans="1:9" ht="13.5">
      <c r="A247" s="91" t="s">
        <v>465</v>
      </c>
      <c r="B247" s="92" t="s">
        <v>251</v>
      </c>
      <c r="C247" s="91" t="s">
        <v>465</v>
      </c>
      <c r="D247" s="91" t="s">
        <v>256</v>
      </c>
      <c r="E247" s="93">
        <v>34281</v>
      </c>
      <c r="F247" s="94">
        <f t="shared" ca="1" si="12"/>
        <v>23</v>
      </c>
      <c r="G247" s="95" t="s">
        <v>283</v>
      </c>
      <c r="H247" s="96">
        <v>61150</v>
      </c>
      <c r="I247" s="97">
        <v>2</v>
      </c>
    </row>
    <row r="248" spans="1:9" ht="13.5">
      <c r="A248" s="91" t="s">
        <v>465</v>
      </c>
      <c r="B248" s="92" t="s">
        <v>271</v>
      </c>
      <c r="C248" s="91" t="s">
        <v>465</v>
      </c>
      <c r="D248" s="91" t="s">
        <v>256</v>
      </c>
      <c r="E248" s="93">
        <v>34385</v>
      </c>
      <c r="F248" s="94">
        <f t="shared" ca="1" si="12"/>
        <v>22</v>
      </c>
      <c r="G248" s="95" t="s">
        <v>257</v>
      </c>
      <c r="H248" s="96">
        <v>60100</v>
      </c>
      <c r="I248" s="97">
        <v>1</v>
      </c>
    </row>
    <row r="249" spans="1:9" ht="13.5">
      <c r="A249" s="91" t="s">
        <v>465</v>
      </c>
      <c r="B249" s="92" t="s">
        <v>285</v>
      </c>
      <c r="C249" s="91" t="s">
        <v>465</v>
      </c>
      <c r="D249" s="91" t="s">
        <v>256</v>
      </c>
      <c r="E249" s="93">
        <v>34393</v>
      </c>
      <c r="F249" s="94">
        <f t="shared" ca="1" si="12"/>
        <v>22</v>
      </c>
      <c r="G249" s="95" t="s">
        <v>262</v>
      </c>
      <c r="H249" s="96">
        <v>66430</v>
      </c>
      <c r="I249" s="97">
        <v>2</v>
      </c>
    </row>
    <row r="250" spans="1:9" ht="13.5">
      <c r="A250" s="91" t="s">
        <v>465</v>
      </c>
      <c r="B250" s="92" t="s">
        <v>245</v>
      </c>
      <c r="C250" s="91" t="s">
        <v>465</v>
      </c>
      <c r="D250" s="91" t="s">
        <v>256</v>
      </c>
      <c r="E250" s="93">
        <v>34404</v>
      </c>
      <c r="F250" s="94">
        <f t="shared" ca="1" si="12"/>
        <v>22</v>
      </c>
      <c r="G250" s="95" t="s">
        <v>262</v>
      </c>
      <c r="H250" s="96">
        <v>70020</v>
      </c>
      <c r="I250" s="97">
        <v>3</v>
      </c>
    </row>
    <row r="251" spans="1:9" ht="13.5">
      <c r="A251" s="91" t="s">
        <v>465</v>
      </c>
      <c r="B251" s="92" t="s">
        <v>251</v>
      </c>
      <c r="C251" s="91" t="s">
        <v>465</v>
      </c>
      <c r="D251" s="91" t="s">
        <v>256</v>
      </c>
      <c r="E251" s="93">
        <v>34491</v>
      </c>
      <c r="F251" s="94">
        <f t="shared" ca="1" si="12"/>
        <v>22</v>
      </c>
      <c r="G251" s="95" t="s">
        <v>257</v>
      </c>
      <c r="H251" s="96">
        <v>78570</v>
      </c>
      <c r="I251" s="97">
        <v>1</v>
      </c>
    </row>
    <row r="252" spans="1:9" ht="13.5">
      <c r="A252" s="91" t="s">
        <v>465</v>
      </c>
      <c r="B252" s="92" t="s">
        <v>251</v>
      </c>
      <c r="C252" s="91" t="s">
        <v>465</v>
      </c>
      <c r="D252" s="91" t="s">
        <v>261</v>
      </c>
      <c r="E252" s="93">
        <v>34497</v>
      </c>
      <c r="F252" s="94">
        <f t="shared" ca="1" si="12"/>
        <v>22</v>
      </c>
      <c r="G252" s="95" t="s">
        <v>257</v>
      </c>
      <c r="H252" s="96">
        <v>48835</v>
      </c>
      <c r="I252" s="97">
        <v>5</v>
      </c>
    </row>
    <row r="253" spans="1:9" ht="13.5">
      <c r="A253" s="91" t="s">
        <v>465</v>
      </c>
      <c r="B253" s="92" t="s">
        <v>245</v>
      </c>
      <c r="C253" s="91" t="s">
        <v>465</v>
      </c>
      <c r="D253" s="91" t="s">
        <v>252</v>
      </c>
      <c r="E253" s="93">
        <v>34519</v>
      </c>
      <c r="F253" s="94">
        <f t="shared" ca="1" si="12"/>
        <v>22</v>
      </c>
      <c r="G253" s="95"/>
      <c r="H253" s="96">
        <v>29176</v>
      </c>
      <c r="I253" s="97">
        <v>3</v>
      </c>
    </row>
    <row r="254" spans="1:9" ht="13.5">
      <c r="A254" s="91" t="s">
        <v>465</v>
      </c>
      <c r="B254" s="92" t="s">
        <v>266</v>
      </c>
      <c r="C254" s="91" t="s">
        <v>465</v>
      </c>
      <c r="D254" s="91" t="s">
        <v>256</v>
      </c>
      <c r="E254" s="93">
        <v>34520</v>
      </c>
      <c r="F254" s="94">
        <f t="shared" ca="1" si="12"/>
        <v>22</v>
      </c>
      <c r="G254" s="95" t="s">
        <v>267</v>
      </c>
      <c r="H254" s="96">
        <v>35460</v>
      </c>
      <c r="I254" s="97">
        <v>5</v>
      </c>
    </row>
    <row r="255" spans="1:9" ht="13.5">
      <c r="A255" s="91" t="s">
        <v>465</v>
      </c>
      <c r="B255" s="92" t="s">
        <v>251</v>
      </c>
      <c r="C255" s="91" t="s">
        <v>465</v>
      </c>
      <c r="D255" s="91" t="s">
        <v>247</v>
      </c>
      <c r="E255" s="93">
        <v>34617</v>
      </c>
      <c r="F255" s="94">
        <f t="shared" ca="1" si="12"/>
        <v>22</v>
      </c>
      <c r="G255" s="95"/>
      <c r="H255" s="96">
        <v>76910</v>
      </c>
      <c r="I255" s="97">
        <v>1</v>
      </c>
    </row>
    <row r="256" spans="1:9" ht="13.5">
      <c r="A256" s="91" t="s">
        <v>465</v>
      </c>
      <c r="B256" s="92" t="s">
        <v>285</v>
      </c>
      <c r="C256" s="91" t="s">
        <v>465</v>
      </c>
      <c r="D256" s="91" t="s">
        <v>256</v>
      </c>
      <c r="E256" s="93">
        <v>34622</v>
      </c>
      <c r="F256" s="94">
        <f t="shared" ca="1" si="12"/>
        <v>22</v>
      </c>
      <c r="G256" s="95" t="s">
        <v>283</v>
      </c>
      <c r="H256" s="96">
        <v>89740</v>
      </c>
      <c r="I256" s="97">
        <v>5</v>
      </c>
    </row>
    <row r="257" spans="1:9" ht="13.5">
      <c r="A257" s="91" t="s">
        <v>465</v>
      </c>
      <c r="B257" s="92" t="s">
        <v>245</v>
      </c>
      <c r="C257" s="91" t="s">
        <v>465</v>
      </c>
      <c r="D257" s="91" t="s">
        <v>256</v>
      </c>
      <c r="E257" s="93">
        <v>34628</v>
      </c>
      <c r="F257" s="94">
        <f t="shared" ca="1" si="12"/>
        <v>22</v>
      </c>
      <c r="G257" s="95" t="s">
        <v>267</v>
      </c>
      <c r="H257" s="96">
        <v>55450</v>
      </c>
      <c r="I257" s="97">
        <v>5</v>
      </c>
    </row>
    <row r="258" spans="1:9" ht="13.5">
      <c r="A258" s="91" t="s">
        <v>465</v>
      </c>
      <c r="B258" s="92" t="s">
        <v>285</v>
      </c>
      <c r="C258" s="91" t="s">
        <v>465</v>
      </c>
      <c r="D258" s="91" t="s">
        <v>247</v>
      </c>
      <c r="E258" s="93">
        <v>34662</v>
      </c>
      <c r="F258" s="94">
        <f t="shared" ca="1" si="12"/>
        <v>21</v>
      </c>
      <c r="G258" s="95"/>
      <c r="H258" s="96">
        <v>71710</v>
      </c>
      <c r="I258" s="97">
        <v>5</v>
      </c>
    </row>
    <row r="259" spans="1:9" ht="13.5">
      <c r="A259" s="91" t="s">
        <v>465</v>
      </c>
      <c r="B259" s="92" t="s">
        <v>285</v>
      </c>
      <c r="C259" s="91" t="s">
        <v>465</v>
      </c>
      <c r="D259" s="91" t="s">
        <v>252</v>
      </c>
      <c r="E259" s="93">
        <v>34672</v>
      </c>
      <c r="F259" s="94">
        <f t="shared" ca="1" si="12"/>
        <v>21</v>
      </c>
      <c r="G259" s="95"/>
      <c r="H259" s="96">
        <v>8904</v>
      </c>
      <c r="I259" s="97">
        <v>3</v>
      </c>
    </row>
    <row r="260" spans="1:9" ht="13.5">
      <c r="A260" s="91" t="s">
        <v>465</v>
      </c>
      <c r="B260" s="92" t="s">
        <v>271</v>
      </c>
      <c r="C260" s="91" t="s">
        <v>465</v>
      </c>
      <c r="D260" s="91" t="s">
        <v>247</v>
      </c>
      <c r="E260" s="93">
        <v>34682</v>
      </c>
      <c r="F260" s="94">
        <f t="shared" ca="1" si="12"/>
        <v>21</v>
      </c>
      <c r="G260" s="95"/>
      <c r="H260" s="96">
        <v>68260</v>
      </c>
      <c r="I260" s="97">
        <v>5</v>
      </c>
    </row>
    <row r="261" spans="1:9" ht="13.5">
      <c r="A261" s="91" t="s">
        <v>465</v>
      </c>
      <c r="B261" s="92" t="s">
        <v>271</v>
      </c>
      <c r="C261" s="91" t="s">
        <v>465</v>
      </c>
      <c r="D261" s="91" t="s">
        <v>256</v>
      </c>
      <c r="E261" s="93">
        <v>34686</v>
      </c>
      <c r="F261" s="94">
        <f t="shared" ca="1" si="12"/>
        <v>21</v>
      </c>
      <c r="G261" s="95" t="s">
        <v>257</v>
      </c>
      <c r="H261" s="96">
        <v>40340</v>
      </c>
      <c r="I261" s="97">
        <v>2</v>
      </c>
    </row>
    <row r="262" spans="1:9" ht="13.5">
      <c r="A262" s="91" t="s">
        <v>465</v>
      </c>
      <c r="B262" s="92" t="s">
        <v>285</v>
      </c>
      <c r="C262" s="91" t="s">
        <v>465</v>
      </c>
      <c r="D262" s="91" t="s">
        <v>247</v>
      </c>
      <c r="E262" s="93">
        <v>34687</v>
      </c>
      <c r="F262" s="94">
        <f t="shared" ca="1" si="12"/>
        <v>21</v>
      </c>
      <c r="G262" s="95"/>
      <c r="H262" s="96">
        <v>72520</v>
      </c>
      <c r="I262" s="97">
        <v>3</v>
      </c>
    </row>
    <row r="263" spans="1:9" ht="13.5">
      <c r="A263" s="91" t="s">
        <v>465</v>
      </c>
      <c r="B263" s="92" t="s">
        <v>271</v>
      </c>
      <c r="C263" s="91" t="s">
        <v>465</v>
      </c>
      <c r="D263" s="91" t="s">
        <v>256</v>
      </c>
      <c r="E263" s="93">
        <v>34699</v>
      </c>
      <c r="F263" s="94">
        <f t="shared" ref="F263:F294" ca="1" si="13">DATEDIF(E263,TODAY(),"Y")</f>
        <v>21</v>
      </c>
      <c r="G263" s="95" t="s">
        <v>257</v>
      </c>
      <c r="H263" s="96">
        <v>75120</v>
      </c>
      <c r="I263" s="97">
        <v>5</v>
      </c>
    </row>
    <row r="264" spans="1:9" ht="13.5">
      <c r="A264" s="91" t="s">
        <v>465</v>
      </c>
      <c r="B264" s="92" t="s">
        <v>280</v>
      </c>
      <c r="C264" s="91" t="s">
        <v>465</v>
      </c>
      <c r="D264" s="91" t="s">
        <v>247</v>
      </c>
      <c r="E264" s="93">
        <v>34701</v>
      </c>
      <c r="F264" s="94">
        <f t="shared" ca="1" si="13"/>
        <v>21</v>
      </c>
      <c r="G264" s="95"/>
      <c r="H264" s="96">
        <v>45050</v>
      </c>
      <c r="I264" s="97">
        <v>1</v>
      </c>
    </row>
    <row r="265" spans="1:9" ht="13.5">
      <c r="A265" s="91" t="s">
        <v>465</v>
      </c>
      <c r="B265" s="92" t="s">
        <v>280</v>
      </c>
      <c r="C265" s="91" t="s">
        <v>465</v>
      </c>
      <c r="D265" s="91" t="s">
        <v>252</v>
      </c>
      <c r="E265" s="93">
        <v>34757</v>
      </c>
      <c r="F265" s="94">
        <f t="shared" ca="1" si="13"/>
        <v>21</v>
      </c>
      <c r="G265" s="95"/>
      <c r="H265" s="96">
        <v>37612</v>
      </c>
      <c r="I265" s="97">
        <v>4</v>
      </c>
    </row>
    <row r="266" spans="1:9" ht="13.5">
      <c r="A266" s="91" t="s">
        <v>465</v>
      </c>
      <c r="B266" s="92" t="s">
        <v>280</v>
      </c>
      <c r="C266" s="91" t="s">
        <v>465</v>
      </c>
      <c r="D266" s="91" t="s">
        <v>252</v>
      </c>
      <c r="E266" s="93">
        <v>34757</v>
      </c>
      <c r="F266" s="94">
        <f t="shared" ca="1" si="13"/>
        <v>21</v>
      </c>
      <c r="G266" s="95"/>
      <c r="H266" s="96">
        <v>37612</v>
      </c>
      <c r="I266" s="97">
        <v>4</v>
      </c>
    </row>
    <row r="267" spans="1:9" ht="13.5">
      <c r="A267" s="91" t="s">
        <v>465</v>
      </c>
      <c r="B267" s="92" t="s">
        <v>280</v>
      </c>
      <c r="C267" s="91" t="s">
        <v>465</v>
      </c>
      <c r="D267" s="91" t="s">
        <v>256</v>
      </c>
      <c r="E267" s="93">
        <v>34774</v>
      </c>
      <c r="F267" s="94">
        <f t="shared" ca="1" si="13"/>
        <v>21</v>
      </c>
      <c r="G267" s="95" t="s">
        <v>257</v>
      </c>
      <c r="H267" s="96">
        <v>33210</v>
      </c>
      <c r="I267" s="97">
        <v>4</v>
      </c>
    </row>
    <row r="268" spans="1:9" ht="13.5">
      <c r="A268" s="91" t="s">
        <v>465</v>
      </c>
      <c r="B268" s="92" t="s">
        <v>271</v>
      </c>
      <c r="C268" s="91" t="s">
        <v>465</v>
      </c>
      <c r="D268" s="91" t="s">
        <v>256</v>
      </c>
      <c r="E268" s="93">
        <v>34791</v>
      </c>
      <c r="F268" s="94">
        <f t="shared" ca="1" si="13"/>
        <v>21</v>
      </c>
      <c r="G268" s="95" t="s">
        <v>257</v>
      </c>
      <c r="H268" s="96">
        <v>88240</v>
      </c>
      <c r="I268" s="97">
        <v>5</v>
      </c>
    </row>
    <row r="269" spans="1:9" ht="13.5">
      <c r="A269" s="91" t="s">
        <v>465</v>
      </c>
      <c r="B269" s="92" t="s">
        <v>245</v>
      </c>
      <c r="C269" s="91" t="s">
        <v>465</v>
      </c>
      <c r="D269" s="91" t="s">
        <v>256</v>
      </c>
      <c r="E269" s="93">
        <v>34812</v>
      </c>
      <c r="F269" s="94">
        <f t="shared" ca="1" si="13"/>
        <v>21</v>
      </c>
      <c r="G269" s="95" t="s">
        <v>262</v>
      </c>
      <c r="H269" s="96">
        <v>22660</v>
      </c>
      <c r="I269" s="97">
        <v>2</v>
      </c>
    </row>
    <row r="270" spans="1:9" ht="13.5">
      <c r="A270" s="91" t="s">
        <v>465</v>
      </c>
      <c r="B270" s="92" t="s">
        <v>271</v>
      </c>
      <c r="C270" s="91" t="s">
        <v>465</v>
      </c>
      <c r="D270" s="91" t="s">
        <v>261</v>
      </c>
      <c r="E270" s="93">
        <v>34867</v>
      </c>
      <c r="F270" s="94">
        <f t="shared" ca="1" si="13"/>
        <v>21</v>
      </c>
      <c r="G270" s="95" t="s">
        <v>267</v>
      </c>
      <c r="H270" s="96">
        <v>21670</v>
      </c>
      <c r="I270" s="97">
        <v>2</v>
      </c>
    </row>
    <row r="271" spans="1:9" ht="13.5">
      <c r="A271" s="91" t="s">
        <v>465</v>
      </c>
      <c r="B271" s="92" t="s">
        <v>251</v>
      </c>
      <c r="C271" s="91" t="s">
        <v>465</v>
      </c>
      <c r="D271" s="91" t="s">
        <v>256</v>
      </c>
      <c r="E271" s="93">
        <v>34888</v>
      </c>
      <c r="F271" s="94">
        <f t="shared" ca="1" si="13"/>
        <v>21</v>
      </c>
      <c r="G271" s="95" t="s">
        <v>276</v>
      </c>
      <c r="H271" s="96">
        <v>81400</v>
      </c>
      <c r="I271" s="97">
        <v>2</v>
      </c>
    </row>
    <row r="272" spans="1:9" ht="13.5">
      <c r="A272" s="91" t="s">
        <v>465</v>
      </c>
      <c r="B272" s="92" t="s">
        <v>271</v>
      </c>
      <c r="C272" s="91" t="s">
        <v>465</v>
      </c>
      <c r="D272" s="91" t="s">
        <v>261</v>
      </c>
      <c r="E272" s="93">
        <v>34959</v>
      </c>
      <c r="F272" s="94">
        <f t="shared" ca="1" si="13"/>
        <v>21</v>
      </c>
      <c r="G272" s="95" t="s">
        <v>283</v>
      </c>
      <c r="H272" s="96">
        <v>48190</v>
      </c>
      <c r="I272" s="97">
        <v>1</v>
      </c>
    </row>
    <row r="273" spans="1:9" ht="13.5">
      <c r="A273" s="91" t="s">
        <v>465</v>
      </c>
      <c r="B273" s="92" t="s">
        <v>271</v>
      </c>
      <c r="C273" s="91" t="s">
        <v>465</v>
      </c>
      <c r="D273" s="91" t="s">
        <v>261</v>
      </c>
      <c r="E273" s="93">
        <v>34959</v>
      </c>
      <c r="F273" s="94">
        <f t="shared" ca="1" si="13"/>
        <v>21</v>
      </c>
      <c r="G273" s="95" t="s">
        <v>283</v>
      </c>
      <c r="H273" s="96">
        <v>48190</v>
      </c>
      <c r="I273" s="97">
        <v>1</v>
      </c>
    </row>
    <row r="274" spans="1:9" ht="13.5">
      <c r="A274" s="91" t="s">
        <v>465</v>
      </c>
      <c r="B274" s="92" t="s">
        <v>271</v>
      </c>
      <c r="C274" s="91" t="s">
        <v>465</v>
      </c>
      <c r="D274" s="91" t="s">
        <v>256</v>
      </c>
      <c r="E274" s="93">
        <v>34963</v>
      </c>
      <c r="F274" s="94">
        <f t="shared" ca="1" si="13"/>
        <v>21</v>
      </c>
      <c r="G274" s="95" t="s">
        <v>283</v>
      </c>
      <c r="H274" s="96">
        <v>61330</v>
      </c>
      <c r="I274" s="97">
        <v>4</v>
      </c>
    </row>
    <row r="275" spans="1:9" ht="13.5">
      <c r="A275" s="91" t="s">
        <v>465</v>
      </c>
      <c r="B275" s="92" t="s">
        <v>280</v>
      </c>
      <c r="C275" s="91" t="s">
        <v>465</v>
      </c>
      <c r="D275" s="91" t="s">
        <v>247</v>
      </c>
      <c r="E275" s="93">
        <v>34973</v>
      </c>
      <c r="F275" s="94">
        <f t="shared" ca="1" si="13"/>
        <v>21</v>
      </c>
      <c r="G275" s="95"/>
      <c r="H275" s="96">
        <v>25130</v>
      </c>
      <c r="I275" s="97">
        <v>5</v>
      </c>
    </row>
    <row r="276" spans="1:9" ht="13.5">
      <c r="A276" s="91" t="s">
        <v>465</v>
      </c>
      <c r="B276" s="92" t="s">
        <v>271</v>
      </c>
      <c r="C276" s="91" t="s">
        <v>465</v>
      </c>
      <c r="D276" s="91" t="s">
        <v>252</v>
      </c>
      <c r="E276" s="93">
        <v>34995</v>
      </c>
      <c r="F276" s="94">
        <f t="shared" ca="1" si="13"/>
        <v>21</v>
      </c>
      <c r="G276" s="95"/>
      <c r="H276" s="96">
        <v>9424</v>
      </c>
      <c r="I276" s="97">
        <v>4</v>
      </c>
    </row>
    <row r="277" spans="1:9" ht="13.5">
      <c r="A277" s="91" t="s">
        <v>465</v>
      </c>
      <c r="B277" s="92" t="s">
        <v>285</v>
      </c>
      <c r="C277" s="91" t="s">
        <v>465</v>
      </c>
      <c r="D277" s="91" t="s">
        <v>256</v>
      </c>
      <c r="E277" s="93">
        <v>35008</v>
      </c>
      <c r="F277" s="94">
        <f t="shared" ca="1" si="13"/>
        <v>21</v>
      </c>
      <c r="G277" s="95" t="s">
        <v>283</v>
      </c>
      <c r="H277" s="96">
        <v>68750</v>
      </c>
      <c r="I277" s="97">
        <v>1</v>
      </c>
    </row>
    <row r="278" spans="1:9" ht="13.5">
      <c r="A278" s="91" t="s">
        <v>465</v>
      </c>
      <c r="B278" s="92" t="s">
        <v>285</v>
      </c>
      <c r="C278" s="91" t="s">
        <v>465</v>
      </c>
      <c r="D278" s="91" t="s">
        <v>256</v>
      </c>
      <c r="E278" s="93">
        <v>35022</v>
      </c>
      <c r="F278" s="94">
        <f t="shared" ca="1" si="13"/>
        <v>20</v>
      </c>
      <c r="G278" s="95" t="s">
        <v>267</v>
      </c>
      <c r="H278" s="96">
        <v>37760</v>
      </c>
      <c r="I278" s="97">
        <v>2</v>
      </c>
    </row>
    <row r="279" spans="1:9" ht="13.5">
      <c r="A279" s="91" t="s">
        <v>465</v>
      </c>
      <c r="B279" s="92" t="s">
        <v>266</v>
      </c>
      <c r="C279" s="91" t="s">
        <v>465</v>
      </c>
      <c r="D279" s="91" t="s">
        <v>247</v>
      </c>
      <c r="E279" s="93">
        <v>35040</v>
      </c>
      <c r="F279" s="94">
        <f t="shared" ca="1" si="13"/>
        <v>20</v>
      </c>
      <c r="G279" s="95"/>
      <c r="H279" s="96">
        <v>27380</v>
      </c>
      <c r="I279" s="97">
        <v>3</v>
      </c>
    </row>
    <row r="280" spans="1:9" ht="13.5">
      <c r="A280" s="91" t="s">
        <v>465</v>
      </c>
      <c r="B280" s="92" t="s">
        <v>285</v>
      </c>
      <c r="C280" s="91" t="s">
        <v>465</v>
      </c>
      <c r="D280" s="91" t="s">
        <v>261</v>
      </c>
      <c r="E280" s="93">
        <v>35050</v>
      </c>
      <c r="F280" s="94">
        <f t="shared" ca="1" si="13"/>
        <v>20</v>
      </c>
      <c r="G280" s="95" t="s">
        <v>283</v>
      </c>
      <c r="H280" s="96">
        <v>11065</v>
      </c>
      <c r="I280" s="97">
        <v>1</v>
      </c>
    </row>
    <row r="281" spans="1:9" ht="13.5">
      <c r="A281" s="91" t="s">
        <v>465</v>
      </c>
      <c r="B281" s="92" t="s">
        <v>280</v>
      </c>
      <c r="C281" s="91" t="s">
        <v>465</v>
      </c>
      <c r="D281" s="91" t="s">
        <v>256</v>
      </c>
      <c r="E281" s="93">
        <v>35103</v>
      </c>
      <c r="F281" s="94">
        <f t="shared" ca="1" si="13"/>
        <v>20</v>
      </c>
      <c r="G281" s="95" t="s">
        <v>257</v>
      </c>
      <c r="H281" s="96">
        <v>40060</v>
      </c>
      <c r="I281" s="97">
        <v>3</v>
      </c>
    </row>
    <row r="282" spans="1:9" ht="13.5">
      <c r="A282" s="91" t="s">
        <v>465</v>
      </c>
      <c r="B282" s="92" t="s">
        <v>285</v>
      </c>
      <c r="C282" s="91" t="s">
        <v>465</v>
      </c>
      <c r="D282" s="91" t="s">
        <v>261</v>
      </c>
      <c r="E282" s="93">
        <v>35112</v>
      </c>
      <c r="F282" s="94">
        <f t="shared" ca="1" si="13"/>
        <v>20</v>
      </c>
      <c r="G282" s="95" t="s">
        <v>283</v>
      </c>
      <c r="H282" s="96">
        <v>17270</v>
      </c>
      <c r="I282" s="97">
        <v>5</v>
      </c>
    </row>
    <row r="283" spans="1:9" ht="13.5">
      <c r="A283" s="91" t="s">
        <v>465</v>
      </c>
      <c r="B283" s="92" t="s">
        <v>285</v>
      </c>
      <c r="C283" s="91" t="s">
        <v>465</v>
      </c>
      <c r="D283" s="91" t="s">
        <v>256</v>
      </c>
      <c r="E283" s="93">
        <v>35121</v>
      </c>
      <c r="F283" s="94">
        <f t="shared" ca="1" si="13"/>
        <v>20</v>
      </c>
      <c r="G283" s="95" t="s">
        <v>257</v>
      </c>
      <c r="H283" s="96">
        <v>35820</v>
      </c>
      <c r="I283" s="97">
        <v>2</v>
      </c>
    </row>
    <row r="284" spans="1:9" ht="13.5">
      <c r="A284" s="91" t="s">
        <v>465</v>
      </c>
      <c r="B284" s="92" t="s">
        <v>245</v>
      </c>
      <c r="C284" s="91" t="s">
        <v>465</v>
      </c>
      <c r="D284" s="91" t="s">
        <v>256</v>
      </c>
      <c r="E284" s="93">
        <v>35134</v>
      </c>
      <c r="F284" s="94">
        <f t="shared" ca="1" si="13"/>
        <v>20</v>
      </c>
      <c r="G284" s="95" t="s">
        <v>257</v>
      </c>
      <c r="H284" s="96">
        <v>67280</v>
      </c>
      <c r="I284" s="97">
        <v>3</v>
      </c>
    </row>
    <row r="285" spans="1:9" ht="13.5">
      <c r="A285" s="91" t="s">
        <v>465</v>
      </c>
      <c r="B285" s="92" t="s">
        <v>271</v>
      </c>
      <c r="C285" s="91" t="s">
        <v>465</v>
      </c>
      <c r="D285" s="91" t="s">
        <v>247</v>
      </c>
      <c r="E285" s="93">
        <v>35145</v>
      </c>
      <c r="F285" s="94">
        <f t="shared" ca="1" si="13"/>
        <v>20</v>
      </c>
      <c r="G285" s="95"/>
      <c r="H285" s="96">
        <v>23810</v>
      </c>
      <c r="I285" s="97">
        <v>4</v>
      </c>
    </row>
    <row r="286" spans="1:9" ht="13.5">
      <c r="A286" s="91" t="s">
        <v>465</v>
      </c>
      <c r="B286" s="92" t="s">
        <v>271</v>
      </c>
      <c r="C286" s="91" t="s">
        <v>465</v>
      </c>
      <c r="D286" s="91" t="s">
        <v>261</v>
      </c>
      <c r="E286" s="93">
        <v>35193</v>
      </c>
      <c r="F286" s="94">
        <f t="shared" ca="1" si="13"/>
        <v>20</v>
      </c>
      <c r="G286" s="95" t="s">
        <v>267</v>
      </c>
      <c r="H286" s="96">
        <v>41615</v>
      </c>
      <c r="I286" s="97">
        <v>1</v>
      </c>
    </row>
    <row r="287" spans="1:9" ht="13.5">
      <c r="A287" s="91" t="s">
        <v>465</v>
      </c>
      <c r="B287" s="92" t="s">
        <v>271</v>
      </c>
      <c r="C287" s="91" t="s">
        <v>465</v>
      </c>
      <c r="D287" s="91" t="s">
        <v>256</v>
      </c>
      <c r="E287" s="93">
        <v>35225</v>
      </c>
      <c r="F287" s="94">
        <f t="shared" ca="1" si="13"/>
        <v>20</v>
      </c>
      <c r="G287" s="95" t="s">
        <v>257</v>
      </c>
      <c r="H287" s="96">
        <v>76192</v>
      </c>
      <c r="I287" s="97">
        <v>4</v>
      </c>
    </row>
    <row r="288" spans="1:9" ht="13.5">
      <c r="A288" s="91" t="s">
        <v>465</v>
      </c>
      <c r="B288" s="92" t="s">
        <v>280</v>
      </c>
      <c r="C288" s="91" t="s">
        <v>465</v>
      </c>
      <c r="D288" s="91" t="s">
        <v>247</v>
      </c>
      <c r="E288" s="93">
        <v>35290</v>
      </c>
      <c r="F288" s="94">
        <f t="shared" ca="1" si="13"/>
        <v>20</v>
      </c>
      <c r="G288" s="95"/>
      <c r="H288" s="96">
        <v>41840</v>
      </c>
      <c r="I288" s="97">
        <v>2</v>
      </c>
    </row>
    <row r="289" spans="1:9" ht="13.5">
      <c r="A289" s="91" t="s">
        <v>465</v>
      </c>
      <c r="B289" s="92" t="s">
        <v>285</v>
      </c>
      <c r="C289" s="91" t="s">
        <v>465</v>
      </c>
      <c r="D289" s="91" t="s">
        <v>261</v>
      </c>
      <c r="E289" s="93">
        <v>35294</v>
      </c>
      <c r="F289" s="94">
        <f t="shared" ca="1" si="13"/>
        <v>20</v>
      </c>
      <c r="G289" s="95" t="s">
        <v>283</v>
      </c>
      <c r="H289" s="96">
        <v>46710</v>
      </c>
      <c r="I289" s="97">
        <v>3</v>
      </c>
    </row>
    <row r="290" spans="1:9" ht="13.5">
      <c r="A290" s="91" t="s">
        <v>465</v>
      </c>
      <c r="B290" s="92" t="s">
        <v>271</v>
      </c>
      <c r="C290" s="91" t="s">
        <v>465</v>
      </c>
      <c r="D290" s="91" t="s">
        <v>247</v>
      </c>
      <c r="E290" s="93">
        <v>35327</v>
      </c>
      <c r="F290" s="94">
        <f t="shared" ca="1" si="13"/>
        <v>20</v>
      </c>
      <c r="G290" s="95"/>
      <c r="H290" s="96">
        <v>57600</v>
      </c>
      <c r="I290" s="97">
        <v>3</v>
      </c>
    </row>
    <row r="291" spans="1:9" ht="13.5">
      <c r="A291" s="91" t="s">
        <v>465</v>
      </c>
      <c r="B291" s="92" t="s">
        <v>245</v>
      </c>
      <c r="C291" s="91" t="s">
        <v>465</v>
      </c>
      <c r="D291" s="91" t="s">
        <v>256</v>
      </c>
      <c r="E291" s="93">
        <v>35388</v>
      </c>
      <c r="F291" s="94">
        <f t="shared" ca="1" si="13"/>
        <v>19</v>
      </c>
      <c r="G291" s="95" t="s">
        <v>267</v>
      </c>
      <c r="H291" s="96">
        <v>23650</v>
      </c>
      <c r="I291" s="97">
        <v>1</v>
      </c>
    </row>
    <row r="292" spans="1:9" ht="13.5">
      <c r="A292" s="91" t="s">
        <v>465</v>
      </c>
      <c r="B292" s="92" t="s">
        <v>280</v>
      </c>
      <c r="C292" s="91" t="s">
        <v>465</v>
      </c>
      <c r="D292" s="91" t="s">
        <v>247</v>
      </c>
      <c r="E292" s="93">
        <v>35394</v>
      </c>
      <c r="F292" s="94">
        <f t="shared" ca="1" si="13"/>
        <v>19</v>
      </c>
      <c r="G292" s="95"/>
      <c r="H292" s="96">
        <v>57760</v>
      </c>
      <c r="I292" s="97">
        <v>3</v>
      </c>
    </row>
    <row r="293" spans="1:9" ht="13.5">
      <c r="A293" s="91" t="s">
        <v>465</v>
      </c>
      <c r="B293" s="92" t="s">
        <v>285</v>
      </c>
      <c r="C293" s="91" t="s">
        <v>465</v>
      </c>
      <c r="D293" s="91" t="s">
        <v>256</v>
      </c>
      <c r="E293" s="93">
        <v>35397</v>
      </c>
      <c r="F293" s="94">
        <f t="shared" ca="1" si="13"/>
        <v>19</v>
      </c>
      <c r="G293" s="95" t="s">
        <v>276</v>
      </c>
      <c r="H293" s="96">
        <v>38870</v>
      </c>
      <c r="I293" s="97">
        <v>2</v>
      </c>
    </row>
    <row r="294" spans="1:9" ht="13.5">
      <c r="A294" s="91" t="s">
        <v>465</v>
      </c>
      <c r="B294" s="92" t="s">
        <v>285</v>
      </c>
      <c r="C294" s="91" t="s">
        <v>465</v>
      </c>
      <c r="D294" s="91" t="s">
        <v>247</v>
      </c>
      <c r="E294" s="93">
        <v>35408</v>
      </c>
      <c r="F294" s="94">
        <f t="shared" ca="1" si="13"/>
        <v>19</v>
      </c>
      <c r="G294" s="95"/>
      <c r="H294" s="96">
        <v>89520</v>
      </c>
      <c r="I294" s="97">
        <v>5</v>
      </c>
    </row>
    <row r="295" spans="1:9" ht="13.5">
      <c r="A295" s="91" t="s">
        <v>465</v>
      </c>
      <c r="B295" s="92" t="s">
        <v>285</v>
      </c>
      <c r="C295" s="91" t="s">
        <v>465</v>
      </c>
      <c r="D295" s="91" t="s">
        <v>247</v>
      </c>
      <c r="E295" s="93">
        <v>35419</v>
      </c>
      <c r="F295" s="94">
        <f t="shared" ref="F295:F326" ca="1" si="14">DATEDIF(E295,TODAY(),"Y")</f>
        <v>19</v>
      </c>
      <c r="G295" s="95"/>
      <c r="H295" s="96">
        <v>45420</v>
      </c>
      <c r="I295" s="97">
        <v>1</v>
      </c>
    </row>
    <row r="296" spans="1:9" ht="13.5">
      <c r="A296" s="91" t="s">
        <v>465</v>
      </c>
      <c r="B296" s="92" t="s">
        <v>285</v>
      </c>
      <c r="C296" s="91" t="s">
        <v>465</v>
      </c>
      <c r="D296" s="91" t="s">
        <v>247</v>
      </c>
      <c r="E296" s="93">
        <v>35667</v>
      </c>
      <c r="F296" s="94">
        <f t="shared" ca="1" si="14"/>
        <v>19</v>
      </c>
      <c r="G296" s="95"/>
      <c r="H296" s="96">
        <v>68510</v>
      </c>
      <c r="I296" s="97">
        <v>5</v>
      </c>
    </row>
    <row r="297" spans="1:9" ht="13.5">
      <c r="A297" s="91" t="s">
        <v>465</v>
      </c>
      <c r="B297" s="92" t="s">
        <v>285</v>
      </c>
      <c r="C297" s="91" t="s">
        <v>465</v>
      </c>
      <c r="D297" s="91" t="s">
        <v>256</v>
      </c>
      <c r="E297" s="93">
        <v>35758</v>
      </c>
      <c r="F297" s="94">
        <f t="shared" ca="1" si="14"/>
        <v>18</v>
      </c>
      <c r="G297" s="95" t="s">
        <v>262</v>
      </c>
      <c r="H297" s="96">
        <v>66010</v>
      </c>
      <c r="I297" s="97">
        <v>5</v>
      </c>
    </row>
    <row r="298" spans="1:9" ht="13.5">
      <c r="A298" s="91" t="s">
        <v>465</v>
      </c>
      <c r="B298" s="92" t="s">
        <v>280</v>
      </c>
      <c r="C298" s="91" t="s">
        <v>465</v>
      </c>
      <c r="D298" s="91" t="s">
        <v>256</v>
      </c>
      <c r="E298" s="93">
        <v>35919</v>
      </c>
      <c r="F298" s="94">
        <f t="shared" ca="1" si="14"/>
        <v>18</v>
      </c>
      <c r="G298" s="95" t="s">
        <v>283</v>
      </c>
      <c r="H298" s="96">
        <v>25310</v>
      </c>
      <c r="I298" s="97">
        <v>4</v>
      </c>
    </row>
    <row r="299" spans="1:9" ht="13.5">
      <c r="A299" s="91" t="s">
        <v>465</v>
      </c>
      <c r="B299" s="92" t="s">
        <v>251</v>
      </c>
      <c r="C299" s="91" t="s">
        <v>465</v>
      </c>
      <c r="D299" s="91" t="s">
        <v>247</v>
      </c>
      <c r="E299" s="93">
        <v>36016</v>
      </c>
      <c r="F299" s="94">
        <f t="shared" ca="1" si="14"/>
        <v>18</v>
      </c>
      <c r="G299" s="95"/>
      <c r="H299" s="96">
        <v>52770</v>
      </c>
      <c r="I299" s="97">
        <v>2</v>
      </c>
    </row>
    <row r="300" spans="1:9" ht="13.5">
      <c r="A300" s="91" t="s">
        <v>465</v>
      </c>
      <c r="B300" s="92" t="s">
        <v>271</v>
      </c>
      <c r="C300" s="91" t="s">
        <v>465</v>
      </c>
      <c r="D300" s="91" t="s">
        <v>256</v>
      </c>
      <c r="E300" s="93">
        <v>36021</v>
      </c>
      <c r="F300" s="94">
        <f t="shared" ca="1" si="14"/>
        <v>18</v>
      </c>
      <c r="G300" s="95" t="s">
        <v>283</v>
      </c>
      <c r="H300" s="96">
        <v>62750</v>
      </c>
      <c r="I300" s="97">
        <v>3</v>
      </c>
    </row>
    <row r="301" spans="1:9" ht="13.5">
      <c r="A301" s="91" t="s">
        <v>465</v>
      </c>
      <c r="B301" s="92" t="s">
        <v>285</v>
      </c>
      <c r="C301" s="91" t="s">
        <v>465</v>
      </c>
      <c r="D301" s="91" t="s">
        <v>256</v>
      </c>
      <c r="E301" s="93">
        <v>36084</v>
      </c>
      <c r="F301" s="94">
        <f t="shared" ca="1" si="14"/>
        <v>18</v>
      </c>
      <c r="G301" s="95" t="s">
        <v>257</v>
      </c>
      <c r="H301" s="96">
        <v>28970</v>
      </c>
      <c r="I301" s="97">
        <v>3</v>
      </c>
    </row>
    <row r="302" spans="1:9" ht="13.5">
      <c r="A302" s="91" t="s">
        <v>465</v>
      </c>
      <c r="B302" s="92" t="s">
        <v>271</v>
      </c>
      <c r="C302" s="91" t="s">
        <v>465</v>
      </c>
      <c r="D302" s="91" t="s">
        <v>256</v>
      </c>
      <c r="E302" s="93">
        <v>36126</v>
      </c>
      <c r="F302" s="94">
        <f t="shared" ca="1" si="14"/>
        <v>17</v>
      </c>
      <c r="G302" s="95" t="s">
        <v>267</v>
      </c>
      <c r="H302" s="96">
        <v>64130</v>
      </c>
      <c r="I302" s="97">
        <v>1</v>
      </c>
    </row>
    <row r="303" spans="1:9" ht="13.5">
      <c r="A303" s="91" t="s">
        <v>465</v>
      </c>
      <c r="B303" s="92" t="s">
        <v>271</v>
      </c>
      <c r="C303" s="91" t="s">
        <v>465</v>
      </c>
      <c r="D303" s="91" t="s">
        <v>256</v>
      </c>
      <c r="E303" s="93">
        <v>36199</v>
      </c>
      <c r="F303" s="94">
        <f t="shared" ca="1" si="14"/>
        <v>17</v>
      </c>
      <c r="G303" s="95" t="s">
        <v>283</v>
      </c>
      <c r="H303" s="96">
        <v>69080</v>
      </c>
      <c r="I303" s="97">
        <v>3</v>
      </c>
    </row>
    <row r="304" spans="1:9" ht="13.5">
      <c r="A304" s="91" t="s">
        <v>465</v>
      </c>
      <c r="B304" s="92" t="s">
        <v>245</v>
      </c>
      <c r="C304" s="91" t="s">
        <v>465</v>
      </c>
      <c r="D304" s="91" t="s">
        <v>261</v>
      </c>
      <c r="E304" s="93">
        <v>36310</v>
      </c>
      <c r="F304" s="94">
        <f t="shared" ca="1" si="14"/>
        <v>17</v>
      </c>
      <c r="G304" s="95" t="s">
        <v>257</v>
      </c>
      <c r="H304" s="96">
        <v>24460</v>
      </c>
      <c r="I304" s="97">
        <v>1</v>
      </c>
    </row>
    <row r="305" spans="1:9" ht="13.5">
      <c r="A305" s="91" t="s">
        <v>465</v>
      </c>
      <c r="B305" s="92" t="s">
        <v>285</v>
      </c>
      <c r="C305" s="91" t="s">
        <v>465</v>
      </c>
      <c r="D305" s="91" t="s">
        <v>247</v>
      </c>
      <c r="E305" s="93">
        <v>36324</v>
      </c>
      <c r="F305" s="94">
        <f t="shared" ca="1" si="14"/>
        <v>17</v>
      </c>
      <c r="G305" s="95"/>
      <c r="H305" s="96">
        <v>61370</v>
      </c>
      <c r="I305" s="97">
        <v>3</v>
      </c>
    </row>
    <row r="306" spans="1:9" ht="13.5">
      <c r="A306" s="91" t="s">
        <v>465</v>
      </c>
      <c r="B306" s="92" t="s">
        <v>285</v>
      </c>
      <c r="C306" s="91" t="s">
        <v>465</v>
      </c>
      <c r="D306" s="91" t="s">
        <v>252</v>
      </c>
      <c r="E306" s="93">
        <v>36420</v>
      </c>
      <c r="F306" s="94">
        <f t="shared" ca="1" si="14"/>
        <v>17</v>
      </c>
      <c r="G306" s="95"/>
      <c r="H306" s="96">
        <v>8892</v>
      </c>
      <c r="I306" s="97">
        <v>1</v>
      </c>
    </row>
    <row r="307" spans="1:9" ht="13.5">
      <c r="A307" s="91" t="s">
        <v>465</v>
      </c>
      <c r="B307" s="92" t="s">
        <v>266</v>
      </c>
      <c r="C307" s="91" t="s">
        <v>465</v>
      </c>
      <c r="D307" s="91" t="s">
        <v>247</v>
      </c>
      <c r="E307" s="93">
        <v>36510</v>
      </c>
      <c r="F307" s="94">
        <f t="shared" ca="1" si="14"/>
        <v>16</v>
      </c>
      <c r="G307" s="95"/>
      <c r="H307" s="96">
        <v>75420</v>
      </c>
      <c r="I307" s="97">
        <v>1</v>
      </c>
    </row>
    <row r="308" spans="1:9" ht="13.5">
      <c r="A308" s="91" t="s">
        <v>465</v>
      </c>
      <c r="B308" s="92" t="s">
        <v>285</v>
      </c>
      <c r="C308" s="91" t="s">
        <v>465</v>
      </c>
      <c r="D308" s="91" t="s">
        <v>256</v>
      </c>
      <c r="E308" s="93">
        <v>36556</v>
      </c>
      <c r="F308" s="94">
        <f t="shared" ca="1" si="14"/>
        <v>16</v>
      </c>
      <c r="G308" s="95" t="s">
        <v>262</v>
      </c>
      <c r="H308" s="96">
        <v>54230</v>
      </c>
      <c r="I308" s="97">
        <v>5</v>
      </c>
    </row>
    <row r="309" spans="1:9" ht="13.5">
      <c r="A309" s="91" t="s">
        <v>465</v>
      </c>
      <c r="B309" s="92" t="s">
        <v>266</v>
      </c>
      <c r="C309" s="91" t="s">
        <v>465</v>
      </c>
      <c r="D309" s="91" t="s">
        <v>247</v>
      </c>
      <c r="E309" s="93">
        <v>36589</v>
      </c>
      <c r="F309" s="94">
        <f t="shared" ca="1" si="14"/>
        <v>16</v>
      </c>
      <c r="G309" s="95"/>
      <c r="H309" s="96">
        <v>64220</v>
      </c>
      <c r="I309" s="97">
        <v>5</v>
      </c>
    </row>
    <row r="310" spans="1:9" ht="13.5">
      <c r="A310" s="91" t="s">
        <v>465</v>
      </c>
      <c r="B310" s="92" t="s">
        <v>266</v>
      </c>
      <c r="C310" s="91" t="s">
        <v>465</v>
      </c>
      <c r="D310" s="91" t="s">
        <v>256</v>
      </c>
      <c r="E310" s="93">
        <v>36626</v>
      </c>
      <c r="F310" s="94">
        <f t="shared" ca="1" si="14"/>
        <v>16</v>
      </c>
      <c r="G310" s="95" t="s">
        <v>283</v>
      </c>
      <c r="H310" s="96">
        <v>30920</v>
      </c>
      <c r="I310" s="97">
        <v>5</v>
      </c>
    </row>
    <row r="311" spans="1:9" ht="13.5">
      <c r="A311" s="91" t="s">
        <v>465</v>
      </c>
      <c r="B311" s="92" t="s">
        <v>271</v>
      </c>
      <c r="C311" s="91" t="s">
        <v>465</v>
      </c>
      <c r="D311" s="91" t="s">
        <v>256</v>
      </c>
      <c r="E311" s="93">
        <v>36633</v>
      </c>
      <c r="F311" s="94">
        <f t="shared" ca="1" si="14"/>
        <v>16</v>
      </c>
      <c r="G311" s="95" t="s">
        <v>257</v>
      </c>
      <c r="H311" s="96">
        <v>75176</v>
      </c>
      <c r="I311" s="97">
        <v>3</v>
      </c>
    </row>
    <row r="312" spans="1:9" ht="13.5">
      <c r="A312" s="91" t="s">
        <v>465</v>
      </c>
      <c r="B312" s="92" t="s">
        <v>285</v>
      </c>
      <c r="C312" s="91" t="s">
        <v>465</v>
      </c>
      <c r="D312" s="91" t="s">
        <v>247</v>
      </c>
      <c r="E312" s="93">
        <v>36734</v>
      </c>
      <c r="F312" s="94">
        <f t="shared" ca="1" si="14"/>
        <v>16</v>
      </c>
      <c r="G312" s="95"/>
      <c r="H312" s="96">
        <v>57410</v>
      </c>
      <c r="I312" s="97">
        <v>2</v>
      </c>
    </row>
    <row r="313" spans="1:9" ht="13.5">
      <c r="A313" s="91" t="s">
        <v>465</v>
      </c>
      <c r="B313" s="92" t="s">
        <v>285</v>
      </c>
      <c r="C313" s="91" t="s">
        <v>465</v>
      </c>
      <c r="D313" s="91" t="s">
        <v>247</v>
      </c>
      <c r="E313" s="93">
        <v>36763</v>
      </c>
      <c r="F313" s="94">
        <f t="shared" ca="1" si="14"/>
        <v>16</v>
      </c>
      <c r="G313" s="95"/>
      <c r="H313" s="96">
        <v>39300</v>
      </c>
      <c r="I313" s="97">
        <v>2</v>
      </c>
    </row>
    <row r="314" spans="1:9" ht="13.5">
      <c r="A314" s="91" t="s">
        <v>465</v>
      </c>
      <c r="B314" s="92" t="s">
        <v>245</v>
      </c>
      <c r="C314" s="91" t="s">
        <v>465</v>
      </c>
      <c r="D314" s="91" t="s">
        <v>256</v>
      </c>
      <c r="E314" s="93">
        <v>36836</v>
      </c>
      <c r="F314" s="94">
        <f t="shared" ca="1" si="14"/>
        <v>16</v>
      </c>
      <c r="G314" s="95" t="s">
        <v>257</v>
      </c>
      <c r="H314" s="96">
        <v>47340</v>
      </c>
      <c r="I314" s="97">
        <v>2</v>
      </c>
    </row>
    <row r="315" spans="1:9" ht="13.5">
      <c r="A315" s="91" t="s">
        <v>465</v>
      </c>
      <c r="B315" s="92" t="s">
        <v>245</v>
      </c>
      <c r="C315" s="91" t="s">
        <v>465</v>
      </c>
      <c r="D315" s="91" t="s">
        <v>247</v>
      </c>
      <c r="E315" s="93">
        <v>36979</v>
      </c>
      <c r="F315" s="94">
        <f t="shared" ca="1" si="14"/>
        <v>15</v>
      </c>
      <c r="G315" s="95"/>
      <c r="H315" s="96">
        <v>71830</v>
      </c>
      <c r="I315" s="97">
        <v>3</v>
      </c>
    </row>
    <row r="316" spans="1:9" ht="13.5">
      <c r="A316" s="91" t="s">
        <v>465</v>
      </c>
      <c r="B316" s="92" t="s">
        <v>285</v>
      </c>
      <c r="C316" s="91" t="s">
        <v>465</v>
      </c>
      <c r="D316" s="91" t="s">
        <v>247</v>
      </c>
      <c r="E316" s="93">
        <v>37011</v>
      </c>
      <c r="F316" s="94">
        <f t="shared" ca="1" si="14"/>
        <v>15</v>
      </c>
      <c r="G316" s="95"/>
      <c r="H316" s="96">
        <v>37980</v>
      </c>
      <c r="I316" s="97">
        <v>4</v>
      </c>
    </row>
    <row r="317" spans="1:9" ht="13.5">
      <c r="A317" s="91" t="s">
        <v>465</v>
      </c>
      <c r="B317" s="92" t="s">
        <v>266</v>
      </c>
      <c r="C317" s="91" t="s">
        <v>465</v>
      </c>
      <c r="D317" s="91" t="s">
        <v>256</v>
      </c>
      <c r="E317" s="93">
        <v>37011</v>
      </c>
      <c r="F317" s="94">
        <f t="shared" ca="1" si="14"/>
        <v>15</v>
      </c>
      <c r="G317" s="95" t="s">
        <v>262</v>
      </c>
      <c r="H317" s="96">
        <v>70760</v>
      </c>
      <c r="I317" s="97">
        <v>1</v>
      </c>
    </row>
    <row r="318" spans="1:9" ht="13.5">
      <c r="A318" s="91" t="s">
        <v>465</v>
      </c>
      <c r="B318" s="92" t="s">
        <v>285</v>
      </c>
      <c r="C318" s="91" t="s">
        <v>465</v>
      </c>
      <c r="D318" s="91" t="s">
        <v>256</v>
      </c>
      <c r="E318" s="93">
        <v>37067</v>
      </c>
      <c r="F318" s="94">
        <f t="shared" ca="1" si="14"/>
        <v>15</v>
      </c>
      <c r="G318" s="95" t="s">
        <v>257</v>
      </c>
      <c r="H318" s="96">
        <v>87760</v>
      </c>
      <c r="I318" s="97">
        <v>1</v>
      </c>
    </row>
    <row r="319" spans="1:9" ht="13.5">
      <c r="A319" s="91" t="s">
        <v>465</v>
      </c>
      <c r="B319" s="92" t="s">
        <v>280</v>
      </c>
      <c r="C319" s="91" t="s">
        <v>465</v>
      </c>
      <c r="D319" s="91" t="s">
        <v>256</v>
      </c>
      <c r="E319" s="93">
        <v>37067</v>
      </c>
      <c r="F319" s="94">
        <f t="shared" ca="1" si="14"/>
        <v>15</v>
      </c>
      <c r="G319" s="95" t="s">
        <v>257</v>
      </c>
      <c r="H319" s="96">
        <v>41060</v>
      </c>
      <c r="I319" s="97">
        <v>3</v>
      </c>
    </row>
    <row r="320" spans="1:9" ht="13.5">
      <c r="A320" s="91" t="s">
        <v>465</v>
      </c>
      <c r="B320" s="92" t="s">
        <v>285</v>
      </c>
      <c r="C320" s="91" t="s">
        <v>465</v>
      </c>
      <c r="D320" s="91" t="s">
        <v>247</v>
      </c>
      <c r="E320" s="93">
        <v>37197</v>
      </c>
      <c r="F320" s="94">
        <f t="shared" ca="1" si="14"/>
        <v>15</v>
      </c>
      <c r="G320" s="95"/>
      <c r="H320" s="96">
        <v>40940</v>
      </c>
      <c r="I320" s="97">
        <v>2</v>
      </c>
    </row>
    <row r="321" spans="1:9" ht="13.5">
      <c r="A321" s="91" t="s">
        <v>465</v>
      </c>
      <c r="B321" s="92" t="s">
        <v>245</v>
      </c>
      <c r="C321" s="91" t="s">
        <v>465</v>
      </c>
      <c r="D321" s="91" t="s">
        <v>247</v>
      </c>
      <c r="E321" s="93">
        <v>37227</v>
      </c>
      <c r="F321" s="94">
        <f t="shared" ca="1" si="14"/>
        <v>14</v>
      </c>
      <c r="G321" s="95"/>
      <c r="H321" s="96">
        <v>39680</v>
      </c>
      <c r="I321" s="97">
        <v>1</v>
      </c>
    </row>
    <row r="322" spans="1:9" ht="13.5">
      <c r="A322" s="91" t="s">
        <v>465</v>
      </c>
      <c r="B322" s="92" t="s">
        <v>285</v>
      </c>
      <c r="C322" s="91" t="s">
        <v>465</v>
      </c>
      <c r="D322" s="91" t="s">
        <v>256</v>
      </c>
      <c r="E322" s="93">
        <v>37354</v>
      </c>
      <c r="F322" s="94">
        <f t="shared" ca="1" si="14"/>
        <v>14</v>
      </c>
      <c r="G322" s="95" t="s">
        <v>257</v>
      </c>
      <c r="H322" s="96">
        <v>61060</v>
      </c>
      <c r="I322" s="97">
        <v>5</v>
      </c>
    </row>
    <row r="323" spans="1:9" ht="13.5">
      <c r="A323" s="91" t="s">
        <v>465</v>
      </c>
      <c r="B323" s="92" t="s">
        <v>245</v>
      </c>
      <c r="C323" s="91" t="s">
        <v>465</v>
      </c>
      <c r="D323" s="91" t="s">
        <v>256</v>
      </c>
      <c r="E323" s="93">
        <v>37423</v>
      </c>
      <c r="F323" s="94">
        <f t="shared" ca="1" si="14"/>
        <v>14</v>
      </c>
      <c r="G323" s="95" t="s">
        <v>276</v>
      </c>
      <c r="H323" s="96">
        <v>68710</v>
      </c>
      <c r="I323" s="97">
        <v>4</v>
      </c>
    </row>
    <row r="324" spans="1:9" ht="13.5">
      <c r="A324" s="91" t="s">
        <v>465</v>
      </c>
      <c r="B324" s="92" t="s">
        <v>245</v>
      </c>
      <c r="C324" s="91" t="s">
        <v>465</v>
      </c>
      <c r="D324" s="91" t="s">
        <v>256</v>
      </c>
      <c r="E324" s="93">
        <v>37499</v>
      </c>
      <c r="F324" s="94">
        <f t="shared" ca="1" si="14"/>
        <v>14</v>
      </c>
      <c r="G324" s="95" t="s">
        <v>262</v>
      </c>
      <c r="H324" s="96">
        <v>76584</v>
      </c>
      <c r="I324" s="97">
        <v>1</v>
      </c>
    </row>
    <row r="325" spans="1:9" ht="13.5">
      <c r="A325" s="91" t="s">
        <v>465</v>
      </c>
      <c r="B325" s="92" t="s">
        <v>285</v>
      </c>
      <c r="C325" s="91" t="s">
        <v>465</v>
      </c>
      <c r="D325" s="91" t="s">
        <v>256</v>
      </c>
      <c r="E325" s="93">
        <v>37511</v>
      </c>
      <c r="F325" s="94">
        <f t="shared" ca="1" si="14"/>
        <v>14</v>
      </c>
      <c r="G325" s="95" t="s">
        <v>283</v>
      </c>
      <c r="H325" s="96">
        <v>65720</v>
      </c>
      <c r="I325" s="97">
        <v>1</v>
      </c>
    </row>
    <row r="326" spans="1:9" ht="13.5">
      <c r="A326" s="91" t="s">
        <v>465</v>
      </c>
      <c r="B326" s="92" t="s">
        <v>285</v>
      </c>
      <c r="C326" s="91" t="s">
        <v>465</v>
      </c>
      <c r="D326" s="91" t="s">
        <v>256</v>
      </c>
      <c r="E326" s="93">
        <v>37522</v>
      </c>
      <c r="F326" s="94">
        <f t="shared" ca="1" si="14"/>
        <v>14</v>
      </c>
      <c r="G326" s="95" t="s">
        <v>276</v>
      </c>
      <c r="H326" s="96">
        <v>29420</v>
      </c>
      <c r="I326" s="97">
        <v>5</v>
      </c>
    </row>
    <row r="327" spans="1:9" ht="13.5">
      <c r="A327" s="91" t="s">
        <v>465</v>
      </c>
      <c r="B327" s="92" t="s">
        <v>280</v>
      </c>
      <c r="C327" s="91" t="s">
        <v>465</v>
      </c>
      <c r="D327" s="91" t="s">
        <v>247</v>
      </c>
      <c r="E327" s="93">
        <v>37564</v>
      </c>
      <c r="F327" s="94">
        <f t="shared" ref="F327:F352" ca="1" si="15">DATEDIF(E327,TODAY(),"Y")</f>
        <v>14</v>
      </c>
      <c r="G327" s="95"/>
      <c r="H327" s="96">
        <v>59330</v>
      </c>
      <c r="I327" s="97">
        <v>4</v>
      </c>
    </row>
    <row r="328" spans="1:9" ht="13.5">
      <c r="A328" s="91" t="s">
        <v>465</v>
      </c>
      <c r="B328" s="92" t="s">
        <v>251</v>
      </c>
      <c r="C328" s="91" t="s">
        <v>465</v>
      </c>
      <c r="D328" s="91" t="s">
        <v>247</v>
      </c>
      <c r="E328" s="93">
        <v>37602</v>
      </c>
      <c r="F328" s="94">
        <f t="shared" ca="1" si="15"/>
        <v>13</v>
      </c>
      <c r="G328" s="95"/>
      <c r="H328" s="96">
        <v>80330</v>
      </c>
      <c r="I328" s="97">
        <v>4</v>
      </c>
    </row>
    <row r="329" spans="1:9" ht="13.5">
      <c r="A329" s="91" t="s">
        <v>465</v>
      </c>
      <c r="B329" s="92" t="s">
        <v>245</v>
      </c>
      <c r="C329" s="91" t="s">
        <v>465</v>
      </c>
      <c r="D329" s="91" t="s">
        <v>252</v>
      </c>
      <c r="E329" s="93">
        <v>37777</v>
      </c>
      <c r="F329" s="94">
        <f t="shared" ca="1" si="15"/>
        <v>13</v>
      </c>
      <c r="G329" s="95"/>
      <c r="H329" s="96">
        <v>14416</v>
      </c>
      <c r="I329" s="97">
        <v>4</v>
      </c>
    </row>
    <row r="330" spans="1:9" ht="13.5">
      <c r="A330" s="91" t="s">
        <v>465</v>
      </c>
      <c r="B330" s="92" t="s">
        <v>285</v>
      </c>
      <c r="C330" s="91" t="s">
        <v>465</v>
      </c>
      <c r="D330" s="91" t="s">
        <v>247</v>
      </c>
      <c r="E330" s="93">
        <v>37879</v>
      </c>
      <c r="F330" s="94">
        <f t="shared" ca="1" si="15"/>
        <v>13</v>
      </c>
      <c r="G330" s="95"/>
      <c r="H330" s="96">
        <v>63850</v>
      </c>
      <c r="I330" s="97">
        <v>2</v>
      </c>
    </row>
    <row r="331" spans="1:9" ht="13.5">
      <c r="A331" s="91" t="s">
        <v>465</v>
      </c>
      <c r="B331" s="92" t="s">
        <v>266</v>
      </c>
      <c r="C331" s="91" t="s">
        <v>465</v>
      </c>
      <c r="D331" s="91" t="s">
        <v>256</v>
      </c>
      <c r="E331" s="93">
        <v>38002</v>
      </c>
      <c r="F331" s="94">
        <f t="shared" ca="1" si="15"/>
        <v>12</v>
      </c>
      <c r="G331" s="95" t="s">
        <v>262</v>
      </c>
      <c r="H331" s="96">
        <v>71030</v>
      </c>
      <c r="I331" s="97">
        <v>3</v>
      </c>
    </row>
    <row r="332" spans="1:9" ht="13.5">
      <c r="A332" s="91" t="s">
        <v>465</v>
      </c>
      <c r="B332" s="92" t="s">
        <v>280</v>
      </c>
      <c r="C332" s="91" t="s">
        <v>465</v>
      </c>
      <c r="D332" s="91" t="s">
        <v>256</v>
      </c>
      <c r="E332" s="93">
        <v>38038</v>
      </c>
      <c r="F332" s="94">
        <f t="shared" ca="1" si="15"/>
        <v>12</v>
      </c>
      <c r="G332" s="95" t="s">
        <v>257</v>
      </c>
      <c r="H332" s="96">
        <v>46220</v>
      </c>
      <c r="I332" s="97">
        <v>2</v>
      </c>
    </row>
    <row r="333" spans="1:9" ht="13.5">
      <c r="A333" s="91" t="s">
        <v>465</v>
      </c>
      <c r="B333" s="92" t="s">
        <v>271</v>
      </c>
      <c r="C333" s="91" t="s">
        <v>465</v>
      </c>
      <c r="D333" s="91" t="s">
        <v>256</v>
      </c>
      <c r="E333" s="93">
        <v>38080</v>
      </c>
      <c r="F333" s="94">
        <f t="shared" ca="1" si="15"/>
        <v>12</v>
      </c>
      <c r="G333" s="95" t="s">
        <v>267</v>
      </c>
      <c r="H333" s="96">
        <v>71490</v>
      </c>
      <c r="I333" s="97">
        <v>5</v>
      </c>
    </row>
    <row r="334" spans="1:9" ht="13.5">
      <c r="A334" s="91" t="s">
        <v>465</v>
      </c>
      <c r="B334" s="92" t="s">
        <v>266</v>
      </c>
      <c r="C334" s="91" t="s">
        <v>465</v>
      </c>
      <c r="D334" s="91" t="s">
        <v>256</v>
      </c>
      <c r="E334" s="93">
        <v>38145</v>
      </c>
      <c r="F334" s="94">
        <f t="shared" ca="1" si="15"/>
        <v>12</v>
      </c>
      <c r="G334" s="95" t="s">
        <v>283</v>
      </c>
      <c r="H334" s="96">
        <v>59420</v>
      </c>
      <c r="I334" s="97">
        <v>4</v>
      </c>
    </row>
    <row r="335" spans="1:9" ht="13.5">
      <c r="A335" s="91" t="s">
        <v>465</v>
      </c>
      <c r="B335" s="92" t="s">
        <v>245</v>
      </c>
      <c r="C335" s="91" t="s">
        <v>465</v>
      </c>
      <c r="D335" s="91" t="s">
        <v>247</v>
      </c>
      <c r="E335" s="93">
        <v>38228</v>
      </c>
      <c r="F335" s="94">
        <f t="shared" ca="1" si="15"/>
        <v>12</v>
      </c>
      <c r="G335" s="95"/>
      <c r="H335" s="96">
        <v>62780</v>
      </c>
      <c r="I335" s="97">
        <v>4</v>
      </c>
    </row>
    <row r="336" spans="1:9" ht="13.5">
      <c r="A336" s="91" t="s">
        <v>465</v>
      </c>
      <c r="B336" s="92" t="s">
        <v>271</v>
      </c>
      <c r="C336" s="91" t="s">
        <v>465</v>
      </c>
      <c r="D336" s="91" t="s">
        <v>247</v>
      </c>
      <c r="E336" s="93">
        <v>38235</v>
      </c>
      <c r="F336" s="94">
        <f t="shared" ca="1" si="15"/>
        <v>12</v>
      </c>
      <c r="G336" s="95"/>
      <c r="H336" s="96">
        <v>84170</v>
      </c>
      <c r="I336" s="97">
        <v>2</v>
      </c>
    </row>
    <row r="337" spans="1:9" ht="13.5">
      <c r="A337" s="91" t="s">
        <v>465</v>
      </c>
      <c r="B337" s="92" t="s">
        <v>271</v>
      </c>
      <c r="C337" s="91" t="s">
        <v>465</v>
      </c>
      <c r="D337" s="91" t="s">
        <v>256</v>
      </c>
      <c r="E337" s="93">
        <v>38386</v>
      </c>
      <c r="F337" s="94">
        <f t="shared" ca="1" si="15"/>
        <v>11</v>
      </c>
      <c r="G337" s="95" t="s">
        <v>257</v>
      </c>
      <c r="H337" s="96">
        <v>69320</v>
      </c>
      <c r="I337" s="97">
        <v>3</v>
      </c>
    </row>
    <row r="338" spans="1:9" ht="13.5">
      <c r="A338" s="91" t="s">
        <v>465</v>
      </c>
      <c r="B338" s="92" t="s">
        <v>266</v>
      </c>
      <c r="C338" s="91" t="s">
        <v>465</v>
      </c>
      <c r="D338" s="91" t="s">
        <v>252</v>
      </c>
      <c r="E338" s="93">
        <v>38437</v>
      </c>
      <c r="F338" s="94">
        <f t="shared" ca="1" si="15"/>
        <v>11</v>
      </c>
      <c r="G338" s="95"/>
      <c r="H338" s="96">
        <v>10572</v>
      </c>
      <c r="I338" s="97">
        <v>4</v>
      </c>
    </row>
    <row r="339" spans="1:9" ht="13.5">
      <c r="A339" s="91" t="s">
        <v>465</v>
      </c>
      <c r="B339" s="92" t="s">
        <v>245</v>
      </c>
      <c r="C339" s="91" t="s">
        <v>465</v>
      </c>
      <c r="D339" s="91" t="s">
        <v>247</v>
      </c>
      <c r="E339" s="93">
        <v>38512</v>
      </c>
      <c r="F339" s="94">
        <f t="shared" ca="1" si="15"/>
        <v>11</v>
      </c>
      <c r="G339" s="95"/>
      <c r="H339" s="96">
        <v>60040</v>
      </c>
      <c r="I339" s="97">
        <v>5</v>
      </c>
    </row>
    <row r="340" spans="1:9" ht="13.5">
      <c r="A340" s="91" t="s">
        <v>465</v>
      </c>
      <c r="B340" s="92" t="s">
        <v>245</v>
      </c>
      <c r="C340" s="91" t="s">
        <v>465</v>
      </c>
      <c r="D340" s="91" t="s">
        <v>247</v>
      </c>
      <c r="E340" s="93">
        <v>38520</v>
      </c>
      <c r="F340" s="94">
        <f t="shared" ca="1" si="15"/>
        <v>11</v>
      </c>
      <c r="G340" s="95"/>
      <c r="H340" s="96">
        <v>78520</v>
      </c>
      <c r="I340" s="97">
        <v>4</v>
      </c>
    </row>
    <row r="341" spans="1:9" ht="13.5">
      <c r="A341" s="91" t="s">
        <v>465</v>
      </c>
      <c r="B341" s="92" t="s">
        <v>280</v>
      </c>
      <c r="C341" s="91" t="s">
        <v>465</v>
      </c>
      <c r="D341" s="91" t="s">
        <v>256</v>
      </c>
      <c r="E341" s="93">
        <v>38662</v>
      </c>
      <c r="F341" s="94">
        <f t="shared" ca="1" si="15"/>
        <v>11</v>
      </c>
      <c r="G341" s="95" t="s">
        <v>257</v>
      </c>
      <c r="H341" s="96">
        <v>78170</v>
      </c>
      <c r="I341" s="97">
        <v>5</v>
      </c>
    </row>
    <row r="342" spans="1:9" ht="13.5">
      <c r="A342" s="91" t="s">
        <v>465</v>
      </c>
      <c r="B342" s="92" t="s">
        <v>266</v>
      </c>
      <c r="C342" s="91" t="s">
        <v>465</v>
      </c>
      <c r="D342" s="91" t="s">
        <v>256</v>
      </c>
      <c r="E342" s="93">
        <v>38865</v>
      </c>
      <c r="F342" s="94">
        <f t="shared" ca="1" si="15"/>
        <v>10</v>
      </c>
      <c r="G342" s="95" t="s">
        <v>267</v>
      </c>
      <c r="H342" s="96">
        <v>34690</v>
      </c>
      <c r="I342" s="97">
        <v>2</v>
      </c>
    </row>
    <row r="343" spans="1:9" ht="13.5">
      <c r="A343" s="91" t="s">
        <v>465</v>
      </c>
      <c r="B343" s="92" t="s">
        <v>285</v>
      </c>
      <c r="C343" s="91" t="s">
        <v>465</v>
      </c>
      <c r="D343" s="91" t="s">
        <v>256</v>
      </c>
      <c r="E343" s="93">
        <v>38893</v>
      </c>
      <c r="F343" s="94">
        <f t="shared" ca="1" si="15"/>
        <v>10</v>
      </c>
      <c r="G343" s="95" t="s">
        <v>257</v>
      </c>
      <c r="H343" s="96">
        <v>35600</v>
      </c>
      <c r="I343" s="97">
        <v>5</v>
      </c>
    </row>
    <row r="344" spans="1:9" ht="13.5">
      <c r="A344" s="91" t="s">
        <v>465</v>
      </c>
      <c r="B344" s="92" t="s">
        <v>271</v>
      </c>
      <c r="C344" s="91" t="s">
        <v>465</v>
      </c>
      <c r="D344" s="91" t="s">
        <v>256</v>
      </c>
      <c r="E344" s="93">
        <v>38960</v>
      </c>
      <c r="F344" s="94">
        <f t="shared" ca="1" si="15"/>
        <v>10</v>
      </c>
      <c r="G344" s="95" t="s">
        <v>283</v>
      </c>
      <c r="H344" s="96">
        <v>35300</v>
      </c>
      <c r="I344" s="97">
        <v>5</v>
      </c>
    </row>
    <row r="345" spans="1:9" ht="13.5">
      <c r="A345" s="91" t="s">
        <v>465</v>
      </c>
      <c r="B345" s="92" t="s">
        <v>285</v>
      </c>
      <c r="C345" s="91" t="s">
        <v>465</v>
      </c>
      <c r="D345" s="91" t="s">
        <v>247</v>
      </c>
      <c r="E345" s="99">
        <v>39139</v>
      </c>
      <c r="F345" s="94">
        <f t="shared" ca="1" si="15"/>
        <v>9</v>
      </c>
      <c r="G345" s="95"/>
      <c r="H345" s="96">
        <v>88840</v>
      </c>
      <c r="I345" s="97">
        <v>5</v>
      </c>
    </row>
    <row r="346" spans="1:9" ht="13.5">
      <c r="A346" s="91" t="s">
        <v>465</v>
      </c>
      <c r="B346" s="92" t="s">
        <v>271</v>
      </c>
      <c r="C346" s="91" t="s">
        <v>465</v>
      </c>
      <c r="D346" s="91" t="s">
        <v>247</v>
      </c>
      <c r="E346" s="93">
        <v>39160</v>
      </c>
      <c r="F346" s="94">
        <f t="shared" ca="1" si="15"/>
        <v>9</v>
      </c>
      <c r="G346" s="95"/>
      <c r="H346" s="96">
        <v>37840</v>
      </c>
      <c r="I346" s="97">
        <v>1</v>
      </c>
    </row>
    <row r="347" spans="1:9" ht="13.5">
      <c r="A347" s="91" t="s">
        <v>465</v>
      </c>
      <c r="B347" s="92" t="s">
        <v>271</v>
      </c>
      <c r="C347" s="91" t="s">
        <v>465</v>
      </c>
      <c r="D347" s="91" t="s">
        <v>247</v>
      </c>
      <c r="E347" s="93">
        <v>39160</v>
      </c>
      <c r="F347" s="94">
        <f t="shared" ca="1" si="15"/>
        <v>9</v>
      </c>
      <c r="G347" s="95"/>
      <c r="H347" s="96">
        <v>37840</v>
      </c>
      <c r="I347" s="97">
        <v>1</v>
      </c>
    </row>
    <row r="348" spans="1:9" ht="13.5">
      <c r="A348" s="91" t="s">
        <v>465</v>
      </c>
      <c r="B348" s="92" t="s">
        <v>271</v>
      </c>
      <c r="C348" s="91" t="s">
        <v>465</v>
      </c>
      <c r="D348" s="91" t="s">
        <v>252</v>
      </c>
      <c r="E348" s="93">
        <v>39264</v>
      </c>
      <c r="F348" s="94">
        <f t="shared" ca="1" si="15"/>
        <v>9</v>
      </c>
      <c r="G348" s="95"/>
      <c r="H348" s="96">
        <v>28424</v>
      </c>
      <c r="I348" s="97">
        <v>4</v>
      </c>
    </row>
    <row r="349" spans="1:9" ht="13.5">
      <c r="A349" s="91" t="s">
        <v>465</v>
      </c>
      <c r="B349" s="92" t="s">
        <v>245</v>
      </c>
      <c r="C349" s="91" t="s">
        <v>465</v>
      </c>
      <c r="D349" s="91" t="s">
        <v>256</v>
      </c>
      <c r="E349" s="93">
        <v>39268</v>
      </c>
      <c r="F349" s="94">
        <f t="shared" ca="1" si="15"/>
        <v>9</v>
      </c>
      <c r="G349" s="95" t="s">
        <v>257</v>
      </c>
      <c r="H349" s="96">
        <v>43820</v>
      </c>
      <c r="I349" s="97">
        <v>2</v>
      </c>
    </row>
    <row r="350" spans="1:9" ht="13.5">
      <c r="A350" s="91" t="s">
        <v>465</v>
      </c>
      <c r="B350" s="92" t="s">
        <v>285</v>
      </c>
      <c r="C350" s="91" t="s">
        <v>465</v>
      </c>
      <c r="D350" s="91" t="s">
        <v>256</v>
      </c>
      <c r="E350" s="99">
        <v>39293</v>
      </c>
      <c r="F350" s="94">
        <f t="shared" ca="1" si="15"/>
        <v>9</v>
      </c>
      <c r="G350" s="95" t="s">
        <v>267</v>
      </c>
      <c r="H350" s="96">
        <v>44260</v>
      </c>
      <c r="I350" s="97">
        <v>1</v>
      </c>
    </row>
    <row r="351" spans="1:9" ht="13.5">
      <c r="A351" s="91" t="s">
        <v>465</v>
      </c>
      <c r="B351" s="92" t="s">
        <v>271</v>
      </c>
      <c r="C351" s="91" t="s">
        <v>465</v>
      </c>
      <c r="D351" s="91" t="s">
        <v>256</v>
      </c>
      <c r="E351" s="93">
        <v>39324</v>
      </c>
      <c r="F351" s="94">
        <f t="shared" ca="1" si="15"/>
        <v>9</v>
      </c>
      <c r="G351" s="95" t="s">
        <v>257</v>
      </c>
      <c r="H351" s="96">
        <v>47440</v>
      </c>
      <c r="I351" s="97">
        <v>3</v>
      </c>
    </row>
    <row r="352" spans="1:9" ht="13.5">
      <c r="A352" s="91" t="s">
        <v>465</v>
      </c>
      <c r="B352" s="92" t="s">
        <v>271</v>
      </c>
      <c r="C352" s="91" t="s">
        <v>465</v>
      </c>
      <c r="D352" s="91" t="s">
        <v>247</v>
      </c>
      <c r="E352" s="99">
        <v>39370</v>
      </c>
      <c r="F352" s="94">
        <f t="shared" ca="1" si="15"/>
        <v>9</v>
      </c>
      <c r="G352" s="95"/>
      <c r="H352" s="96">
        <v>57110</v>
      </c>
      <c r="I352" s="97">
        <v>3</v>
      </c>
    </row>
    <row r="353" spans="1:9" ht="13.5">
      <c r="A353" s="98"/>
      <c r="B353" s="92"/>
      <c r="C353" s="98"/>
      <c r="D353" s="91"/>
      <c r="E353" s="99"/>
      <c r="F353" s="94"/>
      <c r="G353" s="95"/>
      <c r="H353" s="96"/>
      <c r="I353" s="97"/>
    </row>
    <row r="354" spans="1:9" ht="13.5">
      <c r="A354" s="91" t="s">
        <v>618</v>
      </c>
      <c r="B354" s="92" t="s">
        <v>280</v>
      </c>
      <c r="C354" s="91" t="s">
        <v>618</v>
      </c>
      <c r="D354" s="91" t="s">
        <v>256</v>
      </c>
      <c r="E354" s="93">
        <v>32522</v>
      </c>
      <c r="F354" s="94">
        <f t="shared" ref="F354:F360" ca="1" si="16">DATEDIF(E354,TODAY(),"Y")</f>
        <v>27</v>
      </c>
      <c r="G354" s="95" t="s">
        <v>257</v>
      </c>
      <c r="H354" s="96">
        <v>39160</v>
      </c>
      <c r="I354" s="97">
        <v>3</v>
      </c>
    </row>
    <row r="355" spans="1:9" ht="13.5">
      <c r="A355" s="91" t="s">
        <v>618</v>
      </c>
      <c r="B355" s="92" t="s">
        <v>245</v>
      </c>
      <c r="C355" s="91" t="s">
        <v>618</v>
      </c>
      <c r="D355" s="91" t="s">
        <v>247</v>
      </c>
      <c r="E355" s="93">
        <v>35455</v>
      </c>
      <c r="F355" s="94">
        <f t="shared" ca="1" si="16"/>
        <v>19</v>
      </c>
      <c r="G355" s="95"/>
      <c r="H355" s="96">
        <v>74500</v>
      </c>
      <c r="I355" s="97">
        <v>4</v>
      </c>
    </row>
    <row r="356" spans="1:9" ht="13.5">
      <c r="A356" s="91" t="s">
        <v>618</v>
      </c>
      <c r="B356" s="92" t="s">
        <v>251</v>
      </c>
      <c r="C356" s="91" t="s">
        <v>618</v>
      </c>
      <c r="D356" s="91" t="s">
        <v>256</v>
      </c>
      <c r="E356" s="93">
        <v>36097</v>
      </c>
      <c r="F356" s="94">
        <f t="shared" ca="1" si="16"/>
        <v>18</v>
      </c>
      <c r="G356" s="95" t="s">
        <v>257</v>
      </c>
      <c r="H356" s="96">
        <v>59140</v>
      </c>
      <c r="I356" s="97">
        <v>5</v>
      </c>
    </row>
    <row r="357" spans="1:9" ht="13.5">
      <c r="A357" s="91" t="s">
        <v>618</v>
      </c>
      <c r="B357" s="92" t="s">
        <v>285</v>
      </c>
      <c r="C357" s="91" t="s">
        <v>618</v>
      </c>
      <c r="D357" s="91" t="s">
        <v>256</v>
      </c>
      <c r="E357" s="93">
        <v>36626</v>
      </c>
      <c r="F357" s="94">
        <f t="shared" ca="1" si="16"/>
        <v>16</v>
      </c>
      <c r="G357" s="95" t="s">
        <v>283</v>
      </c>
      <c r="H357" s="96">
        <v>53870</v>
      </c>
      <c r="I357" s="97">
        <v>2</v>
      </c>
    </row>
    <row r="358" spans="1:9" ht="13.5">
      <c r="A358" s="91" t="s">
        <v>618</v>
      </c>
      <c r="B358" s="92" t="s">
        <v>245</v>
      </c>
      <c r="C358" s="91" t="s">
        <v>618</v>
      </c>
      <c r="D358" s="91" t="s">
        <v>256</v>
      </c>
      <c r="E358" s="93">
        <v>37728</v>
      </c>
      <c r="F358" s="94">
        <f t="shared" ca="1" si="16"/>
        <v>13</v>
      </c>
      <c r="G358" s="95" t="s">
        <v>276</v>
      </c>
      <c r="H358" s="96">
        <v>71400</v>
      </c>
      <c r="I358" s="97">
        <v>4</v>
      </c>
    </row>
    <row r="359" spans="1:9" ht="13.5">
      <c r="A359" s="91" t="s">
        <v>618</v>
      </c>
      <c r="B359" s="92" t="s">
        <v>266</v>
      </c>
      <c r="C359" s="91" t="s">
        <v>618</v>
      </c>
      <c r="D359" s="91" t="s">
        <v>247</v>
      </c>
      <c r="E359" s="99">
        <v>38982</v>
      </c>
      <c r="F359" s="94">
        <f t="shared" ca="1" si="16"/>
        <v>10</v>
      </c>
      <c r="G359" s="95"/>
      <c r="H359" s="96">
        <v>61890</v>
      </c>
      <c r="I359" s="97">
        <v>2</v>
      </c>
    </row>
    <row r="360" spans="1:9" ht="13.5">
      <c r="A360" s="91" t="s">
        <v>618</v>
      </c>
      <c r="B360" s="92" t="s">
        <v>266</v>
      </c>
      <c r="C360" s="91" t="s">
        <v>618</v>
      </c>
      <c r="D360" s="91" t="s">
        <v>256</v>
      </c>
      <c r="E360" s="99">
        <v>39003</v>
      </c>
      <c r="F360" s="94">
        <f t="shared" ca="1" si="16"/>
        <v>10</v>
      </c>
      <c r="G360" s="95" t="s">
        <v>283</v>
      </c>
      <c r="H360" s="96">
        <v>27250</v>
      </c>
      <c r="I360" s="97">
        <v>5</v>
      </c>
    </row>
    <row r="361" spans="1:9" ht="13.5">
      <c r="A361" s="98"/>
      <c r="B361" s="92"/>
      <c r="C361" s="98"/>
      <c r="D361" s="91"/>
      <c r="E361" s="99"/>
      <c r="F361" s="94"/>
      <c r="G361" s="95"/>
      <c r="H361" s="96"/>
      <c r="I361" s="97"/>
    </row>
    <row r="362" spans="1:9" ht="13.5">
      <c r="A362" s="91" t="s">
        <v>626</v>
      </c>
      <c r="B362" s="92" t="s">
        <v>245</v>
      </c>
      <c r="C362" s="91" t="s">
        <v>626</v>
      </c>
      <c r="D362" s="91" t="s">
        <v>256</v>
      </c>
      <c r="E362" s="93">
        <v>31913</v>
      </c>
      <c r="F362" s="94">
        <f t="shared" ref="F362:F393" ca="1" si="17">DATEDIF(E362,TODAY(),"Y")</f>
        <v>29</v>
      </c>
      <c r="G362" s="95" t="s">
        <v>262</v>
      </c>
      <c r="H362" s="96">
        <v>31260</v>
      </c>
      <c r="I362" s="97">
        <v>5</v>
      </c>
    </row>
    <row r="363" spans="1:9" ht="13.5">
      <c r="A363" s="91" t="s">
        <v>626</v>
      </c>
      <c r="B363" s="92" t="s">
        <v>280</v>
      </c>
      <c r="C363" s="91" t="s">
        <v>626</v>
      </c>
      <c r="D363" s="91" t="s">
        <v>256</v>
      </c>
      <c r="E363" s="93">
        <v>31937</v>
      </c>
      <c r="F363" s="94">
        <f t="shared" ca="1" si="17"/>
        <v>29</v>
      </c>
      <c r="G363" s="95" t="s">
        <v>257</v>
      </c>
      <c r="H363" s="96">
        <v>62740</v>
      </c>
      <c r="I363" s="97">
        <v>4</v>
      </c>
    </row>
    <row r="364" spans="1:9" ht="13.5">
      <c r="A364" s="91" t="s">
        <v>626</v>
      </c>
      <c r="B364" s="92" t="s">
        <v>285</v>
      </c>
      <c r="C364" s="91" t="s">
        <v>626</v>
      </c>
      <c r="D364" s="91" t="s">
        <v>252</v>
      </c>
      <c r="E364" s="93">
        <v>31995</v>
      </c>
      <c r="F364" s="94">
        <f t="shared" ca="1" si="17"/>
        <v>29</v>
      </c>
      <c r="G364" s="95"/>
      <c r="H364" s="96">
        <v>36844</v>
      </c>
      <c r="I364" s="97">
        <v>4</v>
      </c>
    </row>
    <row r="365" spans="1:9" ht="13.5">
      <c r="A365" s="91" t="s">
        <v>626</v>
      </c>
      <c r="B365" s="92" t="s">
        <v>271</v>
      </c>
      <c r="C365" s="91" t="s">
        <v>626</v>
      </c>
      <c r="D365" s="91" t="s">
        <v>261</v>
      </c>
      <c r="E365" s="93">
        <v>32009</v>
      </c>
      <c r="F365" s="94">
        <f t="shared" ca="1" si="17"/>
        <v>29</v>
      </c>
      <c r="G365" s="95" t="s">
        <v>267</v>
      </c>
      <c r="H365" s="96">
        <v>13090</v>
      </c>
      <c r="I365" s="97">
        <v>4</v>
      </c>
    </row>
    <row r="366" spans="1:9" ht="13.5">
      <c r="A366" s="91" t="s">
        <v>626</v>
      </c>
      <c r="B366" s="92" t="s">
        <v>251</v>
      </c>
      <c r="C366" s="91" t="s">
        <v>626</v>
      </c>
      <c r="D366" s="91" t="s">
        <v>256</v>
      </c>
      <c r="E366" s="93">
        <v>32097</v>
      </c>
      <c r="F366" s="94">
        <f t="shared" ca="1" si="17"/>
        <v>28</v>
      </c>
      <c r="G366" s="95" t="s">
        <v>257</v>
      </c>
      <c r="H366" s="96">
        <v>22900</v>
      </c>
      <c r="I366" s="97">
        <v>1</v>
      </c>
    </row>
    <row r="367" spans="1:9" ht="13.5">
      <c r="A367" s="91" t="s">
        <v>626</v>
      </c>
      <c r="B367" s="92" t="s">
        <v>285</v>
      </c>
      <c r="C367" s="91" t="s">
        <v>626</v>
      </c>
      <c r="D367" s="91" t="s">
        <v>256</v>
      </c>
      <c r="E367" s="93">
        <v>32296</v>
      </c>
      <c r="F367" s="94">
        <f t="shared" ca="1" si="17"/>
        <v>28</v>
      </c>
      <c r="G367" s="95" t="s">
        <v>262</v>
      </c>
      <c r="H367" s="96">
        <v>87120</v>
      </c>
      <c r="I367" s="97">
        <v>3</v>
      </c>
    </row>
    <row r="368" spans="1:9" ht="13.5">
      <c r="A368" s="91" t="s">
        <v>626</v>
      </c>
      <c r="B368" s="92" t="s">
        <v>285</v>
      </c>
      <c r="C368" s="91" t="s">
        <v>626</v>
      </c>
      <c r="D368" s="91" t="s">
        <v>256</v>
      </c>
      <c r="E368" s="93">
        <v>32385</v>
      </c>
      <c r="F368" s="94">
        <f t="shared" ca="1" si="17"/>
        <v>28</v>
      </c>
      <c r="G368" s="95" t="s">
        <v>262</v>
      </c>
      <c r="H368" s="96">
        <v>60560</v>
      </c>
      <c r="I368" s="97">
        <v>4</v>
      </c>
    </row>
    <row r="369" spans="1:9" ht="13.5">
      <c r="A369" s="91" t="s">
        <v>626</v>
      </c>
      <c r="B369" s="92" t="s">
        <v>245</v>
      </c>
      <c r="C369" s="91" t="s">
        <v>626</v>
      </c>
      <c r="D369" s="91" t="s">
        <v>256</v>
      </c>
      <c r="E369" s="93">
        <v>32392</v>
      </c>
      <c r="F369" s="94">
        <f t="shared" ca="1" si="17"/>
        <v>28</v>
      </c>
      <c r="G369" s="95" t="s">
        <v>257</v>
      </c>
      <c r="H369" s="96">
        <v>37020</v>
      </c>
      <c r="I369" s="97">
        <v>2</v>
      </c>
    </row>
    <row r="370" spans="1:9" ht="13.5">
      <c r="A370" s="91" t="s">
        <v>626</v>
      </c>
      <c r="B370" s="92" t="s">
        <v>251</v>
      </c>
      <c r="C370" s="91" t="s">
        <v>626</v>
      </c>
      <c r="D370" s="91" t="s">
        <v>256</v>
      </c>
      <c r="E370" s="93">
        <v>32455</v>
      </c>
      <c r="F370" s="94">
        <f t="shared" ca="1" si="17"/>
        <v>28</v>
      </c>
      <c r="G370" s="95" t="s">
        <v>262</v>
      </c>
      <c r="H370" s="96">
        <v>73930</v>
      </c>
      <c r="I370" s="97">
        <v>1</v>
      </c>
    </row>
    <row r="371" spans="1:9" ht="13.5">
      <c r="A371" s="91" t="s">
        <v>626</v>
      </c>
      <c r="B371" s="92" t="s">
        <v>285</v>
      </c>
      <c r="C371" s="91" t="s">
        <v>626</v>
      </c>
      <c r="D371" s="91" t="s">
        <v>256</v>
      </c>
      <c r="E371" s="93">
        <v>32724</v>
      </c>
      <c r="F371" s="94">
        <f t="shared" ca="1" si="17"/>
        <v>27</v>
      </c>
      <c r="G371" s="95" t="s">
        <v>267</v>
      </c>
      <c r="H371" s="96">
        <v>45180</v>
      </c>
      <c r="I371" s="97">
        <v>5</v>
      </c>
    </row>
    <row r="372" spans="1:9" ht="13.5">
      <c r="A372" s="91" t="s">
        <v>626</v>
      </c>
      <c r="B372" s="92" t="s">
        <v>266</v>
      </c>
      <c r="C372" s="91" t="s">
        <v>626</v>
      </c>
      <c r="D372" s="91" t="s">
        <v>247</v>
      </c>
      <c r="E372" s="93">
        <v>32744</v>
      </c>
      <c r="F372" s="94">
        <f t="shared" ca="1" si="17"/>
        <v>27</v>
      </c>
      <c r="G372" s="95"/>
      <c r="H372" s="96">
        <v>29000</v>
      </c>
      <c r="I372" s="97">
        <v>5</v>
      </c>
    </row>
    <row r="373" spans="1:9" ht="13.5">
      <c r="A373" s="91" t="s">
        <v>626</v>
      </c>
      <c r="B373" s="92" t="s">
        <v>285</v>
      </c>
      <c r="C373" s="91" t="s">
        <v>626</v>
      </c>
      <c r="D373" s="91" t="s">
        <v>256</v>
      </c>
      <c r="E373" s="93">
        <v>32757</v>
      </c>
      <c r="F373" s="94">
        <f t="shared" ca="1" si="17"/>
        <v>27</v>
      </c>
      <c r="G373" s="95" t="s">
        <v>267</v>
      </c>
      <c r="H373" s="96">
        <v>86540</v>
      </c>
      <c r="I373" s="97">
        <v>4</v>
      </c>
    </row>
    <row r="374" spans="1:9" ht="13.5">
      <c r="A374" s="91" t="s">
        <v>626</v>
      </c>
      <c r="B374" s="92" t="s">
        <v>285</v>
      </c>
      <c r="C374" s="91" t="s">
        <v>626</v>
      </c>
      <c r="D374" s="91" t="s">
        <v>256</v>
      </c>
      <c r="E374" s="93">
        <v>32867</v>
      </c>
      <c r="F374" s="94">
        <f t="shared" ca="1" si="17"/>
        <v>26</v>
      </c>
      <c r="G374" s="95" t="s">
        <v>283</v>
      </c>
      <c r="H374" s="96">
        <v>65250</v>
      </c>
      <c r="I374" s="97">
        <v>2</v>
      </c>
    </row>
    <row r="375" spans="1:9" ht="13.5">
      <c r="A375" s="91" t="s">
        <v>626</v>
      </c>
      <c r="B375" s="92" t="s">
        <v>285</v>
      </c>
      <c r="C375" s="91" t="s">
        <v>626</v>
      </c>
      <c r="D375" s="91" t="s">
        <v>256</v>
      </c>
      <c r="E375" s="93">
        <v>33565</v>
      </c>
      <c r="F375" s="94">
        <f t="shared" ca="1" si="17"/>
        <v>24</v>
      </c>
      <c r="G375" s="95" t="s">
        <v>276</v>
      </c>
      <c r="H375" s="96">
        <v>66920</v>
      </c>
      <c r="I375" s="97">
        <v>2</v>
      </c>
    </row>
    <row r="376" spans="1:9" ht="13.5">
      <c r="A376" s="91" t="s">
        <v>626</v>
      </c>
      <c r="B376" s="92" t="s">
        <v>280</v>
      </c>
      <c r="C376" s="91" t="s">
        <v>626</v>
      </c>
      <c r="D376" s="91" t="s">
        <v>247</v>
      </c>
      <c r="E376" s="93">
        <v>33637</v>
      </c>
      <c r="F376" s="94">
        <f t="shared" ca="1" si="17"/>
        <v>24</v>
      </c>
      <c r="G376" s="95"/>
      <c r="H376" s="96">
        <v>81930</v>
      </c>
      <c r="I376" s="97">
        <v>5</v>
      </c>
    </row>
    <row r="377" spans="1:9" ht="13.5">
      <c r="A377" s="91" t="s">
        <v>626</v>
      </c>
      <c r="B377" s="92" t="s">
        <v>280</v>
      </c>
      <c r="C377" s="91" t="s">
        <v>626</v>
      </c>
      <c r="D377" s="91" t="s">
        <v>247</v>
      </c>
      <c r="E377" s="93">
        <v>33637</v>
      </c>
      <c r="F377" s="94">
        <f t="shared" ca="1" si="17"/>
        <v>24</v>
      </c>
      <c r="G377" s="95"/>
      <c r="H377" s="96">
        <v>81930</v>
      </c>
      <c r="I377" s="97">
        <v>5</v>
      </c>
    </row>
    <row r="378" spans="1:9" ht="13.5">
      <c r="A378" s="91" t="s">
        <v>626</v>
      </c>
      <c r="B378" s="92" t="s">
        <v>245</v>
      </c>
      <c r="C378" s="91" t="s">
        <v>626</v>
      </c>
      <c r="D378" s="91" t="s">
        <v>256</v>
      </c>
      <c r="E378" s="93">
        <v>33910</v>
      </c>
      <c r="F378" s="94">
        <f t="shared" ca="1" si="17"/>
        <v>24</v>
      </c>
      <c r="G378" s="95" t="s">
        <v>267</v>
      </c>
      <c r="H378" s="96">
        <v>70480</v>
      </c>
      <c r="I378" s="97">
        <v>4</v>
      </c>
    </row>
    <row r="379" spans="1:9" ht="13.5">
      <c r="A379" s="91" t="s">
        <v>626</v>
      </c>
      <c r="B379" s="92" t="s">
        <v>245</v>
      </c>
      <c r="C379" s="91" t="s">
        <v>626</v>
      </c>
      <c r="D379" s="91" t="s">
        <v>256</v>
      </c>
      <c r="E379" s="93">
        <v>33944</v>
      </c>
      <c r="F379" s="94">
        <f t="shared" ca="1" si="17"/>
        <v>23</v>
      </c>
      <c r="G379" s="95" t="s">
        <v>257</v>
      </c>
      <c r="H379" s="96">
        <v>48800</v>
      </c>
      <c r="I379" s="97">
        <v>4</v>
      </c>
    </row>
    <row r="380" spans="1:9" ht="13.5">
      <c r="A380" s="91" t="s">
        <v>626</v>
      </c>
      <c r="B380" s="92" t="s">
        <v>251</v>
      </c>
      <c r="C380" s="91" t="s">
        <v>626</v>
      </c>
      <c r="D380" s="91" t="s">
        <v>256</v>
      </c>
      <c r="E380" s="93">
        <v>33972</v>
      </c>
      <c r="F380" s="94">
        <f t="shared" ca="1" si="17"/>
        <v>23</v>
      </c>
      <c r="G380" s="95" t="s">
        <v>257</v>
      </c>
      <c r="H380" s="96">
        <v>57560</v>
      </c>
      <c r="I380" s="97">
        <v>4</v>
      </c>
    </row>
    <row r="381" spans="1:9" ht="13.5">
      <c r="A381" s="91" t="s">
        <v>626</v>
      </c>
      <c r="B381" s="92" t="s">
        <v>266</v>
      </c>
      <c r="C381" s="91" t="s">
        <v>626</v>
      </c>
      <c r="D381" s="91" t="s">
        <v>247</v>
      </c>
      <c r="E381" s="93">
        <v>34208</v>
      </c>
      <c r="F381" s="94">
        <f t="shared" ca="1" si="17"/>
        <v>23</v>
      </c>
      <c r="G381" s="95"/>
      <c r="H381" s="96">
        <v>53870</v>
      </c>
      <c r="I381" s="97">
        <v>2</v>
      </c>
    </row>
    <row r="382" spans="1:9" ht="13.5">
      <c r="A382" s="91" t="s">
        <v>626</v>
      </c>
      <c r="B382" s="92" t="s">
        <v>285</v>
      </c>
      <c r="C382" s="91" t="s">
        <v>626</v>
      </c>
      <c r="D382" s="91" t="s">
        <v>256</v>
      </c>
      <c r="E382" s="93">
        <v>34237</v>
      </c>
      <c r="F382" s="94">
        <f t="shared" ca="1" si="17"/>
        <v>23</v>
      </c>
      <c r="G382" s="95" t="s">
        <v>257</v>
      </c>
      <c r="H382" s="96">
        <v>81640</v>
      </c>
      <c r="I382" s="97">
        <v>4</v>
      </c>
    </row>
    <row r="383" spans="1:9" ht="13.5">
      <c r="A383" s="91" t="s">
        <v>626</v>
      </c>
      <c r="B383" s="92" t="s">
        <v>285</v>
      </c>
      <c r="C383" s="91" t="s">
        <v>626</v>
      </c>
      <c r="D383" s="91" t="s">
        <v>256</v>
      </c>
      <c r="E383" s="93">
        <v>34237</v>
      </c>
      <c r="F383" s="94">
        <f t="shared" ca="1" si="17"/>
        <v>23</v>
      </c>
      <c r="G383" s="95" t="s">
        <v>257</v>
      </c>
      <c r="H383" s="96">
        <v>81640</v>
      </c>
      <c r="I383" s="97">
        <v>4</v>
      </c>
    </row>
    <row r="384" spans="1:9" ht="13.5">
      <c r="A384" s="91" t="s">
        <v>626</v>
      </c>
      <c r="B384" s="92" t="s">
        <v>285</v>
      </c>
      <c r="C384" s="91" t="s">
        <v>626</v>
      </c>
      <c r="D384" s="91" t="s">
        <v>247</v>
      </c>
      <c r="E384" s="93">
        <v>34372</v>
      </c>
      <c r="F384" s="94">
        <f t="shared" ca="1" si="17"/>
        <v>22</v>
      </c>
      <c r="G384" s="95"/>
      <c r="H384" s="96">
        <v>63850</v>
      </c>
      <c r="I384" s="97">
        <v>2</v>
      </c>
    </row>
    <row r="385" spans="1:9" ht="13.5">
      <c r="A385" s="91" t="s">
        <v>626</v>
      </c>
      <c r="B385" s="92" t="s">
        <v>271</v>
      </c>
      <c r="C385" s="91" t="s">
        <v>626</v>
      </c>
      <c r="D385" s="91" t="s">
        <v>247</v>
      </c>
      <c r="E385" s="93">
        <v>34466</v>
      </c>
      <c r="F385" s="94">
        <f t="shared" ca="1" si="17"/>
        <v>22</v>
      </c>
      <c r="G385" s="95"/>
      <c r="H385" s="96">
        <v>77930</v>
      </c>
      <c r="I385" s="97">
        <v>5</v>
      </c>
    </row>
    <row r="386" spans="1:9" ht="13.5">
      <c r="A386" s="91" t="s">
        <v>626</v>
      </c>
      <c r="B386" s="92" t="s">
        <v>245</v>
      </c>
      <c r="C386" s="91" t="s">
        <v>626</v>
      </c>
      <c r="D386" s="91" t="s">
        <v>256</v>
      </c>
      <c r="E386" s="93">
        <v>34546</v>
      </c>
      <c r="F386" s="94">
        <f t="shared" ca="1" si="17"/>
        <v>22</v>
      </c>
      <c r="G386" s="95" t="s">
        <v>276</v>
      </c>
      <c r="H386" s="96">
        <v>86830</v>
      </c>
      <c r="I386" s="97">
        <v>3</v>
      </c>
    </row>
    <row r="387" spans="1:9" ht="13.5">
      <c r="A387" s="91" t="s">
        <v>626</v>
      </c>
      <c r="B387" s="92" t="s">
        <v>271</v>
      </c>
      <c r="C387" s="91" t="s">
        <v>626</v>
      </c>
      <c r="D387" s="91" t="s">
        <v>256</v>
      </c>
      <c r="E387" s="93">
        <v>34547</v>
      </c>
      <c r="F387" s="94">
        <f t="shared" ca="1" si="17"/>
        <v>22</v>
      </c>
      <c r="G387" s="95" t="s">
        <v>283</v>
      </c>
      <c r="H387" s="96">
        <v>82110</v>
      </c>
      <c r="I387" s="97">
        <v>3</v>
      </c>
    </row>
    <row r="388" spans="1:9" ht="13.5">
      <c r="A388" s="91" t="s">
        <v>626</v>
      </c>
      <c r="B388" s="92" t="s">
        <v>285</v>
      </c>
      <c r="C388" s="91" t="s">
        <v>626</v>
      </c>
      <c r="D388" s="91" t="s">
        <v>261</v>
      </c>
      <c r="E388" s="93">
        <v>34784</v>
      </c>
      <c r="F388" s="94">
        <f t="shared" ca="1" si="17"/>
        <v>21</v>
      </c>
      <c r="G388" s="95" t="s">
        <v>257</v>
      </c>
      <c r="H388" s="96">
        <v>47885</v>
      </c>
      <c r="I388" s="97">
        <v>1</v>
      </c>
    </row>
    <row r="389" spans="1:9" ht="13.5">
      <c r="A389" s="91" t="s">
        <v>626</v>
      </c>
      <c r="B389" s="92" t="s">
        <v>285</v>
      </c>
      <c r="C389" s="91" t="s">
        <v>626</v>
      </c>
      <c r="D389" s="91" t="s">
        <v>256</v>
      </c>
      <c r="E389" s="93">
        <v>34806</v>
      </c>
      <c r="F389" s="94">
        <f t="shared" ca="1" si="17"/>
        <v>21</v>
      </c>
      <c r="G389" s="95" t="s">
        <v>276</v>
      </c>
      <c r="H389" s="96">
        <v>49770</v>
      </c>
      <c r="I389" s="97">
        <v>1</v>
      </c>
    </row>
    <row r="390" spans="1:9" ht="13.5">
      <c r="A390" s="91" t="s">
        <v>626</v>
      </c>
      <c r="B390" s="92" t="s">
        <v>245</v>
      </c>
      <c r="C390" s="91" t="s">
        <v>626</v>
      </c>
      <c r="D390" s="91" t="s">
        <v>261</v>
      </c>
      <c r="E390" s="93">
        <v>34811</v>
      </c>
      <c r="F390" s="94">
        <f t="shared" ca="1" si="17"/>
        <v>21</v>
      </c>
      <c r="G390" s="95" t="s">
        <v>283</v>
      </c>
      <c r="H390" s="96">
        <v>28880</v>
      </c>
      <c r="I390" s="97">
        <v>3</v>
      </c>
    </row>
    <row r="391" spans="1:9" ht="13.5">
      <c r="A391" s="91" t="s">
        <v>626</v>
      </c>
      <c r="B391" s="92" t="s">
        <v>245</v>
      </c>
      <c r="C391" s="91" t="s">
        <v>626</v>
      </c>
      <c r="D391" s="91" t="s">
        <v>247</v>
      </c>
      <c r="E391" s="93">
        <v>34882</v>
      </c>
      <c r="F391" s="94">
        <f t="shared" ca="1" si="17"/>
        <v>21</v>
      </c>
      <c r="G391" s="95"/>
      <c r="H391" s="96">
        <v>47620</v>
      </c>
      <c r="I391" s="97">
        <v>5</v>
      </c>
    </row>
    <row r="392" spans="1:9" ht="13.5">
      <c r="A392" s="91" t="s">
        <v>626</v>
      </c>
      <c r="B392" s="92" t="s">
        <v>251</v>
      </c>
      <c r="C392" s="91" t="s">
        <v>626</v>
      </c>
      <c r="D392" s="91" t="s">
        <v>247</v>
      </c>
      <c r="E392" s="93">
        <v>34889</v>
      </c>
      <c r="F392" s="94">
        <f t="shared" ca="1" si="17"/>
        <v>21</v>
      </c>
      <c r="G392" s="95"/>
      <c r="H392" s="96">
        <v>31270</v>
      </c>
      <c r="I392" s="97">
        <v>5</v>
      </c>
    </row>
    <row r="393" spans="1:9" ht="13.5">
      <c r="A393" s="91" t="s">
        <v>626</v>
      </c>
      <c r="B393" s="92" t="s">
        <v>266</v>
      </c>
      <c r="C393" s="91" t="s">
        <v>626</v>
      </c>
      <c r="D393" s="91" t="s">
        <v>256</v>
      </c>
      <c r="E393" s="93">
        <v>34987</v>
      </c>
      <c r="F393" s="94">
        <f t="shared" ca="1" si="17"/>
        <v>21</v>
      </c>
      <c r="G393" s="95" t="s">
        <v>257</v>
      </c>
      <c r="H393" s="96">
        <v>46030</v>
      </c>
      <c r="I393" s="97">
        <v>2</v>
      </c>
    </row>
    <row r="394" spans="1:9" ht="13.5">
      <c r="A394" s="91" t="s">
        <v>626</v>
      </c>
      <c r="B394" s="92" t="s">
        <v>280</v>
      </c>
      <c r="C394" s="91" t="s">
        <v>626</v>
      </c>
      <c r="D394" s="91" t="s">
        <v>261</v>
      </c>
      <c r="E394" s="93">
        <v>35061</v>
      </c>
      <c r="F394" s="94">
        <f t="shared" ref="F394:F416" ca="1" si="18">DATEDIF(E394,TODAY(),"Y")</f>
        <v>20</v>
      </c>
      <c r="G394" s="95" t="s">
        <v>283</v>
      </c>
      <c r="H394" s="96">
        <v>26790</v>
      </c>
      <c r="I394" s="97">
        <v>2</v>
      </c>
    </row>
    <row r="395" spans="1:9" ht="13.5">
      <c r="A395" s="91" t="s">
        <v>626</v>
      </c>
      <c r="B395" s="92" t="s">
        <v>251</v>
      </c>
      <c r="C395" s="91" t="s">
        <v>626</v>
      </c>
      <c r="D395" s="91" t="s">
        <v>256</v>
      </c>
      <c r="E395" s="93">
        <v>35082</v>
      </c>
      <c r="F395" s="94">
        <f t="shared" ca="1" si="18"/>
        <v>20</v>
      </c>
      <c r="G395" s="95" t="s">
        <v>283</v>
      </c>
      <c r="H395" s="96">
        <v>51410</v>
      </c>
      <c r="I395" s="97">
        <v>4</v>
      </c>
    </row>
    <row r="396" spans="1:9" ht="13.5">
      <c r="A396" s="91" t="s">
        <v>626</v>
      </c>
      <c r="B396" s="92" t="s">
        <v>271</v>
      </c>
      <c r="C396" s="91" t="s">
        <v>626</v>
      </c>
      <c r="D396" s="91" t="s">
        <v>256</v>
      </c>
      <c r="E396" s="93">
        <v>35146</v>
      </c>
      <c r="F396" s="94">
        <f t="shared" ca="1" si="18"/>
        <v>20</v>
      </c>
      <c r="G396" s="95" t="s">
        <v>283</v>
      </c>
      <c r="H396" s="96">
        <v>43460</v>
      </c>
      <c r="I396" s="97">
        <v>5</v>
      </c>
    </row>
    <row r="397" spans="1:9" ht="13.5">
      <c r="A397" s="91" t="s">
        <v>626</v>
      </c>
      <c r="B397" s="92" t="s">
        <v>285</v>
      </c>
      <c r="C397" s="91" t="s">
        <v>626</v>
      </c>
      <c r="D397" s="91" t="s">
        <v>256</v>
      </c>
      <c r="E397" s="93">
        <v>35153</v>
      </c>
      <c r="F397" s="94">
        <f t="shared" ca="1" si="18"/>
        <v>20</v>
      </c>
      <c r="G397" s="95" t="s">
        <v>257</v>
      </c>
      <c r="H397" s="96">
        <v>44220</v>
      </c>
      <c r="I397" s="97">
        <v>3</v>
      </c>
    </row>
    <row r="398" spans="1:9" ht="13.5">
      <c r="A398" s="91" t="s">
        <v>626</v>
      </c>
      <c r="B398" s="92" t="s">
        <v>245</v>
      </c>
      <c r="C398" s="91" t="s">
        <v>626</v>
      </c>
      <c r="D398" s="91" t="s">
        <v>256</v>
      </c>
      <c r="E398" s="93">
        <v>35352</v>
      </c>
      <c r="F398" s="94">
        <f t="shared" ca="1" si="18"/>
        <v>20</v>
      </c>
      <c r="G398" s="95" t="s">
        <v>283</v>
      </c>
      <c r="H398" s="96">
        <v>52490</v>
      </c>
      <c r="I398" s="97">
        <v>4</v>
      </c>
    </row>
    <row r="399" spans="1:9" ht="13.5">
      <c r="A399" s="91" t="s">
        <v>626</v>
      </c>
      <c r="B399" s="92" t="s">
        <v>285</v>
      </c>
      <c r="C399" s="91" t="s">
        <v>626</v>
      </c>
      <c r="D399" s="91" t="s">
        <v>247</v>
      </c>
      <c r="E399" s="93">
        <v>35393</v>
      </c>
      <c r="F399" s="94">
        <f t="shared" ca="1" si="18"/>
        <v>19</v>
      </c>
      <c r="G399" s="95"/>
      <c r="H399" s="96">
        <v>50200</v>
      </c>
      <c r="I399" s="97">
        <v>4</v>
      </c>
    </row>
    <row r="400" spans="1:9" ht="13.5">
      <c r="A400" s="91" t="s">
        <v>626</v>
      </c>
      <c r="B400" s="92" t="s">
        <v>245</v>
      </c>
      <c r="C400" s="91" t="s">
        <v>626</v>
      </c>
      <c r="D400" s="91" t="s">
        <v>256</v>
      </c>
      <c r="E400" s="93">
        <v>35630</v>
      </c>
      <c r="F400" s="94">
        <f t="shared" ca="1" si="18"/>
        <v>19</v>
      </c>
      <c r="G400" s="95" t="s">
        <v>257</v>
      </c>
      <c r="H400" s="96">
        <v>48990</v>
      </c>
      <c r="I400" s="97">
        <v>5</v>
      </c>
    </row>
    <row r="401" spans="1:9" ht="13.5">
      <c r="A401" s="91" t="s">
        <v>626</v>
      </c>
      <c r="B401" s="92" t="s">
        <v>245</v>
      </c>
      <c r="C401" s="91" t="s">
        <v>626</v>
      </c>
      <c r="D401" s="91" t="s">
        <v>261</v>
      </c>
      <c r="E401" s="93">
        <v>35828</v>
      </c>
      <c r="F401" s="94">
        <f t="shared" ca="1" si="18"/>
        <v>18</v>
      </c>
      <c r="G401" s="95" t="s">
        <v>262</v>
      </c>
      <c r="H401" s="96">
        <v>31110</v>
      </c>
      <c r="I401" s="97">
        <v>1</v>
      </c>
    </row>
    <row r="402" spans="1:9" ht="13.5">
      <c r="A402" s="91" t="s">
        <v>626</v>
      </c>
      <c r="B402" s="92" t="s">
        <v>280</v>
      </c>
      <c r="C402" s="91" t="s">
        <v>626</v>
      </c>
      <c r="D402" s="91" t="s">
        <v>261</v>
      </c>
      <c r="E402" s="93">
        <v>35831</v>
      </c>
      <c r="F402" s="94">
        <f t="shared" ca="1" si="18"/>
        <v>18</v>
      </c>
      <c r="G402" s="95" t="s">
        <v>276</v>
      </c>
      <c r="H402" s="96">
        <v>15910</v>
      </c>
      <c r="I402" s="97">
        <v>3</v>
      </c>
    </row>
    <row r="403" spans="1:9" ht="13.5">
      <c r="A403" s="91" t="s">
        <v>626</v>
      </c>
      <c r="B403" s="92" t="s">
        <v>271</v>
      </c>
      <c r="C403" s="91" t="s">
        <v>626</v>
      </c>
      <c r="D403" s="91" t="s">
        <v>261</v>
      </c>
      <c r="E403" s="93">
        <v>35856</v>
      </c>
      <c r="F403" s="94">
        <f t="shared" ca="1" si="18"/>
        <v>18</v>
      </c>
      <c r="G403" s="95" t="s">
        <v>262</v>
      </c>
      <c r="H403" s="96">
        <v>47295</v>
      </c>
      <c r="I403" s="97">
        <v>4</v>
      </c>
    </row>
    <row r="404" spans="1:9" ht="13.5">
      <c r="A404" s="91" t="s">
        <v>626</v>
      </c>
      <c r="B404" s="92" t="s">
        <v>285</v>
      </c>
      <c r="C404" s="91" t="s">
        <v>626</v>
      </c>
      <c r="D404" s="91" t="s">
        <v>261</v>
      </c>
      <c r="E404" s="93">
        <v>37052</v>
      </c>
      <c r="F404" s="94">
        <f t="shared" ca="1" si="18"/>
        <v>15</v>
      </c>
      <c r="G404" s="95" t="s">
        <v>257</v>
      </c>
      <c r="H404" s="96">
        <v>31255</v>
      </c>
      <c r="I404" s="97">
        <v>5</v>
      </c>
    </row>
    <row r="405" spans="1:9" ht="13.5">
      <c r="A405" s="91" t="s">
        <v>626</v>
      </c>
      <c r="B405" s="92" t="s">
        <v>251</v>
      </c>
      <c r="C405" s="91" t="s">
        <v>626</v>
      </c>
      <c r="D405" s="91" t="s">
        <v>247</v>
      </c>
      <c r="E405" s="93">
        <v>37186</v>
      </c>
      <c r="F405" s="94">
        <f t="shared" ca="1" si="18"/>
        <v>15</v>
      </c>
      <c r="G405" s="95"/>
      <c r="H405" s="96">
        <v>57520</v>
      </c>
      <c r="I405" s="97">
        <v>3</v>
      </c>
    </row>
    <row r="406" spans="1:9" ht="13.5">
      <c r="A406" s="91" t="s">
        <v>626</v>
      </c>
      <c r="B406" s="92" t="s">
        <v>245</v>
      </c>
      <c r="C406" s="91" t="s">
        <v>626</v>
      </c>
      <c r="D406" s="91" t="s">
        <v>261</v>
      </c>
      <c r="E406" s="93">
        <v>37788</v>
      </c>
      <c r="F406" s="94">
        <f t="shared" ca="1" si="18"/>
        <v>13</v>
      </c>
      <c r="G406" s="95" t="s">
        <v>283</v>
      </c>
      <c r="H406" s="96">
        <v>47705</v>
      </c>
      <c r="I406" s="97">
        <v>5</v>
      </c>
    </row>
    <row r="407" spans="1:9" ht="13.5">
      <c r="A407" s="91" t="s">
        <v>626</v>
      </c>
      <c r="B407" s="92" t="s">
        <v>245</v>
      </c>
      <c r="C407" s="91" t="s">
        <v>626</v>
      </c>
      <c r="D407" s="91" t="s">
        <v>261</v>
      </c>
      <c r="E407" s="93">
        <v>37788</v>
      </c>
      <c r="F407" s="94">
        <f t="shared" ca="1" si="18"/>
        <v>13</v>
      </c>
      <c r="G407" s="95" t="s">
        <v>283</v>
      </c>
      <c r="H407" s="96">
        <v>47705</v>
      </c>
      <c r="I407" s="97">
        <v>5</v>
      </c>
    </row>
    <row r="408" spans="1:9" ht="13.5">
      <c r="A408" s="91" t="s">
        <v>626</v>
      </c>
      <c r="B408" s="92" t="s">
        <v>245</v>
      </c>
      <c r="C408" s="91" t="s">
        <v>626</v>
      </c>
      <c r="D408" s="91" t="s">
        <v>256</v>
      </c>
      <c r="E408" s="93">
        <v>37847</v>
      </c>
      <c r="F408" s="94">
        <f t="shared" ca="1" si="18"/>
        <v>13</v>
      </c>
      <c r="G408" s="95" t="s">
        <v>283</v>
      </c>
      <c r="H408" s="96">
        <v>47610</v>
      </c>
      <c r="I408" s="97">
        <v>4</v>
      </c>
    </row>
    <row r="409" spans="1:9" ht="13.5">
      <c r="A409" s="91" t="s">
        <v>626</v>
      </c>
      <c r="B409" s="92" t="s">
        <v>271</v>
      </c>
      <c r="C409" s="91" t="s">
        <v>626</v>
      </c>
      <c r="D409" s="91" t="s">
        <v>247</v>
      </c>
      <c r="E409" s="93">
        <v>37973</v>
      </c>
      <c r="F409" s="94">
        <f t="shared" ca="1" si="18"/>
        <v>12</v>
      </c>
      <c r="G409" s="95"/>
      <c r="H409" s="96">
        <v>74470</v>
      </c>
      <c r="I409" s="97">
        <v>3</v>
      </c>
    </row>
    <row r="410" spans="1:9" ht="13.5">
      <c r="A410" s="91" t="s">
        <v>626</v>
      </c>
      <c r="B410" s="92" t="s">
        <v>245</v>
      </c>
      <c r="C410" s="91" t="s">
        <v>626</v>
      </c>
      <c r="D410" s="91" t="s">
        <v>261</v>
      </c>
      <c r="E410" s="93">
        <v>38561</v>
      </c>
      <c r="F410" s="94">
        <f t="shared" ca="1" si="18"/>
        <v>11</v>
      </c>
      <c r="G410" s="95" t="s">
        <v>267</v>
      </c>
      <c r="H410" s="96">
        <v>38575</v>
      </c>
      <c r="I410" s="97">
        <v>2</v>
      </c>
    </row>
    <row r="411" spans="1:9" ht="13.5">
      <c r="A411" s="91" t="s">
        <v>626</v>
      </c>
      <c r="B411" s="92" t="s">
        <v>266</v>
      </c>
      <c r="C411" s="91" t="s">
        <v>626</v>
      </c>
      <c r="D411" s="91" t="s">
        <v>256</v>
      </c>
      <c r="E411" s="93">
        <v>38773</v>
      </c>
      <c r="F411" s="94">
        <f t="shared" ca="1" si="18"/>
        <v>10</v>
      </c>
      <c r="G411" s="95" t="s">
        <v>283</v>
      </c>
      <c r="H411" s="96">
        <v>44150</v>
      </c>
      <c r="I411" s="97">
        <v>4</v>
      </c>
    </row>
    <row r="412" spans="1:9" ht="13.5">
      <c r="A412" s="91" t="s">
        <v>626</v>
      </c>
      <c r="B412" s="92" t="s">
        <v>271</v>
      </c>
      <c r="C412" s="91" t="s">
        <v>626</v>
      </c>
      <c r="D412" s="91" t="s">
        <v>256</v>
      </c>
      <c r="E412" s="93">
        <v>38899</v>
      </c>
      <c r="F412" s="94">
        <f t="shared" ca="1" si="18"/>
        <v>10</v>
      </c>
      <c r="G412" s="95" t="s">
        <v>283</v>
      </c>
      <c r="H412" s="96">
        <v>45260</v>
      </c>
      <c r="I412" s="97">
        <v>4</v>
      </c>
    </row>
    <row r="413" spans="1:9" ht="13.5">
      <c r="A413" s="91" t="s">
        <v>626</v>
      </c>
      <c r="B413" s="92" t="s">
        <v>271</v>
      </c>
      <c r="C413" s="91" t="s">
        <v>626</v>
      </c>
      <c r="D413" s="91" t="s">
        <v>261</v>
      </c>
      <c r="E413" s="93">
        <v>39041</v>
      </c>
      <c r="F413" s="94">
        <f t="shared" ca="1" si="18"/>
        <v>9</v>
      </c>
      <c r="G413" s="95" t="s">
        <v>283</v>
      </c>
      <c r="H413" s="96">
        <v>20040</v>
      </c>
      <c r="I413" s="97">
        <v>3</v>
      </c>
    </row>
    <row r="414" spans="1:9" ht="13.5">
      <c r="A414" s="91" t="s">
        <v>626</v>
      </c>
      <c r="B414" s="92" t="s">
        <v>271</v>
      </c>
      <c r="C414" s="91" t="s">
        <v>626</v>
      </c>
      <c r="D414" s="91" t="s">
        <v>256</v>
      </c>
      <c r="E414" s="93">
        <v>39051</v>
      </c>
      <c r="F414" s="94">
        <f t="shared" ca="1" si="18"/>
        <v>9</v>
      </c>
      <c r="G414" s="95" t="s">
        <v>267</v>
      </c>
      <c r="H414" s="96">
        <v>75780</v>
      </c>
      <c r="I414" s="97">
        <v>2</v>
      </c>
    </row>
    <row r="415" spans="1:9" ht="13.5">
      <c r="A415" s="91" t="s">
        <v>626</v>
      </c>
      <c r="B415" s="92" t="s">
        <v>271</v>
      </c>
      <c r="C415" s="91" t="s">
        <v>626</v>
      </c>
      <c r="D415" s="91" t="s">
        <v>256</v>
      </c>
      <c r="E415" s="93">
        <v>39137</v>
      </c>
      <c r="F415" s="94">
        <f t="shared" ca="1" si="18"/>
        <v>9</v>
      </c>
      <c r="G415" s="95" t="s">
        <v>257</v>
      </c>
      <c r="H415" s="96">
        <v>33970</v>
      </c>
      <c r="I415" s="97">
        <v>4</v>
      </c>
    </row>
    <row r="416" spans="1:9" ht="13.5">
      <c r="A416" s="91" t="s">
        <v>626</v>
      </c>
      <c r="B416" s="92" t="s">
        <v>271</v>
      </c>
      <c r="C416" s="91" t="s">
        <v>626</v>
      </c>
      <c r="D416" s="91" t="s">
        <v>256</v>
      </c>
      <c r="E416" s="93">
        <v>39137</v>
      </c>
      <c r="F416" s="94">
        <f t="shared" ca="1" si="18"/>
        <v>9</v>
      </c>
      <c r="G416" s="95" t="s">
        <v>257</v>
      </c>
      <c r="H416" s="96">
        <v>33970</v>
      </c>
      <c r="I416" s="97">
        <v>4</v>
      </c>
    </row>
    <row r="417" spans="1:9" ht="13.5">
      <c r="A417" s="98"/>
      <c r="B417" s="92"/>
      <c r="C417" s="98"/>
      <c r="D417" s="91"/>
      <c r="E417" s="93"/>
      <c r="F417" s="94"/>
      <c r="G417" s="95"/>
      <c r="H417" s="96"/>
      <c r="I417" s="97"/>
    </row>
    <row r="418" spans="1:9" ht="13.5">
      <c r="A418" s="91" t="s">
        <v>678</v>
      </c>
      <c r="B418" s="92" t="s">
        <v>280</v>
      </c>
      <c r="C418" s="91" t="s">
        <v>678</v>
      </c>
      <c r="D418" s="91" t="s">
        <v>256</v>
      </c>
      <c r="E418" s="93">
        <v>32307</v>
      </c>
      <c r="F418" s="94">
        <f t="shared" ref="F418:F438" ca="1" si="19">DATEDIF(E418,TODAY(),"Y")</f>
        <v>28</v>
      </c>
      <c r="G418" s="95" t="s">
        <v>257</v>
      </c>
      <c r="H418" s="96">
        <v>39110</v>
      </c>
      <c r="I418" s="97">
        <v>5</v>
      </c>
    </row>
    <row r="419" spans="1:9" ht="13.5">
      <c r="A419" s="91" t="s">
        <v>678</v>
      </c>
      <c r="B419" s="92" t="s">
        <v>285</v>
      </c>
      <c r="C419" s="91" t="s">
        <v>678</v>
      </c>
      <c r="D419" s="91" t="s">
        <v>256</v>
      </c>
      <c r="E419" s="93">
        <v>32431</v>
      </c>
      <c r="F419" s="94">
        <f t="shared" ca="1" si="19"/>
        <v>28</v>
      </c>
      <c r="G419" s="95" t="s">
        <v>257</v>
      </c>
      <c r="H419" s="96">
        <v>48550</v>
      </c>
      <c r="I419" s="97">
        <v>5</v>
      </c>
    </row>
    <row r="420" spans="1:9" ht="13.5">
      <c r="A420" s="91" t="s">
        <v>678</v>
      </c>
      <c r="B420" s="92" t="s">
        <v>285</v>
      </c>
      <c r="C420" s="91" t="s">
        <v>678</v>
      </c>
      <c r="D420" s="91" t="s">
        <v>256</v>
      </c>
      <c r="E420" s="93">
        <v>32594</v>
      </c>
      <c r="F420" s="94">
        <f t="shared" ca="1" si="19"/>
        <v>27</v>
      </c>
      <c r="G420" s="95" t="s">
        <v>262</v>
      </c>
      <c r="H420" s="96">
        <v>87980</v>
      </c>
      <c r="I420" s="97">
        <v>1</v>
      </c>
    </row>
    <row r="421" spans="1:9" ht="13.5">
      <c r="A421" s="91" t="s">
        <v>678</v>
      </c>
      <c r="B421" s="92" t="s">
        <v>285</v>
      </c>
      <c r="C421" s="91" t="s">
        <v>678</v>
      </c>
      <c r="D421" s="91" t="s">
        <v>256</v>
      </c>
      <c r="E421" s="93">
        <v>33811</v>
      </c>
      <c r="F421" s="94">
        <f t="shared" ca="1" si="19"/>
        <v>24</v>
      </c>
      <c r="G421" s="95" t="s">
        <v>283</v>
      </c>
      <c r="H421" s="96">
        <v>22860</v>
      </c>
      <c r="I421" s="97">
        <v>5</v>
      </c>
    </row>
    <row r="422" spans="1:9" ht="13.5">
      <c r="A422" s="91" t="s">
        <v>678</v>
      </c>
      <c r="B422" s="92" t="s">
        <v>280</v>
      </c>
      <c r="C422" s="91" t="s">
        <v>678</v>
      </c>
      <c r="D422" s="91" t="s">
        <v>261</v>
      </c>
      <c r="E422" s="93">
        <v>33840</v>
      </c>
      <c r="F422" s="94">
        <f t="shared" ca="1" si="19"/>
        <v>24</v>
      </c>
      <c r="G422" s="95" t="s">
        <v>257</v>
      </c>
      <c r="H422" s="96">
        <v>49405</v>
      </c>
      <c r="I422" s="97">
        <v>4</v>
      </c>
    </row>
    <row r="423" spans="1:9" ht="13.5">
      <c r="A423" s="91" t="s">
        <v>678</v>
      </c>
      <c r="B423" s="92" t="s">
        <v>271</v>
      </c>
      <c r="C423" s="91" t="s">
        <v>678</v>
      </c>
      <c r="D423" s="91" t="s">
        <v>252</v>
      </c>
      <c r="E423" s="93">
        <v>34071</v>
      </c>
      <c r="F423" s="94">
        <f t="shared" ca="1" si="19"/>
        <v>23</v>
      </c>
      <c r="G423" s="95"/>
      <c r="H423" s="96">
        <v>35312</v>
      </c>
      <c r="I423" s="97">
        <v>3</v>
      </c>
    </row>
    <row r="424" spans="1:9" ht="13.5">
      <c r="A424" s="91" t="s">
        <v>678</v>
      </c>
      <c r="B424" s="92" t="s">
        <v>285</v>
      </c>
      <c r="C424" s="91" t="s">
        <v>678</v>
      </c>
      <c r="D424" s="91" t="s">
        <v>247</v>
      </c>
      <c r="E424" s="93">
        <v>34137</v>
      </c>
      <c r="F424" s="94">
        <f t="shared" ca="1" si="19"/>
        <v>23</v>
      </c>
      <c r="G424" s="95"/>
      <c r="H424" s="96">
        <v>54190</v>
      </c>
      <c r="I424" s="97">
        <v>4</v>
      </c>
    </row>
    <row r="425" spans="1:9" ht="13.5">
      <c r="A425" s="91" t="s">
        <v>678</v>
      </c>
      <c r="B425" s="92" t="s">
        <v>251</v>
      </c>
      <c r="C425" s="91" t="s">
        <v>678</v>
      </c>
      <c r="D425" s="91" t="s">
        <v>247</v>
      </c>
      <c r="E425" s="93">
        <v>34414</v>
      </c>
      <c r="F425" s="94">
        <f t="shared" ca="1" si="19"/>
        <v>22</v>
      </c>
      <c r="G425" s="95"/>
      <c r="H425" s="96">
        <v>86470</v>
      </c>
      <c r="I425" s="97">
        <v>4</v>
      </c>
    </row>
    <row r="426" spans="1:9" ht="13.5">
      <c r="A426" s="91" t="s">
        <v>678</v>
      </c>
      <c r="B426" s="92" t="s">
        <v>271</v>
      </c>
      <c r="C426" s="91" t="s">
        <v>678</v>
      </c>
      <c r="D426" s="91" t="s">
        <v>261</v>
      </c>
      <c r="E426" s="93">
        <v>34651</v>
      </c>
      <c r="F426" s="94">
        <f t="shared" ca="1" si="19"/>
        <v>21</v>
      </c>
      <c r="G426" s="95" t="s">
        <v>257</v>
      </c>
      <c r="H426" s="96">
        <v>20500</v>
      </c>
      <c r="I426" s="97">
        <v>3</v>
      </c>
    </row>
    <row r="427" spans="1:9" ht="13.5">
      <c r="A427" s="91" t="s">
        <v>678</v>
      </c>
      <c r="B427" s="92" t="s">
        <v>245</v>
      </c>
      <c r="C427" s="91" t="s">
        <v>678</v>
      </c>
      <c r="D427" s="91" t="s">
        <v>247</v>
      </c>
      <c r="E427" s="93">
        <v>34737</v>
      </c>
      <c r="F427" s="94">
        <f t="shared" ca="1" si="19"/>
        <v>21</v>
      </c>
      <c r="G427" s="95"/>
      <c r="H427" s="96">
        <v>72480</v>
      </c>
      <c r="I427" s="97">
        <v>2</v>
      </c>
    </row>
    <row r="428" spans="1:9" ht="13.5">
      <c r="A428" s="91" t="s">
        <v>678</v>
      </c>
      <c r="B428" s="92" t="s">
        <v>271</v>
      </c>
      <c r="C428" s="91" t="s">
        <v>678</v>
      </c>
      <c r="D428" s="91" t="s">
        <v>252</v>
      </c>
      <c r="E428" s="93">
        <v>34774</v>
      </c>
      <c r="F428" s="94">
        <f t="shared" ca="1" si="19"/>
        <v>21</v>
      </c>
      <c r="G428" s="95"/>
      <c r="H428" s="96">
        <v>21668</v>
      </c>
      <c r="I428" s="97">
        <v>4</v>
      </c>
    </row>
    <row r="429" spans="1:9" ht="13.5">
      <c r="A429" s="91" t="s">
        <v>678</v>
      </c>
      <c r="B429" s="92" t="s">
        <v>271</v>
      </c>
      <c r="C429" s="91" t="s">
        <v>678</v>
      </c>
      <c r="D429" s="91" t="s">
        <v>256</v>
      </c>
      <c r="E429" s="93">
        <v>34865</v>
      </c>
      <c r="F429" s="94">
        <f t="shared" ca="1" si="19"/>
        <v>21</v>
      </c>
      <c r="G429" s="95" t="s">
        <v>283</v>
      </c>
      <c r="H429" s="96">
        <v>23520</v>
      </c>
      <c r="I429" s="97">
        <v>2</v>
      </c>
    </row>
    <row r="430" spans="1:9" ht="13.5">
      <c r="A430" s="91" t="s">
        <v>678</v>
      </c>
      <c r="B430" s="92" t="s">
        <v>266</v>
      </c>
      <c r="C430" s="91" t="s">
        <v>678</v>
      </c>
      <c r="D430" s="91" t="s">
        <v>256</v>
      </c>
      <c r="E430" s="93">
        <v>35156</v>
      </c>
      <c r="F430" s="94">
        <f t="shared" ca="1" si="19"/>
        <v>20</v>
      </c>
      <c r="G430" s="95" t="s">
        <v>283</v>
      </c>
      <c r="H430" s="96">
        <v>68410</v>
      </c>
      <c r="I430" s="97">
        <v>5</v>
      </c>
    </row>
    <row r="431" spans="1:9" ht="13.5">
      <c r="A431" s="91" t="s">
        <v>678</v>
      </c>
      <c r="B431" s="92" t="s">
        <v>280</v>
      </c>
      <c r="C431" s="91" t="s">
        <v>678</v>
      </c>
      <c r="D431" s="91" t="s">
        <v>256</v>
      </c>
      <c r="E431" s="93">
        <v>35257</v>
      </c>
      <c r="F431" s="94">
        <f t="shared" ca="1" si="19"/>
        <v>20</v>
      </c>
      <c r="G431" s="95" t="s">
        <v>276</v>
      </c>
      <c r="H431" s="96">
        <v>45450</v>
      </c>
      <c r="I431" s="97">
        <v>5</v>
      </c>
    </row>
    <row r="432" spans="1:9" ht="13.5">
      <c r="A432" s="91" t="s">
        <v>678</v>
      </c>
      <c r="B432" s="92" t="s">
        <v>271</v>
      </c>
      <c r="C432" s="91" t="s">
        <v>678</v>
      </c>
      <c r="D432" s="91" t="s">
        <v>256</v>
      </c>
      <c r="E432" s="93">
        <v>35588</v>
      </c>
      <c r="F432" s="94">
        <f t="shared" ca="1" si="19"/>
        <v>19</v>
      </c>
      <c r="G432" s="95" t="s">
        <v>257</v>
      </c>
      <c r="H432" s="96">
        <v>71820</v>
      </c>
      <c r="I432" s="97">
        <v>2</v>
      </c>
    </row>
    <row r="433" spans="1:9" ht="13.5">
      <c r="A433" s="91" t="s">
        <v>678</v>
      </c>
      <c r="B433" s="92" t="s">
        <v>245</v>
      </c>
      <c r="C433" s="91" t="s">
        <v>678</v>
      </c>
      <c r="D433" s="91" t="s">
        <v>247</v>
      </c>
      <c r="E433" s="93">
        <v>35926</v>
      </c>
      <c r="F433" s="94">
        <f t="shared" ca="1" si="19"/>
        <v>18</v>
      </c>
      <c r="G433" s="95"/>
      <c r="H433" s="96">
        <v>29540</v>
      </c>
      <c r="I433" s="97">
        <v>3</v>
      </c>
    </row>
    <row r="434" spans="1:9" ht="13.5">
      <c r="A434" s="91" t="s">
        <v>678</v>
      </c>
      <c r="B434" s="92" t="s">
        <v>285</v>
      </c>
      <c r="C434" s="91" t="s">
        <v>678</v>
      </c>
      <c r="D434" s="91" t="s">
        <v>247</v>
      </c>
      <c r="E434" s="93">
        <v>36493</v>
      </c>
      <c r="F434" s="94">
        <f t="shared" ca="1" si="19"/>
        <v>16</v>
      </c>
      <c r="G434" s="95"/>
      <c r="H434" s="96">
        <v>78100</v>
      </c>
      <c r="I434" s="97">
        <v>3</v>
      </c>
    </row>
    <row r="435" spans="1:9" ht="13.5">
      <c r="A435" s="91" t="s">
        <v>678</v>
      </c>
      <c r="B435" s="92" t="s">
        <v>266</v>
      </c>
      <c r="C435" s="91" t="s">
        <v>678</v>
      </c>
      <c r="D435" s="91" t="s">
        <v>252</v>
      </c>
      <c r="E435" s="93">
        <v>36517</v>
      </c>
      <c r="F435" s="94">
        <f t="shared" ca="1" si="19"/>
        <v>16</v>
      </c>
      <c r="G435" s="95"/>
      <c r="H435" s="96">
        <v>11044</v>
      </c>
      <c r="I435" s="97">
        <v>2</v>
      </c>
    </row>
    <row r="436" spans="1:9" ht="13.5">
      <c r="A436" s="91" t="s">
        <v>678</v>
      </c>
      <c r="B436" s="92" t="s">
        <v>251</v>
      </c>
      <c r="C436" s="91" t="s">
        <v>678</v>
      </c>
      <c r="D436" s="91" t="s">
        <v>247</v>
      </c>
      <c r="E436" s="93">
        <v>39023</v>
      </c>
      <c r="F436" s="94">
        <f t="shared" ca="1" si="19"/>
        <v>10</v>
      </c>
      <c r="G436" s="95"/>
      <c r="H436" s="96">
        <v>74020</v>
      </c>
      <c r="I436" s="97">
        <v>2</v>
      </c>
    </row>
    <row r="437" spans="1:9" ht="13.5">
      <c r="A437" s="91" t="s">
        <v>678</v>
      </c>
      <c r="B437" s="92" t="s">
        <v>271</v>
      </c>
      <c r="C437" s="91" t="s">
        <v>678</v>
      </c>
      <c r="D437" s="91" t="s">
        <v>247</v>
      </c>
      <c r="E437" s="93">
        <v>39062</v>
      </c>
      <c r="F437" s="94">
        <f t="shared" ca="1" si="19"/>
        <v>9</v>
      </c>
      <c r="G437" s="95"/>
      <c r="H437" s="96">
        <v>75100</v>
      </c>
      <c r="I437" s="97">
        <v>4</v>
      </c>
    </row>
    <row r="438" spans="1:9" ht="13.5">
      <c r="A438" s="91" t="s">
        <v>678</v>
      </c>
      <c r="B438" s="92" t="s">
        <v>280</v>
      </c>
      <c r="C438" s="91" t="s">
        <v>678</v>
      </c>
      <c r="D438" s="91" t="s">
        <v>256</v>
      </c>
      <c r="E438" s="93">
        <v>39223</v>
      </c>
      <c r="F438" s="94">
        <f t="shared" ca="1" si="19"/>
        <v>9</v>
      </c>
      <c r="G438" s="95" t="s">
        <v>276</v>
      </c>
      <c r="H438" s="96">
        <v>62180</v>
      </c>
      <c r="I438" s="97">
        <v>2</v>
      </c>
    </row>
    <row r="439" spans="1:9" ht="13.5">
      <c r="A439" s="98"/>
      <c r="B439" s="92"/>
      <c r="C439" s="98"/>
      <c r="D439" s="91"/>
      <c r="E439" s="93"/>
      <c r="F439" s="94"/>
      <c r="G439" s="95"/>
      <c r="H439" s="96"/>
      <c r="I439" s="97"/>
    </row>
    <row r="440" spans="1:9" ht="13.5">
      <c r="A440" s="91" t="s">
        <v>700</v>
      </c>
      <c r="B440" s="92" t="s">
        <v>245</v>
      </c>
      <c r="C440" s="91" t="s">
        <v>700</v>
      </c>
      <c r="D440" s="91" t="s">
        <v>247</v>
      </c>
      <c r="E440" s="93">
        <v>33098</v>
      </c>
      <c r="F440" s="94">
        <f ca="1">DATEDIF(E440,TODAY(),"Y")</f>
        <v>26</v>
      </c>
      <c r="G440" s="95"/>
      <c r="H440" s="96">
        <v>71700</v>
      </c>
      <c r="I440" s="97">
        <v>2</v>
      </c>
    </row>
    <row r="441" spans="1:9" ht="13.5">
      <c r="A441" s="91" t="s">
        <v>700</v>
      </c>
      <c r="B441" s="92" t="s">
        <v>285</v>
      </c>
      <c r="C441" s="91" t="s">
        <v>700</v>
      </c>
      <c r="D441" s="91" t="s">
        <v>256</v>
      </c>
      <c r="E441" s="93">
        <v>33504</v>
      </c>
      <c r="F441" s="94">
        <f ca="1">DATEDIF(E441,TODAY(),"Y")</f>
        <v>25</v>
      </c>
      <c r="G441" s="95" t="s">
        <v>257</v>
      </c>
      <c r="H441" s="96">
        <v>63190</v>
      </c>
      <c r="I441" s="97">
        <v>1</v>
      </c>
    </row>
    <row r="442" spans="1:9" ht="13.5">
      <c r="A442" s="91" t="s">
        <v>700</v>
      </c>
      <c r="B442" s="92" t="s">
        <v>245</v>
      </c>
      <c r="C442" s="91" t="s">
        <v>700</v>
      </c>
      <c r="D442" s="91" t="s">
        <v>247</v>
      </c>
      <c r="E442" s="93">
        <v>34141</v>
      </c>
      <c r="F442" s="94">
        <f ca="1">DATEDIF(E442,TODAY(),"Y")</f>
        <v>23</v>
      </c>
      <c r="G442" s="95"/>
      <c r="H442" s="96">
        <v>25120</v>
      </c>
      <c r="I442" s="97">
        <v>2</v>
      </c>
    </row>
    <row r="443" spans="1:9" ht="13.5">
      <c r="A443" s="91" t="s">
        <v>700</v>
      </c>
      <c r="B443" s="92" t="s">
        <v>271</v>
      </c>
      <c r="C443" s="91" t="s">
        <v>700</v>
      </c>
      <c r="D443" s="91" t="s">
        <v>247</v>
      </c>
      <c r="E443" s="93">
        <v>34257</v>
      </c>
      <c r="F443" s="94">
        <f ca="1">DATEDIF(E443,TODAY(),"Y")</f>
        <v>23</v>
      </c>
      <c r="G443" s="95"/>
      <c r="H443" s="96">
        <v>44820</v>
      </c>
      <c r="I443" s="97">
        <v>4</v>
      </c>
    </row>
    <row r="444" spans="1:9" ht="13.5">
      <c r="A444" s="98"/>
      <c r="B444" s="92"/>
      <c r="C444" s="98"/>
      <c r="D444" s="91"/>
      <c r="E444" s="93"/>
      <c r="F444" s="94"/>
      <c r="G444" s="95"/>
      <c r="H444" s="96"/>
      <c r="I444" s="97"/>
    </row>
    <row r="445" spans="1:9" ht="13.5">
      <c r="A445" s="91" t="s">
        <v>705</v>
      </c>
      <c r="B445" s="92" t="s">
        <v>285</v>
      </c>
      <c r="C445" s="91" t="s">
        <v>705</v>
      </c>
      <c r="D445" s="91" t="s">
        <v>256</v>
      </c>
      <c r="E445" s="93">
        <v>32147</v>
      </c>
      <c r="F445" s="94">
        <f t="shared" ref="F445:F488" ca="1" si="20">DATEDIF(E445,TODAY(),"Y")</f>
        <v>28</v>
      </c>
      <c r="G445" s="95" t="s">
        <v>267</v>
      </c>
      <c r="H445" s="96">
        <v>61470</v>
      </c>
      <c r="I445" s="97">
        <v>5</v>
      </c>
    </row>
    <row r="446" spans="1:9" ht="13.5">
      <c r="A446" s="91" t="s">
        <v>705</v>
      </c>
      <c r="B446" s="92" t="s">
        <v>271</v>
      </c>
      <c r="C446" s="91" t="s">
        <v>705</v>
      </c>
      <c r="D446" s="91" t="s">
        <v>261</v>
      </c>
      <c r="E446" s="93">
        <v>32192</v>
      </c>
      <c r="F446" s="94">
        <f t="shared" ca="1" si="20"/>
        <v>28</v>
      </c>
      <c r="G446" s="95" t="s">
        <v>262</v>
      </c>
      <c r="H446" s="96">
        <v>35045</v>
      </c>
      <c r="I446" s="97">
        <v>4</v>
      </c>
    </row>
    <row r="447" spans="1:9" ht="13.5">
      <c r="A447" s="91" t="s">
        <v>705</v>
      </c>
      <c r="B447" s="92" t="s">
        <v>271</v>
      </c>
      <c r="C447" s="91" t="s">
        <v>705</v>
      </c>
      <c r="D447" s="91" t="s">
        <v>256</v>
      </c>
      <c r="E447" s="93">
        <v>32268</v>
      </c>
      <c r="F447" s="94">
        <f t="shared" ca="1" si="20"/>
        <v>28</v>
      </c>
      <c r="G447" s="95" t="s">
        <v>257</v>
      </c>
      <c r="H447" s="96">
        <v>43580</v>
      </c>
      <c r="I447" s="97">
        <v>5</v>
      </c>
    </row>
    <row r="448" spans="1:9" ht="13.5">
      <c r="A448" s="91" t="s">
        <v>705</v>
      </c>
      <c r="B448" s="92" t="s">
        <v>245</v>
      </c>
      <c r="C448" s="91" t="s">
        <v>705</v>
      </c>
      <c r="D448" s="91" t="s">
        <v>256</v>
      </c>
      <c r="E448" s="93">
        <v>32310</v>
      </c>
      <c r="F448" s="94">
        <f t="shared" ca="1" si="20"/>
        <v>28</v>
      </c>
      <c r="G448" s="95" t="s">
        <v>283</v>
      </c>
      <c r="H448" s="96">
        <v>43190</v>
      </c>
      <c r="I448" s="97">
        <v>2</v>
      </c>
    </row>
    <row r="449" spans="1:9" ht="13.5">
      <c r="A449" s="91" t="s">
        <v>705</v>
      </c>
      <c r="B449" s="92" t="s">
        <v>245</v>
      </c>
      <c r="C449" s="91" t="s">
        <v>705</v>
      </c>
      <c r="D449" s="91" t="s">
        <v>256</v>
      </c>
      <c r="E449" s="93">
        <v>32326</v>
      </c>
      <c r="F449" s="94">
        <f t="shared" ca="1" si="20"/>
        <v>28</v>
      </c>
      <c r="G449" s="95" t="s">
        <v>257</v>
      </c>
      <c r="H449" s="96">
        <v>26360</v>
      </c>
      <c r="I449" s="97">
        <v>1</v>
      </c>
    </row>
    <row r="450" spans="1:9" ht="13.5">
      <c r="A450" s="91" t="s">
        <v>705</v>
      </c>
      <c r="B450" s="92" t="s">
        <v>285</v>
      </c>
      <c r="C450" s="91" t="s">
        <v>705</v>
      </c>
      <c r="D450" s="91" t="s">
        <v>256</v>
      </c>
      <c r="E450" s="93">
        <v>32332</v>
      </c>
      <c r="F450" s="94">
        <f t="shared" ca="1" si="20"/>
        <v>28</v>
      </c>
      <c r="G450" s="95" t="s">
        <v>257</v>
      </c>
      <c r="H450" s="96">
        <v>79770</v>
      </c>
      <c r="I450" s="97">
        <v>4</v>
      </c>
    </row>
    <row r="451" spans="1:9" ht="13.5">
      <c r="A451" s="91" t="s">
        <v>705</v>
      </c>
      <c r="B451" s="92" t="s">
        <v>285</v>
      </c>
      <c r="C451" s="91" t="s">
        <v>705</v>
      </c>
      <c r="D451" s="91" t="s">
        <v>247</v>
      </c>
      <c r="E451" s="93">
        <v>32501</v>
      </c>
      <c r="F451" s="94">
        <f t="shared" ca="1" si="20"/>
        <v>27</v>
      </c>
      <c r="G451" s="95"/>
      <c r="H451" s="96">
        <v>32650</v>
      </c>
      <c r="I451" s="97">
        <v>1</v>
      </c>
    </row>
    <row r="452" spans="1:9" ht="13.5">
      <c r="A452" s="91" t="s">
        <v>705</v>
      </c>
      <c r="B452" s="92" t="s">
        <v>285</v>
      </c>
      <c r="C452" s="91" t="s">
        <v>705</v>
      </c>
      <c r="D452" s="91" t="s">
        <v>256</v>
      </c>
      <c r="E452" s="93">
        <v>32568</v>
      </c>
      <c r="F452" s="94">
        <f t="shared" ca="1" si="20"/>
        <v>27</v>
      </c>
      <c r="G452" s="95" t="s">
        <v>276</v>
      </c>
      <c r="H452" s="96">
        <v>75370</v>
      </c>
      <c r="I452" s="97">
        <v>2</v>
      </c>
    </row>
    <row r="453" spans="1:9" ht="13.5">
      <c r="A453" s="91" t="s">
        <v>705</v>
      </c>
      <c r="B453" s="92" t="s">
        <v>271</v>
      </c>
      <c r="C453" s="91" t="s">
        <v>705</v>
      </c>
      <c r="D453" s="91" t="s">
        <v>256</v>
      </c>
      <c r="E453" s="93">
        <v>32571</v>
      </c>
      <c r="F453" s="94">
        <f t="shared" ca="1" si="20"/>
        <v>27</v>
      </c>
      <c r="G453" s="95" t="s">
        <v>276</v>
      </c>
      <c r="H453" s="96">
        <v>46910</v>
      </c>
      <c r="I453" s="97">
        <v>3</v>
      </c>
    </row>
    <row r="454" spans="1:9" ht="13.5">
      <c r="A454" s="91" t="s">
        <v>705</v>
      </c>
      <c r="B454" s="92" t="s">
        <v>285</v>
      </c>
      <c r="C454" s="91" t="s">
        <v>705</v>
      </c>
      <c r="D454" s="91" t="s">
        <v>256</v>
      </c>
      <c r="E454" s="93">
        <v>32618</v>
      </c>
      <c r="F454" s="94">
        <f t="shared" ca="1" si="20"/>
        <v>27</v>
      </c>
      <c r="G454" s="95" t="s">
        <v>262</v>
      </c>
      <c r="H454" s="96">
        <v>68010</v>
      </c>
      <c r="I454" s="97">
        <v>1</v>
      </c>
    </row>
    <row r="455" spans="1:9" ht="13.5">
      <c r="A455" s="91" t="s">
        <v>705</v>
      </c>
      <c r="B455" s="92" t="s">
        <v>271</v>
      </c>
      <c r="C455" s="91" t="s">
        <v>705</v>
      </c>
      <c r="D455" s="91" t="s">
        <v>256</v>
      </c>
      <c r="E455" s="93">
        <v>32801</v>
      </c>
      <c r="F455" s="94">
        <f t="shared" ca="1" si="20"/>
        <v>27</v>
      </c>
      <c r="G455" s="95" t="s">
        <v>283</v>
      </c>
      <c r="H455" s="96">
        <v>73030</v>
      </c>
      <c r="I455" s="97">
        <v>5</v>
      </c>
    </row>
    <row r="456" spans="1:9" ht="13.5">
      <c r="A456" s="91" t="s">
        <v>705</v>
      </c>
      <c r="B456" s="92" t="s">
        <v>251</v>
      </c>
      <c r="C456" s="91" t="s">
        <v>705</v>
      </c>
      <c r="D456" s="91" t="s">
        <v>247</v>
      </c>
      <c r="E456" s="93">
        <v>33192</v>
      </c>
      <c r="F456" s="94">
        <f t="shared" ca="1" si="20"/>
        <v>25</v>
      </c>
      <c r="G456" s="95"/>
      <c r="H456" s="96">
        <v>66710</v>
      </c>
      <c r="I456" s="97">
        <v>2</v>
      </c>
    </row>
    <row r="457" spans="1:9" ht="13.5">
      <c r="A457" s="91" t="s">
        <v>705</v>
      </c>
      <c r="B457" s="92" t="s">
        <v>251</v>
      </c>
      <c r="C457" s="91" t="s">
        <v>705</v>
      </c>
      <c r="D457" s="91" t="s">
        <v>261</v>
      </c>
      <c r="E457" s="93">
        <v>33307</v>
      </c>
      <c r="F457" s="94">
        <f t="shared" ca="1" si="20"/>
        <v>25</v>
      </c>
      <c r="G457" s="95" t="s">
        <v>257</v>
      </c>
      <c r="H457" s="96">
        <v>13435</v>
      </c>
      <c r="I457" s="97">
        <v>1</v>
      </c>
    </row>
    <row r="458" spans="1:9" ht="13.5">
      <c r="A458" s="91" t="s">
        <v>705</v>
      </c>
      <c r="B458" s="92" t="s">
        <v>280</v>
      </c>
      <c r="C458" s="91" t="s">
        <v>705</v>
      </c>
      <c r="D458" s="91" t="s">
        <v>256</v>
      </c>
      <c r="E458" s="93">
        <v>33392</v>
      </c>
      <c r="F458" s="94">
        <f t="shared" ca="1" si="20"/>
        <v>25</v>
      </c>
      <c r="G458" s="95" t="s">
        <v>257</v>
      </c>
      <c r="H458" s="96">
        <v>87030</v>
      </c>
      <c r="I458" s="97">
        <v>3</v>
      </c>
    </row>
    <row r="459" spans="1:9" ht="13.5">
      <c r="A459" s="91" t="s">
        <v>705</v>
      </c>
      <c r="B459" s="92" t="s">
        <v>285</v>
      </c>
      <c r="C459" s="91" t="s">
        <v>705</v>
      </c>
      <c r="D459" s="91" t="s">
        <v>256</v>
      </c>
      <c r="E459" s="93">
        <v>33427</v>
      </c>
      <c r="F459" s="94">
        <f t="shared" ca="1" si="20"/>
        <v>25</v>
      </c>
      <c r="G459" s="95" t="s">
        <v>257</v>
      </c>
      <c r="H459" s="96">
        <v>88850</v>
      </c>
      <c r="I459" s="97">
        <v>3</v>
      </c>
    </row>
    <row r="460" spans="1:9" ht="13.5">
      <c r="A460" s="91" t="s">
        <v>705</v>
      </c>
      <c r="B460" s="92" t="s">
        <v>266</v>
      </c>
      <c r="C460" s="91" t="s">
        <v>705</v>
      </c>
      <c r="D460" s="91" t="s">
        <v>256</v>
      </c>
      <c r="E460" s="93">
        <v>33430</v>
      </c>
      <c r="F460" s="94">
        <f t="shared" ca="1" si="20"/>
        <v>25</v>
      </c>
      <c r="G460" s="95" t="s">
        <v>267</v>
      </c>
      <c r="H460" s="96">
        <v>77840</v>
      </c>
      <c r="I460" s="97">
        <v>2</v>
      </c>
    </row>
    <row r="461" spans="1:9" ht="13.5">
      <c r="A461" s="91" t="s">
        <v>705</v>
      </c>
      <c r="B461" s="92" t="s">
        <v>271</v>
      </c>
      <c r="C461" s="91" t="s">
        <v>705</v>
      </c>
      <c r="D461" s="91" t="s">
        <v>256</v>
      </c>
      <c r="E461" s="93">
        <v>33591</v>
      </c>
      <c r="F461" s="94">
        <f t="shared" ca="1" si="20"/>
        <v>24</v>
      </c>
      <c r="G461" s="95" t="s">
        <v>257</v>
      </c>
      <c r="H461" s="96">
        <v>25830</v>
      </c>
      <c r="I461" s="97">
        <v>5</v>
      </c>
    </row>
    <row r="462" spans="1:9" ht="13.5">
      <c r="A462" s="91" t="s">
        <v>705</v>
      </c>
      <c r="B462" s="92" t="s">
        <v>280</v>
      </c>
      <c r="C462" s="91" t="s">
        <v>705</v>
      </c>
      <c r="D462" s="91" t="s">
        <v>256</v>
      </c>
      <c r="E462" s="93">
        <v>33823</v>
      </c>
      <c r="F462" s="94">
        <f t="shared" ca="1" si="20"/>
        <v>24</v>
      </c>
      <c r="G462" s="95" t="s">
        <v>283</v>
      </c>
      <c r="H462" s="96">
        <v>63080</v>
      </c>
      <c r="I462" s="97">
        <v>5</v>
      </c>
    </row>
    <row r="463" spans="1:9" ht="13.5">
      <c r="A463" s="91" t="s">
        <v>705</v>
      </c>
      <c r="B463" s="92" t="s">
        <v>245</v>
      </c>
      <c r="C463" s="91" t="s">
        <v>705</v>
      </c>
      <c r="D463" s="91" t="s">
        <v>256</v>
      </c>
      <c r="E463" s="93">
        <v>34029</v>
      </c>
      <c r="F463" s="94">
        <f t="shared" ca="1" si="20"/>
        <v>23</v>
      </c>
      <c r="G463" s="95" t="s">
        <v>283</v>
      </c>
      <c r="H463" s="96">
        <v>43410</v>
      </c>
      <c r="I463" s="97">
        <v>1</v>
      </c>
    </row>
    <row r="464" spans="1:9" ht="13.5">
      <c r="A464" s="91" t="s">
        <v>705</v>
      </c>
      <c r="B464" s="92" t="s">
        <v>285</v>
      </c>
      <c r="C464" s="91" t="s">
        <v>705</v>
      </c>
      <c r="D464" s="91" t="s">
        <v>256</v>
      </c>
      <c r="E464" s="93">
        <v>34069</v>
      </c>
      <c r="F464" s="94">
        <f t="shared" ca="1" si="20"/>
        <v>23</v>
      </c>
      <c r="G464" s="95" t="s">
        <v>276</v>
      </c>
      <c r="H464" s="96">
        <v>67230</v>
      </c>
      <c r="I464" s="97">
        <v>4</v>
      </c>
    </row>
    <row r="465" spans="1:9" ht="13.5">
      <c r="A465" s="91" t="s">
        <v>705</v>
      </c>
      <c r="B465" s="92" t="s">
        <v>271</v>
      </c>
      <c r="C465" s="91" t="s">
        <v>705</v>
      </c>
      <c r="D465" s="91" t="s">
        <v>256</v>
      </c>
      <c r="E465" s="93">
        <v>34102</v>
      </c>
      <c r="F465" s="94">
        <f t="shared" ca="1" si="20"/>
        <v>23</v>
      </c>
      <c r="G465" s="95" t="s">
        <v>262</v>
      </c>
      <c r="H465" s="96">
        <v>77950</v>
      </c>
      <c r="I465" s="97">
        <v>4</v>
      </c>
    </row>
    <row r="466" spans="1:9" ht="13.5">
      <c r="A466" s="91" t="s">
        <v>705</v>
      </c>
      <c r="B466" s="92" t="s">
        <v>285</v>
      </c>
      <c r="C466" s="91" t="s">
        <v>705</v>
      </c>
      <c r="D466" s="91" t="s">
        <v>256</v>
      </c>
      <c r="E466" s="93">
        <v>34593</v>
      </c>
      <c r="F466" s="94">
        <f t="shared" ca="1" si="20"/>
        <v>22</v>
      </c>
      <c r="G466" s="95" t="s">
        <v>257</v>
      </c>
      <c r="H466" s="96">
        <v>68520</v>
      </c>
      <c r="I466" s="97">
        <v>5</v>
      </c>
    </row>
    <row r="467" spans="1:9" ht="13.5">
      <c r="A467" s="91" t="s">
        <v>705</v>
      </c>
      <c r="B467" s="92" t="s">
        <v>280</v>
      </c>
      <c r="C467" s="91" t="s">
        <v>705</v>
      </c>
      <c r="D467" s="91" t="s">
        <v>247</v>
      </c>
      <c r="E467" s="93">
        <v>34611</v>
      </c>
      <c r="F467" s="94">
        <f t="shared" ca="1" si="20"/>
        <v>22</v>
      </c>
      <c r="G467" s="95"/>
      <c r="H467" s="96">
        <v>63330</v>
      </c>
      <c r="I467" s="97">
        <v>4</v>
      </c>
    </row>
    <row r="468" spans="1:9" ht="13.5">
      <c r="A468" s="91" t="s">
        <v>705</v>
      </c>
      <c r="B468" s="92" t="s">
        <v>271</v>
      </c>
      <c r="C468" s="91" t="s">
        <v>705</v>
      </c>
      <c r="D468" s="91" t="s">
        <v>256</v>
      </c>
      <c r="E468" s="93">
        <v>34659</v>
      </c>
      <c r="F468" s="94">
        <f t="shared" ca="1" si="20"/>
        <v>21</v>
      </c>
      <c r="G468" s="95" t="s">
        <v>257</v>
      </c>
      <c r="H468" s="96">
        <v>74530</v>
      </c>
      <c r="I468" s="97">
        <v>5</v>
      </c>
    </row>
    <row r="469" spans="1:9" ht="13.5">
      <c r="A469" s="91" t="s">
        <v>705</v>
      </c>
      <c r="B469" s="92" t="s">
        <v>271</v>
      </c>
      <c r="C469" s="91" t="s">
        <v>705</v>
      </c>
      <c r="D469" s="91" t="s">
        <v>252</v>
      </c>
      <c r="E469" s="93">
        <v>35019</v>
      </c>
      <c r="F469" s="94">
        <f t="shared" ca="1" si="20"/>
        <v>20</v>
      </c>
      <c r="G469" s="95"/>
      <c r="H469" s="96">
        <v>39764</v>
      </c>
      <c r="I469" s="97">
        <v>1</v>
      </c>
    </row>
    <row r="470" spans="1:9" ht="13.5">
      <c r="A470" s="91" t="s">
        <v>705</v>
      </c>
      <c r="B470" s="92" t="s">
        <v>271</v>
      </c>
      <c r="C470" s="91" t="s">
        <v>705</v>
      </c>
      <c r="D470" s="91" t="s">
        <v>247</v>
      </c>
      <c r="E470" s="93">
        <v>35313</v>
      </c>
      <c r="F470" s="94">
        <f t="shared" ca="1" si="20"/>
        <v>20</v>
      </c>
      <c r="G470" s="95"/>
      <c r="H470" s="96">
        <v>30300</v>
      </c>
      <c r="I470" s="97">
        <v>1</v>
      </c>
    </row>
    <row r="471" spans="1:9" ht="13.5">
      <c r="A471" s="91" t="s">
        <v>705</v>
      </c>
      <c r="B471" s="92" t="s">
        <v>285</v>
      </c>
      <c r="C471" s="91" t="s">
        <v>705</v>
      </c>
      <c r="D471" s="91" t="s">
        <v>261</v>
      </c>
      <c r="E471" s="93">
        <v>35385</v>
      </c>
      <c r="F471" s="94">
        <f t="shared" ca="1" si="20"/>
        <v>19</v>
      </c>
      <c r="G471" s="95" t="s">
        <v>283</v>
      </c>
      <c r="H471" s="96">
        <v>29005</v>
      </c>
      <c r="I471" s="97">
        <v>1</v>
      </c>
    </row>
    <row r="472" spans="1:9" ht="13.5">
      <c r="A472" s="91" t="s">
        <v>705</v>
      </c>
      <c r="B472" s="92" t="s">
        <v>245</v>
      </c>
      <c r="C472" s="91" t="s">
        <v>705</v>
      </c>
      <c r="D472" s="91" t="s">
        <v>261</v>
      </c>
      <c r="E472" s="93">
        <v>36160</v>
      </c>
      <c r="F472" s="94">
        <f t="shared" ca="1" si="20"/>
        <v>17</v>
      </c>
      <c r="G472" s="95" t="s">
        <v>257</v>
      </c>
      <c r="H472" s="96">
        <v>33810</v>
      </c>
      <c r="I472" s="97">
        <v>5</v>
      </c>
    </row>
    <row r="473" spans="1:9" ht="13.5">
      <c r="A473" s="91" t="s">
        <v>705</v>
      </c>
      <c r="B473" s="92" t="s">
        <v>271</v>
      </c>
      <c r="C473" s="91" t="s">
        <v>705</v>
      </c>
      <c r="D473" s="91" t="s">
        <v>252</v>
      </c>
      <c r="E473" s="93">
        <v>36401</v>
      </c>
      <c r="F473" s="94">
        <f t="shared" ca="1" si="20"/>
        <v>17</v>
      </c>
      <c r="G473" s="95"/>
      <c r="H473" s="96">
        <v>21648</v>
      </c>
      <c r="I473" s="97">
        <v>2</v>
      </c>
    </row>
    <row r="474" spans="1:9" ht="13.5">
      <c r="A474" s="91" t="s">
        <v>705</v>
      </c>
      <c r="B474" s="92" t="s">
        <v>285</v>
      </c>
      <c r="C474" s="91" t="s">
        <v>705</v>
      </c>
      <c r="D474" s="91" t="s">
        <v>252</v>
      </c>
      <c r="E474" s="93">
        <v>36834</v>
      </c>
      <c r="F474" s="94">
        <f t="shared" ca="1" si="20"/>
        <v>16</v>
      </c>
      <c r="G474" s="95"/>
      <c r="H474" s="96">
        <v>33512</v>
      </c>
      <c r="I474" s="97">
        <v>4</v>
      </c>
    </row>
    <row r="475" spans="1:9" ht="13.5">
      <c r="A475" s="91" t="s">
        <v>705</v>
      </c>
      <c r="B475" s="92" t="s">
        <v>271</v>
      </c>
      <c r="C475" s="91" t="s">
        <v>705</v>
      </c>
      <c r="D475" s="91" t="s">
        <v>256</v>
      </c>
      <c r="E475" s="93">
        <v>36917</v>
      </c>
      <c r="F475" s="94">
        <f t="shared" ca="1" si="20"/>
        <v>15</v>
      </c>
      <c r="G475" s="95" t="s">
        <v>283</v>
      </c>
      <c r="H475" s="96">
        <v>86200</v>
      </c>
      <c r="I475" s="97">
        <v>3</v>
      </c>
    </row>
    <row r="476" spans="1:9" ht="13.5">
      <c r="A476" s="91" t="s">
        <v>705</v>
      </c>
      <c r="B476" s="92" t="s">
        <v>285</v>
      </c>
      <c r="C476" s="91" t="s">
        <v>705</v>
      </c>
      <c r="D476" s="91" t="s">
        <v>256</v>
      </c>
      <c r="E476" s="93">
        <v>37497</v>
      </c>
      <c r="F476" s="94">
        <f t="shared" ca="1" si="20"/>
        <v>14</v>
      </c>
      <c r="G476" s="95" t="s">
        <v>257</v>
      </c>
      <c r="H476" s="96">
        <v>47060</v>
      </c>
      <c r="I476" s="97">
        <v>4</v>
      </c>
    </row>
    <row r="477" spans="1:9" ht="13.5">
      <c r="A477" s="91" t="s">
        <v>705</v>
      </c>
      <c r="B477" s="92" t="s">
        <v>285</v>
      </c>
      <c r="C477" s="91" t="s">
        <v>705</v>
      </c>
      <c r="D477" s="91" t="s">
        <v>256</v>
      </c>
      <c r="E477" s="93">
        <v>37606</v>
      </c>
      <c r="F477" s="94">
        <f t="shared" ca="1" si="20"/>
        <v>13</v>
      </c>
      <c r="G477" s="95" t="s">
        <v>262</v>
      </c>
      <c r="H477" s="96">
        <v>27560</v>
      </c>
      <c r="I477" s="97">
        <v>2</v>
      </c>
    </row>
    <row r="478" spans="1:9" ht="13.5">
      <c r="A478" s="91" t="s">
        <v>705</v>
      </c>
      <c r="B478" s="92" t="s">
        <v>251</v>
      </c>
      <c r="C478" s="91" t="s">
        <v>705</v>
      </c>
      <c r="D478" s="91" t="s">
        <v>261</v>
      </c>
      <c r="E478" s="93">
        <v>37989</v>
      </c>
      <c r="F478" s="94">
        <f t="shared" ca="1" si="20"/>
        <v>12</v>
      </c>
      <c r="G478" s="95" t="s">
        <v>276</v>
      </c>
      <c r="H478" s="96">
        <v>47760</v>
      </c>
      <c r="I478" s="97">
        <v>3</v>
      </c>
    </row>
    <row r="479" spans="1:9" ht="13.5">
      <c r="A479" s="91" t="s">
        <v>705</v>
      </c>
      <c r="B479" s="92" t="s">
        <v>285</v>
      </c>
      <c r="C479" s="91" t="s">
        <v>705</v>
      </c>
      <c r="D479" s="91" t="s">
        <v>256</v>
      </c>
      <c r="E479" s="93">
        <v>38094</v>
      </c>
      <c r="F479" s="94">
        <f t="shared" ca="1" si="20"/>
        <v>12</v>
      </c>
      <c r="G479" s="95" t="s">
        <v>267</v>
      </c>
      <c r="H479" s="96">
        <v>50990</v>
      </c>
      <c r="I479" s="97">
        <v>4</v>
      </c>
    </row>
    <row r="480" spans="1:9" ht="13.5">
      <c r="A480" s="91" t="s">
        <v>705</v>
      </c>
      <c r="B480" s="92" t="s">
        <v>245</v>
      </c>
      <c r="C480" s="91" t="s">
        <v>705</v>
      </c>
      <c r="D480" s="91" t="s">
        <v>256</v>
      </c>
      <c r="E480" s="93">
        <v>38347</v>
      </c>
      <c r="F480" s="94">
        <f t="shared" ca="1" si="20"/>
        <v>11</v>
      </c>
      <c r="G480" s="95" t="s">
        <v>276</v>
      </c>
      <c r="H480" s="96">
        <v>80880</v>
      </c>
      <c r="I480" s="97">
        <v>1</v>
      </c>
    </row>
    <row r="481" spans="1:9" ht="13.5">
      <c r="A481" s="91" t="s">
        <v>705</v>
      </c>
      <c r="B481" s="92" t="s">
        <v>266</v>
      </c>
      <c r="C481" s="91" t="s">
        <v>705</v>
      </c>
      <c r="D481" s="91" t="s">
        <v>256</v>
      </c>
      <c r="E481" s="93">
        <v>38368</v>
      </c>
      <c r="F481" s="94">
        <f t="shared" ca="1" si="20"/>
        <v>11</v>
      </c>
      <c r="G481" s="95" t="s">
        <v>283</v>
      </c>
      <c r="H481" s="96">
        <v>80090</v>
      </c>
      <c r="I481" s="97">
        <v>2</v>
      </c>
    </row>
    <row r="482" spans="1:9" ht="13.5">
      <c r="A482" s="91" t="s">
        <v>705</v>
      </c>
      <c r="B482" s="92" t="s">
        <v>280</v>
      </c>
      <c r="C482" s="91" t="s">
        <v>705</v>
      </c>
      <c r="D482" s="91" t="s">
        <v>247</v>
      </c>
      <c r="E482" s="93">
        <v>38473</v>
      </c>
      <c r="F482" s="94">
        <f t="shared" ca="1" si="20"/>
        <v>11</v>
      </c>
      <c r="G482" s="95"/>
      <c r="H482" s="96">
        <v>54000</v>
      </c>
      <c r="I482" s="97">
        <v>3</v>
      </c>
    </row>
    <row r="483" spans="1:9" ht="13.5">
      <c r="A483" s="91" t="s">
        <v>705</v>
      </c>
      <c r="B483" s="92" t="s">
        <v>251</v>
      </c>
      <c r="C483" s="91" t="s">
        <v>705</v>
      </c>
      <c r="D483" s="91" t="s">
        <v>256</v>
      </c>
      <c r="E483" s="93">
        <v>39060</v>
      </c>
      <c r="F483" s="94">
        <f t="shared" ca="1" si="20"/>
        <v>9</v>
      </c>
      <c r="G483" s="95" t="s">
        <v>257</v>
      </c>
      <c r="H483" s="96">
        <v>66840</v>
      </c>
      <c r="I483" s="97">
        <v>4</v>
      </c>
    </row>
    <row r="484" spans="1:9" ht="13.5">
      <c r="A484" s="91" t="s">
        <v>705</v>
      </c>
      <c r="B484" s="92" t="s">
        <v>266</v>
      </c>
      <c r="C484" s="91" t="s">
        <v>705</v>
      </c>
      <c r="D484" s="91" t="s">
        <v>261</v>
      </c>
      <c r="E484" s="99">
        <v>39083</v>
      </c>
      <c r="F484" s="94">
        <f t="shared" ca="1" si="20"/>
        <v>9</v>
      </c>
      <c r="G484" s="95" t="s">
        <v>257</v>
      </c>
      <c r="H484" s="96">
        <v>16925</v>
      </c>
      <c r="I484" s="97">
        <v>1</v>
      </c>
    </row>
    <row r="485" spans="1:9" ht="13.5">
      <c r="A485" s="91" t="s">
        <v>705</v>
      </c>
      <c r="B485" s="92" t="s">
        <v>245</v>
      </c>
      <c r="C485" s="91" t="s">
        <v>705</v>
      </c>
      <c r="D485" s="91" t="s">
        <v>252</v>
      </c>
      <c r="E485" s="99">
        <v>39093</v>
      </c>
      <c r="F485" s="94">
        <f t="shared" ca="1" si="20"/>
        <v>9</v>
      </c>
      <c r="G485" s="95"/>
      <c r="H485" s="96">
        <v>15056</v>
      </c>
      <c r="I485" s="97">
        <v>5</v>
      </c>
    </row>
    <row r="486" spans="1:9" ht="13.5">
      <c r="A486" s="91" t="s">
        <v>705</v>
      </c>
      <c r="B486" s="92" t="s">
        <v>271</v>
      </c>
      <c r="C486" s="91" t="s">
        <v>705</v>
      </c>
      <c r="D486" s="91" t="s">
        <v>252</v>
      </c>
      <c r="E486" s="99">
        <v>39142</v>
      </c>
      <c r="F486" s="94">
        <f t="shared" ca="1" si="20"/>
        <v>9</v>
      </c>
      <c r="G486" s="95"/>
      <c r="H486" s="96">
        <v>9180</v>
      </c>
      <c r="I486" s="97">
        <v>3</v>
      </c>
    </row>
    <row r="487" spans="1:9" ht="13.5">
      <c r="A487" s="91" t="s">
        <v>705</v>
      </c>
      <c r="B487" s="92" t="s">
        <v>251</v>
      </c>
      <c r="C487" s="91" t="s">
        <v>705</v>
      </c>
      <c r="D487" s="91" t="s">
        <v>247</v>
      </c>
      <c r="E487" s="93">
        <v>39158</v>
      </c>
      <c r="F487" s="94">
        <f t="shared" ca="1" si="20"/>
        <v>9</v>
      </c>
      <c r="G487" s="95"/>
      <c r="H487" s="96">
        <v>39440</v>
      </c>
      <c r="I487" s="97">
        <v>4</v>
      </c>
    </row>
    <row r="488" spans="1:9" ht="13.5">
      <c r="A488" s="91" t="s">
        <v>705</v>
      </c>
      <c r="B488" s="92" t="s">
        <v>251</v>
      </c>
      <c r="C488" s="91" t="s">
        <v>705</v>
      </c>
      <c r="D488" s="91" t="s">
        <v>247</v>
      </c>
      <c r="E488" s="99">
        <v>39310</v>
      </c>
      <c r="F488" s="94">
        <f t="shared" ca="1" si="20"/>
        <v>9</v>
      </c>
      <c r="G488" s="95"/>
      <c r="H488" s="96">
        <v>84300</v>
      </c>
      <c r="I488" s="97">
        <v>1</v>
      </c>
    </row>
    <row r="489" spans="1:9" ht="13.5">
      <c r="A489" s="98"/>
      <c r="B489" s="92"/>
      <c r="C489" s="98"/>
      <c r="D489" s="91"/>
      <c r="E489" s="99"/>
      <c r="F489" s="94"/>
      <c r="G489" s="95"/>
      <c r="H489" s="96"/>
      <c r="I489" s="97"/>
    </row>
    <row r="490" spans="1:9" ht="13.5">
      <c r="A490" s="91" t="s">
        <v>750</v>
      </c>
      <c r="B490" s="92" t="s">
        <v>285</v>
      </c>
      <c r="C490" s="91" t="s">
        <v>750</v>
      </c>
      <c r="D490" s="91" t="s">
        <v>261</v>
      </c>
      <c r="E490" s="93">
        <v>31802</v>
      </c>
      <c r="F490" s="94">
        <f t="shared" ref="F490:F505" ca="1" si="21">DATEDIF(E490,TODAY(),"Y")</f>
        <v>29</v>
      </c>
      <c r="G490" s="95" t="s">
        <v>267</v>
      </c>
      <c r="H490" s="96">
        <v>24815</v>
      </c>
      <c r="I490" s="97">
        <v>1</v>
      </c>
    </row>
    <row r="491" spans="1:9" ht="13.5">
      <c r="A491" s="91" t="s">
        <v>750</v>
      </c>
      <c r="B491" s="92" t="s">
        <v>271</v>
      </c>
      <c r="C491" s="91" t="s">
        <v>750</v>
      </c>
      <c r="D491" s="91" t="s">
        <v>256</v>
      </c>
      <c r="E491" s="93">
        <v>31803</v>
      </c>
      <c r="F491" s="94">
        <f t="shared" ca="1" si="21"/>
        <v>29</v>
      </c>
      <c r="G491" s="95" t="s">
        <v>257</v>
      </c>
      <c r="H491" s="96">
        <v>32600</v>
      </c>
      <c r="I491" s="97">
        <v>5</v>
      </c>
    </row>
    <row r="492" spans="1:9" ht="13.5">
      <c r="A492" s="91" t="s">
        <v>750</v>
      </c>
      <c r="B492" s="92" t="s">
        <v>285</v>
      </c>
      <c r="C492" s="91" t="s">
        <v>750</v>
      </c>
      <c r="D492" s="91" t="s">
        <v>252</v>
      </c>
      <c r="E492" s="93">
        <v>31848</v>
      </c>
      <c r="F492" s="94">
        <f t="shared" ca="1" si="21"/>
        <v>29</v>
      </c>
      <c r="G492" s="95"/>
      <c r="H492" s="96">
        <v>33232</v>
      </c>
      <c r="I492" s="97">
        <v>4</v>
      </c>
    </row>
    <row r="493" spans="1:9" ht="13.5">
      <c r="A493" s="91" t="s">
        <v>750</v>
      </c>
      <c r="B493" s="92" t="s">
        <v>245</v>
      </c>
      <c r="C493" s="91" t="s">
        <v>750</v>
      </c>
      <c r="D493" s="91" t="s">
        <v>261</v>
      </c>
      <c r="E493" s="93">
        <v>31850</v>
      </c>
      <c r="F493" s="94">
        <f t="shared" ca="1" si="21"/>
        <v>29</v>
      </c>
      <c r="G493" s="95" t="s">
        <v>262</v>
      </c>
      <c r="H493" s="96">
        <v>39620</v>
      </c>
      <c r="I493" s="97">
        <v>5</v>
      </c>
    </row>
    <row r="494" spans="1:9" ht="13.5">
      <c r="A494" s="91" t="s">
        <v>750</v>
      </c>
      <c r="B494" s="92" t="s">
        <v>266</v>
      </c>
      <c r="C494" s="91" t="s">
        <v>750</v>
      </c>
      <c r="D494" s="91" t="s">
        <v>256</v>
      </c>
      <c r="E494" s="93">
        <v>31869</v>
      </c>
      <c r="F494" s="94">
        <f t="shared" ca="1" si="21"/>
        <v>29</v>
      </c>
      <c r="G494" s="95" t="s">
        <v>283</v>
      </c>
      <c r="H494" s="96">
        <v>43110</v>
      </c>
      <c r="I494" s="97">
        <v>2</v>
      </c>
    </row>
    <row r="495" spans="1:9" ht="13.5">
      <c r="A495" s="91" t="s">
        <v>750</v>
      </c>
      <c r="B495" s="92" t="s">
        <v>285</v>
      </c>
      <c r="C495" s="91" t="s">
        <v>750</v>
      </c>
      <c r="D495" s="91" t="s">
        <v>256</v>
      </c>
      <c r="E495" s="93">
        <v>31876</v>
      </c>
      <c r="F495" s="94">
        <f t="shared" ca="1" si="21"/>
        <v>29</v>
      </c>
      <c r="G495" s="95" t="s">
        <v>257</v>
      </c>
      <c r="H495" s="96">
        <v>40940</v>
      </c>
      <c r="I495" s="97">
        <v>3</v>
      </c>
    </row>
    <row r="496" spans="1:9" ht="13.5">
      <c r="A496" s="91" t="s">
        <v>750</v>
      </c>
      <c r="B496" s="92" t="s">
        <v>285</v>
      </c>
      <c r="C496" s="91" t="s">
        <v>750</v>
      </c>
      <c r="D496" s="91" t="s">
        <v>256</v>
      </c>
      <c r="E496" s="93">
        <v>31936</v>
      </c>
      <c r="F496" s="94">
        <f t="shared" ca="1" si="21"/>
        <v>29</v>
      </c>
      <c r="G496" s="95" t="s">
        <v>257</v>
      </c>
      <c r="H496" s="96">
        <v>71730</v>
      </c>
      <c r="I496" s="97">
        <v>1</v>
      </c>
    </row>
    <row r="497" spans="1:9" ht="13.5">
      <c r="A497" s="91" t="s">
        <v>750</v>
      </c>
      <c r="B497" s="92" t="s">
        <v>285</v>
      </c>
      <c r="C497" s="91" t="s">
        <v>750</v>
      </c>
      <c r="D497" s="91" t="s">
        <v>256</v>
      </c>
      <c r="E497" s="93">
        <v>31970</v>
      </c>
      <c r="F497" s="94">
        <f t="shared" ca="1" si="21"/>
        <v>29</v>
      </c>
      <c r="G497" s="95" t="s">
        <v>257</v>
      </c>
      <c r="H497" s="96">
        <v>87950</v>
      </c>
      <c r="I497" s="97">
        <v>4</v>
      </c>
    </row>
    <row r="498" spans="1:9" ht="13.5">
      <c r="A498" s="91" t="s">
        <v>750</v>
      </c>
      <c r="B498" s="92" t="s">
        <v>251</v>
      </c>
      <c r="C498" s="91" t="s">
        <v>750</v>
      </c>
      <c r="D498" s="91" t="s">
        <v>247</v>
      </c>
      <c r="E498" s="93">
        <v>31976</v>
      </c>
      <c r="F498" s="94">
        <f t="shared" ca="1" si="21"/>
        <v>29</v>
      </c>
      <c r="G498" s="95"/>
      <c r="H498" s="96">
        <v>49070</v>
      </c>
      <c r="I498" s="97">
        <v>3</v>
      </c>
    </row>
    <row r="499" spans="1:9" ht="13.5">
      <c r="A499" s="91" t="s">
        <v>750</v>
      </c>
      <c r="B499" s="92" t="s">
        <v>271</v>
      </c>
      <c r="C499" s="91" t="s">
        <v>750</v>
      </c>
      <c r="D499" s="91" t="s">
        <v>256</v>
      </c>
      <c r="E499" s="93">
        <v>32010</v>
      </c>
      <c r="F499" s="94">
        <f t="shared" ca="1" si="21"/>
        <v>29</v>
      </c>
      <c r="G499" s="95" t="s">
        <v>276</v>
      </c>
      <c r="H499" s="96">
        <v>35320</v>
      </c>
      <c r="I499" s="97">
        <v>3</v>
      </c>
    </row>
    <row r="500" spans="1:9" ht="13.5">
      <c r="A500" s="91" t="s">
        <v>750</v>
      </c>
      <c r="B500" s="92" t="s">
        <v>285</v>
      </c>
      <c r="C500" s="91" t="s">
        <v>750</v>
      </c>
      <c r="D500" s="91" t="s">
        <v>261</v>
      </c>
      <c r="E500" s="93">
        <v>32039</v>
      </c>
      <c r="F500" s="94">
        <f t="shared" ca="1" si="21"/>
        <v>29</v>
      </c>
      <c r="G500" s="95" t="s">
        <v>276</v>
      </c>
      <c r="H500" s="96">
        <v>16015</v>
      </c>
      <c r="I500" s="97">
        <v>3</v>
      </c>
    </row>
    <row r="501" spans="1:9" ht="13.5">
      <c r="A501" s="91" t="s">
        <v>750</v>
      </c>
      <c r="B501" s="92" t="s">
        <v>271</v>
      </c>
      <c r="C501" s="91" t="s">
        <v>750</v>
      </c>
      <c r="D501" s="91" t="s">
        <v>256</v>
      </c>
      <c r="E501" s="93">
        <v>32130</v>
      </c>
      <c r="F501" s="94">
        <f t="shared" ca="1" si="21"/>
        <v>28</v>
      </c>
      <c r="G501" s="95" t="s">
        <v>257</v>
      </c>
      <c r="H501" s="96">
        <v>69400</v>
      </c>
      <c r="I501" s="97">
        <v>5</v>
      </c>
    </row>
    <row r="502" spans="1:9" ht="13.5">
      <c r="A502" s="91" t="s">
        <v>750</v>
      </c>
      <c r="B502" s="92" t="s">
        <v>271</v>
      </c>
      <c r="C502" s="91" t="s">
        <v>750</v>
      </c>
      <c r="D502" s="91" t="s">
        <v>256</v>
      </c>
      <c r="E502" s="93">
        <v>32150</v>
      </c>
      <c r="F502" s="94">
        <f t="shared" ca="1" si="21"/>
        <v>28</v>
      </c>
      <c r="G502" s="95" t="s">
        <v>283</v>
      </c>
      <c r="H502" s="96">
        <v>77720</v>
      </c>
      <c r="I502" s="97">
        <v>3</v>
      </c>
    </row>
    <row r="503" spans="1:9" ht="13.5">
      <c r="A503" s="91" t="s">
        <v>750</v>
      </c>
      <c r="B503" s="92" t="s">
        <v>266</v>
      </c>
      <c r="C503" s="91" t="s">
        <v>750</v>
      </c>
      <c r="D503" s="91" t="s">
        <v>256</v>
      </c>
      <c r="E503" s="93">
        <v>32203</v>
      </c>
      <c r="F503" s="94">
        <f t="shared" ca="1" si="21"/>
        <v>28</v>
      </c>
      <c r="G503" s="95" t="s">
        <v>267</v>
      </c>
      <c r="H503" s="96">
        <v>44560</v>
      </c>
      <c r="I503" s="97">
        <v>2</v>
      </c>
    </row>
    <row r="504" spans="1:9" ht="13.5">
      <c r="A504" s="91" t="s">
        <v>750</v>
      </c>
      <c r="B504" s="92" t="s">
        <v>271</v>
      </c>
      <c r="C504" s="91" t="s">
        <v>750</v>
      </c>
      <c r="D504" s="91" t="s">
        <v>256</v>
      </c>
      <c r="E504" s="93">
        <v>32226</v>
      </c>
      <c r="F504" s="94">
        <f t="shared" ca="1" si="21"/>
        <v>28</v>
      </c>
      <c r="G504" s="95" t="s">
        <v>257</v>
      </c>
      <c r="H504" s="96">
        <v>81530</v>
      </c>
      <c r="I504" s="97">
        <v>5</v>
      </c>
    </row>
    <row r="505" spans="1:9" ht="13.5">
      <c r="A505" s="91" t="s">
        <v>750</v>
      </c>
      <c r="B505" s="92" t="s">
        <v>245</v>
      </c>
      <c r="C505" s="91" t="s">
        <v>750</v>
      </c>
      <c r="D505" s="91" t="s">
        <v>256</v>
      </c>
      <c r="E505" s="93">
        <v>32278</v>
      </c>
      <c r="F505" s="94">
        <f t="shared" ca="1" si="21"/>
        <v>28</v>
      </c>
      <c r="G505" s="95" t="s">
        <v>283</v>
      </c>
      <c r="H505" s="96">
        <v>44620</v>
      </c>
      <c r="I505" s="97">
        <v>5</v>
      </c>
    </row>
    <row r="506" spans="1:9" ht="13.5">
      <c r="A506" s="98"/>
      <c r="B506" s="92"/>
      <c r="C506" s="98"/>
      <c r="D506" s="91"/>
      <c r="E506" s="93"/>
      <c r="F506" s="94"/>
      <c r="G506" s="95"/>
      <c r="H506" s="96"/>
      <c r="I506" s="97"/>
    </row>
    <row r="507" spans="1:9" ht="13.5">
      <c r="A507" s="91" t="s">
        <v>767</v>
      </c>
      <c r="B507" s="92" t="s">
        <v>271</v>
      </c>
      <c r="C507" s="91" t="s">
        <v>767</v>
      </c>
      <c r="D507" s="91" t="s">
        <v>256</v>
      </c>
      <c r="E507" s="93">
        <v>31788</v>
      </c>
      <c r="F507" s="94">
        <f t="shared" ref="F507:F538" ca="1" si="22">DATEDIF(E507,TODAY(),"Y")</f>
        <v>29</v>
      </c>
      <c r="G507" s="95" t="s">
        <v>257</v>
      </c>
      <c r="H507" s="96">
        <v>48080</v>
      </c>
      <c r="I507" s="97">
        <v>2</v>
      </c>
    </row>
    <row r="508" spans="1:9" ht="13.5">
      <c r="A508" s="91" t="s">
        <v>767</v>
      </c>
      <c r="B508" s="92" t="s">
        <v>285</v>
      </c>
      <c r="C508" s="91" t="s">
        <v>767</v>
      </c>
      <c r="D508" s="91" t="s">
        <v>256</v>
      </c>
      <c r="E508" s="93">
        <v>31818</v>
      </c>
      <c r="F508" s="94">
        <f t="shared" ca="1" si="22"/>
        <v>29</v>
      </c>
      <c r="G508" s="95" t="s">
        <v>267</v>
      </c>
      <c r="H508" s="96">
        <v>46110</v>
      </c>
      <c r="I508" s="97">
        <v>4</v>
      </c>
    </row>
    <row r="509" spans="1:9" ht="13.5">
      <c r="A509" s="91" t="s">
        <v>767</v>
      </c>
      <c r="B509" s="92" t="s">
        <v>245</v>
      </c>
      <c r="C509" s="91" t="s">
        <v>767</v>
      </c>
      <c r="D509" s="91" t="s">
        <v>247</v>
      </c>
      <c r="E509" s="93">
        <v>31857</v>
      </c>
      <c r="F509" s="94">
        <f t="shared" ca="1" si="22"/>
        <v>29</v>
      </c>
      <c r="G509" s="95"/>
      <c r="H509" s="96">
        <v>23020</v>
      </c>
      <c r="I509" s="97">
        <v>4</v>
      </c>
    </row>
    <row r="510" spans="1:9" ht="13.5">
      <c r="A510" s="91" t="s">
        <v>767</v>
      </c>
      <c r="B510" s="92" t="s">
        <v>271</v>
      </c>
      <c r="C510" s="91" t="s">
        <v>767</v>
      </c>
      <c r="D510" s="91" t="s">
        <v>247</v>
      </c>
      <c r="E510" s="93">
        <v>31924</v>
      </c>
      <c r="F510" s="94">
        <f t="shared" ca="1" si="22"/>
        <v>29</v>
      </c>
      <c r="G510" s="95"/>
      <c r="H510" s="96">
        <v>58650</v>
      </c>
      <c r="I510" s="97">
        <v>4</v>
      </c>
    </row>
    <row r="511" spans="1:9" ht="13.5">
      <c r="A511" s="91" t="s">
        <v>767</v>
      </c>
      <c r="B511" s="92" t="s">
        <v>271</v>
      </c>
      <c r="C511" s="91" t="s">
        <v>767</v>
      </c>
      <c r="D511" s="91" t="s">
        <v>256</v>
      </c>
      <c r="E511" s="93">
        <v>32051</v>
      </c>
      <c r="F511" s="94">
        <f t="shared" ca="1" si="22"/>
        <v>29</v>
      </c>
      <c r="G511" s="95" t="s">
        <v>257</v>
      </c>
      <c r="H511" s="96">
        <v>24090</v>
      </c>
      <c r="I511" s="97">
        <v>4</v>
      </c>
    </row>
    <row r="512" spans="1:9" ht="13.5">
      <c r="A512" s="91" t="s">
        <v>767</v>
      </c>
      <c r="B512" s="92" t="s">
        <v>271</v>
      </c>
      <c r="C512" s="91" t="s">
        <v>767</v>
      </c>
      <c r="D512" s="91" t="s">
        <v>247</v>
      </c>
      <c r="E512" s="93">
        <v>32092</v>
      </c>
      <c r="F512" s="94">
        <f t="shared" ca="1" si="22"/>
        <v>28</v>
      </c>
      <c r="G512" s="95"/>
      <c r="H512" s="96">
        <v>79380</v>
      </c>
      <c r="I512" s="97">
        <v>1</v>
      </c>
    </row>
    <row r="513" spans="1:9" ht="13.5">
      <c r="A513" s="91" t="s">
        <v>767</v>
      </c>
      <c r="B513" s="92" t="s">
        <v>271</v>
      </c>
      <c r="C513" s="91" t="s">
        <v>767</v>
      </c>
      <c r="D513" s="91" t="s">
        <v>256</v>
      </c>
      <c r="E513" s="93">
        <v>32150</v>
      </c>
      <c r="F513" s="94">
        <f t="shared" ca="1" si="22"/>
        <v>28</v>
      </c>
      <c r="G513" s="95" t="s">
        <v>267</v>
      </c>
      <c r="H513" s="96">
        <v>77740</v>
      </c>
      <c r="I513" s="97">
        <v>1</v>
      </c>
    </row>
    <row r="514" spans="1:9" ht="13.5">
      <c r="A514" s="91" t="s">
        <v>767</v>
      </c>
      <c r="B514" s="92" t="s">
        <v>271</v>
      </c>
      <c r="C514" s="91" t="s">
        <v>767</v>
      </c>
      <c r="D514" s="91" t="s">
        <v>256</v>
      </c>
      <c r="E514" s="93">
        <v>32200</v>
      </c>
      <c r="F514" s="94">
        <f t="shared" ca="1" si="22"/>
        <v>28</v>
      </c>
      <c r="G514" s="95" t="s">
        <v>262</v>
      </c>
      <c r="H514" s="96">
        <v>54500</v>
      </c>
      <c r="I514" s="97">
        <v>5</v>
      </c>
    </row>
    <row r="515" spans="1:9" ht="13.5">
      <c r="A515" s="91" t="s">
        <v>767</v>
      </c>
      <c r="B515" s="92" t="s">
        <v>271</v>
      </c>
      <c r="C515" s="91" t="s">
        <v>767</v>
      </c>
      <c r="D515" s="91" t="s">
        <v>247</v>
      </c>
      <c r="E515" s="93">
        <v>32205</v>
      </c>
      <c r="F515" s="94">
        <f t="shared" ca="1" si="22"/>
        <v>28</v>
      </c>
      <c r="G515" s="95"/>
      <c r="H515" s="96">
        <v>52750</v>
      </c>
      <c r="I515" s="97">
        <v>1</v>
      </c>
    </row>
    <row r="516" spans="1:9" ht="13.5">
      <c r="A516" s="91" t="s">
        <v>767</v>
      </c>
      <c r="B516" s="92" t="s">
        <v>271</v>
      </c>
      <c r="C516" s="91" t="s">
        <v>767</v>
      </c>
      <c r="D516" s="91" t="s">
        <v>256</v>
      </c>
      <c r="E516" s="93">
        <v>32216</v>
      </c>
      <c r="F516" s="94">
        <f t="shared" ca="1" si="22"/>
        <v>28</v>
      </c>
      <c r="G516" s="95" t="s">
        <v>267</v>
      </c>
      <c r="H516" s="96">
        <v>79400</v>
      </c>
      <c r="I516" s="97">
        <v>4</v>
      </c>
    </row>
    <row r="517" spans="1:9" ht="13.5">
      <c r="A517" s="91" t="s">
        <v>767</v>
      </c>
      <c r="B517" s="92" t="s">
        <v>285</v>
      </c>
      <c r="C517" s="91" t="s">
        <v>767</v>
      </c>
      <c r="D517" s="91" t="s">
        <v>256</v>
      </c>
      <c r="E517" s="93">
        <v>32263</v>
      </c>
      <c r="F517" s="94">
        <f t="shared" ca="1" si="22"/>
        <v>28</v>
      </c>
      <c r="G517" s="95" t="s">
        <v>276</v>
      </c>
      <c r="H517" s="96">
        <v>71680</v>
      </c>
      <c r="I517" s="97">
        <v>4</v>
      </c>
    </row>
    <row r="518" spans="1:9" ht="13.5">
      <c r="A518" s="91" t="s">
        <v>767</v>
      </c>
      <c r="B518" s="92" t="s">
        <v>245</v>
      </c>
      <c r="C518" s="91" t="s">
        <v>767</v>
      </c>
      <c r="D518" s="91" t="s">
        <v>247</v>
      </c>
      <c r="E518" s="93">
        <v>32268</v>
      </c>
      <c r="F518" s="94">
        <f t="shared" ca="1" si="22"/>
        <v>28</v>
      </c>
      <c r="G518" s="95"/>
      <c r="H518" s="96">
        <v>50840</v>
      </c>
      <c r="I518" s="97">
        <v>4</v>
      </c>
    </row>
    <row r="519" spans="1:9" ht="13.5">
      <c r="A519" s="91" t="s">
        <v>767</v>
      </c>
      <c r="B519" s="92" t="s">
        <v>245</v>
      </c>
      <c r="C519" s="91" t="s">
        <v>767</v>
      </c>
      <c r="D519" s="91" t="s">
        <v>247</v>
      </c>
      <c r="E519" s="93">
        <v>32328</v>
      </c>
      <c r="F519" s="94">
        <f t="shared" ca="1" si="22"/>
        <v>28</v>
      </c>
      <c r="G519" s="95"/>
      <c r="H519" s="96">
        <v>47590</v>
      </c>
      <c r="I519" s="97">
        <v>3</v>
      </c>
    </row>
    <row r="520" spans="1:9" ht="13.5">
      <c r="A520" s="91" t="s">
        <v>767</v>
      </c>
      <c r="B520" s="92" t="s">
        <v>245</v>
      </c>
      <c r="C520" s="91" t="s">
        <v>767</v>
      </c>
      <c r="D520" s="91" t="s">
        <v>247</v>
      </c>
      <c r="E520" s="93">
        <v>32348</v>
      </c>
      <c r="F520" s="94">
        <f t="shared" ca="1" si="22"/>
        <v>28</v>
      </c>
      <c r="G520" s="95"/>
      <c r="H520" s="96">
        <v>60550</v>
      </c>
      <c r="I520" s="97">
        <v>2</v>
      </c>
    </row>
    <row r="521" spans="1:9" ht="13.5">
      <c r="A521" s="91" t="s">
        <v>767</v>
      </c>
      <c r="B521" s="92" t="s">
        <v>245</v>
      </c>
      <c r="C521" s="91" t="s">
        <v>767</v>
      </c>
      <c r="D521" s="91" t="s">
        <v>261</v>
      </c>
      <c r="E521" s="93">
        <v>32361</v>
      </c>
      <c r="F521" s="94">
        <f t="shared" ca="1" si="22"/>
        <v>28</v>
      </c>
      <c r="G521" s="95" t="s">
        <v>257</v>
      </c>
      <c r="H521" s="96">
        <v>46380</v>
      </c>
      <c r="I521" s="97">
        <v>3</v>
      </c>
    </row>
    <row r="522" spans="1:9" ht="13.5">
      <c r="A522" s="91" t="s">
        <v>767</v>
      </c>
      <c r="B522" s="92" t="s">
        <v>271</v>
      </c>
      <c r="C522" s="91" t="s">
        <v>767</v>
      </c>
      <c r="D522" s="91" t="s">
        <v>247</v>
      </c>
      <c r="E522" s="93">
        <v>32639</v>
      </c>
      <c r="F522" s="94">
        <f t="shared" ca="1" si="22"/>
        <v>27</v>
      </c>
      <c r="G522" s="95"/>
      <c r="H522" s="96">
        <v>44720</v>
      </c>
      <c r="I522" s="97">
        <v>2</v>
      </c>
    </row>
    <row r="523" spans="1:9" ht="13.5">
      <c r="A523" s="91" t="s">
        <v>767</v>
      </c>
      <c r="B523" s="92" t="s">
        <v>271</v>
      </c>
      <c r="C523" s="91" t="s">
        <v>767</v>
      </c>
      <c r="D523" s="91" t="s">
        <v>256</v>
      </c>
      <c r="E523" s="93">
        <v>32751</v>
      </c>
      <c r="F523" s="94">
        <f t="shared" ca="1" si="22"/>
        <v>27</v>
      </c>
      <c r="G523" s="95" t="s">
        <v>257</v>
      </c>
      <c r="H523" s="96">
        <v>23320</v>
      </c>
      <c r="I523" s="97">
        <v>4</v>
      </c>
    </row>
    <row r="524" spans="1:9" ht="13.5">
      <c r="A524" s="91" t="s">
        <v>767</v>
      </c>
      <c r="B524" s="92" t="s">
        <v>285</v>
      </c>
      <c r="C524" s="91" t="s">
        <v>767</v>
      </c>
      <c r="D524" s="91" t="s">
        <v>256</v>
      </c>
      <c r="E524" s="93">
        <v>32839</v>
      </c>
      <c r="F524" s="94">
        <f t="shared" ca="1" si="22"/>
        <v>26</v>
      </c>
      <c r="G524" s="95" t="s">
        <v>276</v>
      </c>
      <c r="H524" s="96">
        <v>63440</v>
      </c>
      <c r="I524" s="97">
        <v>3</v>
      </c>
    </row>
    <row r="525" spans="1:9" ht="13.5">
      <c r="A525" s="91" t="s">
        <v>767</v>
      </c>
      <c r="B525" s="92" t="s">
        <v>271</v>
      </c>
      <c r="C525" s="91" t="s">
        <v>767</v>
      </c>
      <c r="D525" s="91" t="s">
        <v>256</v>
      </c>
      <c r="E525" s="93">
        <v>32859</v>
      </c>
      <c r="F525" s="94">
        <f t="shared" ca="1" si="22"/>
        <v>26</v>
      </c>
      <c r="G525" s="95" t="s">
        <v>267</v>
      </c>
      <c r="H525" s="96">
        <v>69420</v>
      </c>
      <c r="I525" s="97">
        <v>2</v>
      </c>
    </row>
    <row r="526" spans="1:9" ht="13.5">
      <c r="A526" s="91" t="s">
        <v>767</v>
      </c>
      <c r="B526" s="92" t="s">
        <v>271</v>
      </c>
      <c r="C526" s="91" t="s">
        <v>767</v>
      </c>
      <c r="D526" s="91" t="s">
        <v>256</v>
      </c>
      <c r="E526" s="93">
        <v>32912</v>
      </c>
      <c r="F526" s="94">
        <f t="shared" ca="1" si="22"/>
        <v>26</v>
      </c>
      <c r="G526" s="95" t="s">
        <v>257</v>
      </c>
      <c r="H526" s="96">
        <v>62688</v>
      </c>
      <c r="I526" s="97">
        <v>2</v>
      </c>
    </row>
    <row r="527" spans="1:9" ht="13.5">
      <c r="A527" s="91" t="s">
        <v>767</v>
      </c>
      <c r="B527" s="92" t="s">
        <v>271</v>
      </c>
      <c r="C527" s="91" t="s">
        <v>767</v>
      </c>
      <c r="D527" s="91" t="s">
        <v>247</v>
      </c>
      <c r="E527" s="93">
        <v>33168</v>
      </c>
      <c r="F527" s="94">
        <f t="shared" ca="1" si="22"/>
        <v>26</v>
      </c>
      <c r="G527" s="95"/>
      <c r="H527" s="96">
        <v>56650</v>
      </c>
      <c r="I527" s="97">
        <v>1</v>
      </c>
    </row>
    <row r="528" spans="1:9" ht="13.5">
      <c r="A528" s="91" t="s">
        <v>767</v>
      </c>
      <c r="B528" s="92" t="s">
        <v>285</v>
      </c>
      <c r="C528" s="91" t="s">
        <v>767</v>
      </c>
      <c r="D528" s="91" t="s">
        <v>247</v>
      </c>
      <c r="E528" s="93">
        <v>33348</v>
      </c>
      <c r="F528" s="94">
        <f t="shared" ca="1" si="22"/>
        <v>25</v>
      </c>
      <c r="G528" s="95"/>
      <c r="H528" s="96">
        <v>85980</v>
      </c>
      <c r="I528" s="97">
        <v>2</v>
      </c>
    </row>
    <row r="529" spans="1:9" ht="13.5">
      <c r="A529" s="91" t="s">
        <v>767</v>
      </c>
      <c r="B529" s="92" t="s">
        <v>280</v>
      </c>
      <c r="C529" s="91" t="s">
        <v>767</v>
      </c>
      <c r="D529" s="91" t="s">
        <v>256</v>
      </c>
      <c r="E529" s="93">
        <v>33383</v>
      </c>
      <c r="F529" s="94">
        <f t="shared" ca="1" si="22"/>
        <v>25</v>
      </c>
      <c r="G529" s="95" t="s">
        <v>262</v>
      </c>
      <c r="H529" s="96">
        <v>88820</v>
      </c>
      <c r="I529" s="97">
        <v>2</v>
      </c>
    </row>
    <row r="530" spans="1:9" ht="13.5">
      <c r="A530" s="91" t="s">
        <v>767</v>
      </c>
      <c r="B530" s="92" t="s">
        <v>271</v>
      </c>
      <c r="C530" s="91" t="s">
        <v>767</v>
      </c>
      <c r="D530" s="91" t="s">
        <v>247</v>
      </c>
      <c r="E530" s="93">
        <v>33416</v>
      </c>
      <c r="F530" s="94">
        <f t="shared" ca="1" si="22"/>
        <v>25</v>
      </c>
      <c r="G530" s="95"/>
      <c r="H530" s="96">
        <v>33120</v>
      </c>
      <c r="I530" s="97">
        <v>2</v>
      </c>
    </row>
    <row r="531" spans="1:9" ht="13.5">
      <c r="A531" s="91" t="s">
        <v>767</v>
      </c>
      <c r="B531" s="92" t="s">
        <v>245</v>
      </c>
      <c r="C531" s="91" t="s">
        <v>767</v>
      </c>
      <c r="D531" s="91" t="s">
        <v>261</v>
      </c>
      <c r="E531" s="93">
        <v>33483</v>
      </c>
      <c r="F531" s="94">
        <f t="shared" ca="1" si="22"/>
        <v>25</v>
      </c>
      <c r="G531" s="95" t="s">
        <v>283</v>
      </c>
      <c r="H531" s="96">
        <v>10700</v>
      </c>
      <c r="I531" s="97">
        <v>4</v>
      </c>
    </row>
    <row r="532" spans="1:9" ht="13.5">
      <c r="A532" s="91" t="s">
        <v>767</v>
      </c>
      <c r="B532" s="92" t="s">
        <v>280</v>
      </c>
      <c r="C532" s="91" t="s">
        <v>767</v>
      </c>
      <c r="D532" s="91" t="s">
        <v>247</v>
      </c>
      <c r="E532" s="93">
        <v>33605</v>
      </c>
      <c r="F532" s="94">
        <f t="shared" ca="1" si="22"/>
        <v>24</v>
      </c>
      <c r="G532" s="95"/>
      <c r="H532" s="96">
        <v>76870</v>
      </c>
      <c r="I532" s="97">
        <v>5</v>
      </c>
    </row>
    <row r="533" spans="1:9" ht="13.5">
      <c r="A533" s="91" t="s">
        <v>767</v>
      </c>
      <c r="B533" s="92" t="s">
        <v>245</v>
      </c>
      <c r="C533" s="91" t="s">
        <v>767</v>
      </c>
      <c r="D533" s="91" t="s">
        <v>256</v>
      </c>
      <c r="E533" s="93">
        <v>33679</v>
      </c>
      <c r="F533" s="94">
        <f t="shared" ca="1" si="22"/>
        <v>24</v>
      </c>
      <c r="G533" s="95" t="s">
        <v>257</v>
      </c>
      <c r="H533" s="96">
        <v>50570</v>
      </c>
      <c r="I533" s="97">
        <v>4</v>
      </c>
    </row>
    <row r="534" spans="1:9" ht="13.5">
      <c r="A534" s="91" t="s">
        <v>767</v>
      </c>
      <c r="B534" s="92" t="s">
        <v>245</v>
      </c>
      <c r="C534" s="91" t="s">
        <v>767</v>
      </c>
      <c r="D534" s="91" t="s">
        <v>256</v>
      </c>
      <c r="E534" s="93">
        <v>33784</v>
      </c>
      <c r="F534" s="94">
        <f t="shared" ca="1" si="22"/>
        <v>24</v>
      </c>
      <c r="G534" s="95" t="s">
        <v>262</v>
      </c>
      <c r="H534" s="96">
        <v>61148</v>
      </c>
      <c r="I534" s="97">
        <v>2</v>
      </c>
    </row>
    <row r="535" spans="1:9" ht="13.5">
      <c r="A535" s="91" t="s">
        <v>767</v>
      </c>
      <c r="B535" s="92" t="s">
        <v>285</v>
      </c>
      <c r="C535" s="91" t="s">
        <v>767</v>
      </c>
      <c r="D535" s="91" t="s">
        <v>247</v>
      </c>
      <c r="E535" s="93">
        <v>33836</v>
      </c>
      <c r="F535" s="94">
        <f t="shared" ca="1" si="22"/>
        <v>24</v>
      </c>
      <c r="G535" s="95"/>
      <c r="H535" s="96">
        <v>73190</v>
      </c>
      <c r="I535" s="97">
        <v>1</v>
      </c>
    </row>
    <row r="536" spans="1:9" ht="13.5">
      <c r="A536" s="91" t="s">
        <v>767</v>
      </c>
      <c r="B536" s="92" t="s">
        <v>245</v>
      </c>
      <c r="C536" s="91" t="s">
        <v>767</v>
      </c>
      <c r="D536" s="91" t="s">
        <v>256</v>
      </c>
      <c r="E536" s="93">
        <v>33841</v>
      </c>
      <c r="F536" s="94">
        <f t="shared" ca="1" si="22"/>
        <v>24</v>
      </c>
      <c r="G536" s="95" t="s">
        <v>276</v>
      </c>
      <c r="H536" s="96">
        <v>29760</v>
      </c>
      <c r="I536" s="97">
        <v>2</v>
      </c>
    </row>
    <row r="537" spans="1:9" ht="13.5">
      <c r="A537" s="91" t="s">
        <v>767</v>
      </c>
      <c r="B537" s="92" t="s">
        <v>245</v>
      </c>
      <c r="C537" s="91" t="s">
        <v>767</v>
      </c>
      <c r="D537" s="91" t="s">
        <v>256</v>
      </c>
      <c r="E537" s="93">
        <v>33841</v>
      </c>
      <c r="F537" s="94">
        <f t="shared" ca="1" si="22"/>
        <v>24</v>
      </c>
      <c r="G537" s="95" t="s">
        <v>276</v>
      </c>
      <c r="H537" s="96">
        <v>29760</v>
      </c>
      <c r="I537" s="97">
        <v>2</v>
      </c>
    </row>
    <row r="538" spans="1:9" ht="13.5">
      <c r="A538" s="91" t="s">
        <v>767</v>
      </c>
      <c r="B538" s="92" t="s">
        <v>285</v>
      </c>
      <c r="C538" s="91" t="s">
        <v>767</v>
      </c>
      <c r="D538" s="91" t="s">
        <v>256</v>
      </c>
      <c r="E538" s="93">
        <v>33859</v>
      </c>
      <c r="F538" s="94">
        <f t="shared" ca="1" si="22"/>
        <v>24</v>
      </c>
      <c r="G538" s="95" t="s">
        <v>276</v>
      </c>
      <c r="H538" s="96">
        <v>72640</v>
      </c>
      <c r="I538" s="97">
        <v>3</v>
      </c>
    </row>
    <row r="539" spans="1:9" ht="13.5">
      <c r="A539" s="91" t="s">
        <v>767</v>
      </c>
      <c r="B539" s="92" t="s">
        <v>271</v>
      </c>
      <c r="C539" s="91" t="s">
        <v>767</v>
      </c>
      <c r="D539" s="91" t="s">
        <v>256</v>
      </c>
      <c r="E539" s="93">
        <v>33909</v>
      </c>
      <c r="F539" s="94">
        <f t="shared" ref="F539:F570" ca="1" si="23">DATEDIF(E539,TODAY(),"Y")</f>
        <v>24</v>
      </c>
      <c r="G539" s="95" t="s">
        <v>257</v>
      </c>
      <c r="H539" s="96">
        <v>47340</v>
      </c>
      <c r="I539" s="97">
        <v>2</v>
      </c>
    </row>
    <row r="540" spans="1:9" ht="13.5">
      <c r="A540" s="91" t="s">
        <v>767</v>
      </c>
      <c r="B540" s="92" t="s">
        <v>245</v>
      </c>
      <c r="C540" s="91" t="s">
        <v>767</v>
      </c>
      <c r="D540" s="91" t="s">
        <v>256</v>
      </c>
      <c r="E540" s="93">
        <v>33976</v>
      </c>
      <c r="F540" s="94">
        <f t="shared" ca="1" si="23"/>
        <v>23</v>
      </c>
      <c r="G540" s="95" t="s">
        <v>262</v>
      </c>
      <c r="H540" s="96">
        <v>72700</v>
      </c>
      <c r="I540" s="97">
        <v>5</v>
      </c>
    </row>
    <row r="541" spans="1:9" ht="13.5">
      <c r="A541" s="91" t="s">
        <v>767</v>
      </c>
      <c r="B541" s="92" t="s">
        <v>285</v>
      </c>
      <c r="C541" s="91" t="s">
        <v>767</v>
      </c>
      <c r="D541" s="91" t="s">
        <v>247</v>
      </c>
      <c r="E541" s="93">
        <v>33991</v>
      </c>
      <c r="F541" s="94">
        <f t="shared" ca="1" si="23"/>
        <v>23</v>
      </c>
      <c r="G541" s="95"/>
      <c r="H541" s="96">
        <v>60070</v>
      </c>
      <c r="I541" s="97">
        <v>2</v>
      </c>
    </row>
    <row r="542" spans="1:9" ht="13.5">
      <c r="A542" s="91" t="s">
        <v>767</v>
      </c>
      <c r="B542" s="92" t="s">
        <v>285</v>
      </c>
      <c r="C542" s="91" t="s">
        <v>767</v>
      </c>
      <c r="D542" s="91" t="s">
        <v>256</v>
      </c>
      <c r="E542" s="93">
        <v>34218</v>
      </c>
      <c r="F542" s="94">
        <f t="shared" ca="1" si="23"/>
        <v>23</v>
      </c>
      <c r="G542" s="95" t="s">
        <v>257</v>
      </c>
      <c r="H542" s="96">
        <v>63270</v>
      </c>
      <c r="I542" s="97">
        <v>1</v>
      </c>
    </row>
    <row r="543" spans="1:9" ht="13.5">
      <c r="A543" s="91" t="s">
        <v>767</v>
      </c>
      <c r="B543" s="92" t="s">
        <v>245</v>
      </c>
      <c r="C543" s="91" t="s">
        <v>767</v>
      </c>
      <c r="D543" s="91" t="s">
        <v>247</v>
      </c>
      <c r="E543" s="93">
        <v>34231</v>
      </c>
      <c r="F543" s="94">
        <f t="shared" ca="1" si="23"/>
        <v>23</v>
      </c>
      <c r="G543" s="95"/>
      <c r="H543" s="96">
        <v>49530</v>
      </c>
      <c r="I543" s="97">
        <v>4</v>
      </c>
    </row>
    <row r="544" spans="1:9" ht="13.5">
      <c r="A544" s="91" t="s">
        <v>767</v>
      </c>
      <c r="B544" s="92" t="s">
        <v>285</v>
      </c>
      <c r="C544" s="91" t="s">
        <v>767</v>
      </c>
      <c r="D544" s="91" t="s">
        <v>256</v>
      </c>
      <c r="E544" s="93">
        <v>34306</v>
      </c>
      <c r="F544" s="94">
        <f t="shared" ca="1" si="23"/>
        <v>22</v>
      </c>
      <c r="G544" s="95" t="s">
        <v>283</v>
      </c>
      <c r="H544" s="96">
        <v>34060</v>
      </c>
      <c r="I544" s="97">
        <v>2</v>
      </c>
    </row>
    <row r="545" spans="1:9" ht="13.5">
      <c r="A545" s="91" t="s">
        <v>767</v>
      </c>
      <c r="B545" s="92" t="s">
        <v>285</v>
      </c>
      <c r="C545" s="91" t="s">
        <v>767</v>
      </c>
      <c r="D545" s="91" t="s">
        <v>256</v>
      </c>
      <c r="E545" s="93">
        <v>34383</v>
      </c>
      <c r="F545" s="94">
        <f t="shared" ca="1" si="23"/>
        <v>22</v>
      </c>
      <c r="G545" s="95" t="s">
        <v>262</v>
      </c>
      <c r="H545" s="96">
        <v>24340</v>
      </c>
      <c r="I545" s="97">
        <v>4</v>
      </c>
    </row>
    <row r="546" spans="1:9" ht="13.5">
      <c r="A546" s="91" t="s">
        <v>767</v>
      </c>
      <c r="B546" s="92" t="s">
        <v>251</v>
      </c>
      <c r="C546" s="91" t="s">
        <v>767</v>
      </c>
      <c r="D546" s="91" t="s">
        <v>247</v>
      </c>
      <c r="E546" s="93">
        <v>34389</v>
      </c>
      <c r="F546" s="94">
        <f t="shared" ca="1" si="23"/>
        <v>22</v>
      </c>
      <c r="G546" s="95"/>
      <c r="H546" s="96">
        <v>36230</v>
      </c>
      <c r="I546" s="97">
        <v>2</v>
      </c>
    </row>
    <row r="547" spans="1:9" ht="13.5">
      <c r="A547" s="91" t="s">
        <v>767</v>
      </c>
      <c r="B547" s="92" t="s">
        <v>245</v>
      </c>
      <c r="C547" s="91" t="s">
        <v>767</v>
      </c>
      <c r="D547" s="91" t="s">
        <v>256</v>
      </c>
      <c r="E547" s="93">
        <v>34511</v>
      </c>
      <c r="F547" s="94">
        <f t="shared" ca="1" si="23"/>
        <v>22</v>
      </c>
      <c r="G547" s="95" t="s">
        <v>267</v>
      </c>
      <c r="H547" s="96">
        <v>22870</v>
      </c>
      <c r="I547" s="97">
        <v>3</v>
      </c>
    </row>
    <row r="548" spans="1:9" ht="13.5">
      <c r="A548" s="91" t="s">
        <v>767</v>
      </c>
      <c r="B548" s="92" t="s">
        <v>280</v>
      </c>
      <c r="C548" s="91" t="s">
        <v>767</v>
      </c>
      <c r="D548" s="91" t="s">
        <v>261</v>
      </c>
      <c r="E548" s="93">
        <v>34516</v>
      </c>
      <c r="F548" s="94">
        <f t="shared" ca="1" si="23"/>
        <v>22</v>
      </c>
      <c r="G548" s="95" t="s">
        <v>257</v>
      </c>
      <c r="H548" s="96">
        <v>31205</v>
      </c>
      <c r="I548" s="97">
        <v>2</v>
      </c>
    </row>
    <row r="549" spans="1:9" ht="13.5">
      <c r="A549" s="91" t="s">
        <v>767</v>
      </c>
      <c r="B549" s="92" t="s">
        <v>251</v>
      </c>
      <c r="C549" s="91" t="s">
        <v>767</v>
      </c>
      <c r="D549" s="91" t="s">
        <v>256</v>
      </c>
      <c r="E549" s="93">
        <v>34608</v>
      </c>
      <c r="F549" s="94">
        <f t="shared" ca="1" si="23"/>
        <v>22</v>
      </c>
      <c r="G549" s="95" t="s">
        <v>262</v>
      </c>
      <c r="H549" s="96">
        <v>73740</v>
      </c>
      <c r="I549" s="97">
        <v>4</v>
      </c>
    </row>
    <row r="550" spans="1:9" ht="13.5">
      <c r="A550" s="91" t="s">
        <v>767</v>
      </c>
      <c r="B550" s="92" t="s">
        <v>245</v>
      </c>
      <c r="C550" s="91" t="s">
        <v>767</v>
      </c>
      <c r="D550" s="91" t="s">
        <v>252</v>
      </c>
      <c r="E550" s="93">
        <v>34636</v>
      </c>
      <c r="F550" s="94">
        <f t="shared" ca="1" si="23"/>
        <v>22</v>
      </c>
      <c r="G550" s="95"/>
      <c r="H550" s="96">
        <v>14332</v>
      </c>
      <c r="I550" s="97">
        <v>5</v>
      </c>
    </row>
    <row r="551" spans="1:9" ht="13.5">
      <c r="A551" s="91" t="s">
        <v>767</v>
      </c>
      <c r="B551" s="92" t="s">
        <v>285</v>
      </c>
      <c r="C551" s="91" t="s">
        <v>767</v>
      </c>
      <c r="D551" s="91" t="s">
        <v>256</v>
      </c>
      <c r="E551" s="93">
        <v>34648</v>
      </c>
      <c r="F551" s="94">
        <f t="shared" ca="1" si="23"/>
        <v>22</v>
      </c>
      <c r="G551" s="95" t="s">
        <v>283</v>
      </c>
      <c r="H551" s="96">
        <v>61420</v>
      </c>
      <c r="I551" s="97">
        <v>4</v>
      </c>
    </row>
    <row r="552" spans="1:9" ht="13.5">
      <c r="A552" s="91" t="s">
        <v>767</v>
      </c>
      <c r="B552" s="92" t="s">
        <v>271</v>
      </c>
      <c r="C552" s="91" t="s">
        <v>767</v>
      </c>
      <c r="D552" s="91" t="s">
        <v>256</v>
      </c>
      <c r="E552" s="93">
        <v>34680</v>
      </c>
      <c r="F552" s="94">
        <f t="shared" ca="1" si="23"/>
        <v>21</v>
      </c>
      <c r="G552" s="95" t="s">
        <v>276</v>
      </c>
      <c r="H552" s="96">
        <v>36890</v>
      </c>
      <c r="I552" s="97">
        <v>1</v>
      </c>
    </row>
    <row r="553" spans="1:9" ht="13.5">
      <c r="A553" s="91" t="s">
        <v>767</v>
      </c>
      <c r="B553" s="92" t="s">
        <v>285</v>
      </c>
      <c r="C553" s="91" t="s">
        <v>767</v>
      </c>
      <c r="D553" s="91" t="s">
        <v>252</v>
      </c>
      <c r="E553" s="93">
        <v>34718</v>
      </c>
      <c r="F553" s="94">
        <f t="shared" ca="1" si="23"/>
        <v>21</v>
      </c>
      <c r="G553" s="95"/>
      <c r="H553" s="96">
        <v>16688</v>
      </c>
      <c r="I553" s="97">
        <v>3</v>
      </c>
    </row>
    <row r="554" spans="1:9" ht="13.5">
      <c r="A554" s="91" t="s">
        <v>767</v>
      </c>
      <c r="B554" s="92" t="s">
        <v>285</v>
      </c>
      <c r="C554" s="91" t="s">
        <v>767</v>
      </c>
      <c r="D554" s="91" t="s">
        <v>261</v>
      </c>
      <c r="E554" s="93">
        <v>34774</v>
      </c>
      <c r="F554" s="94">
        <f t="shared" ca="1" si="23"/>
        <v>21</v>
      </c>
      <c r="G554" s="95" t="s">
        <v>262</v>
      </c>
      <c r="H554" s="96">
        <v>45750</v>
      </c>
      <c r="I554" s="97">
        <v>5</v>
      </c>
    </row>
    <row r="555" spans="1:9" ht="13.5">
      <c r="A555" s="91" t="s">
        <v>767</v>
      </c>
      <c r="B555" s="92" t="s">
        <v>245</v>
      </c>
      <c r="C555" s="91" t="s">
        <v>767</v>
      </c>
      <c r="D555" s="91" t="s">
        <v>247</v>
      </c>
      <c r="E555" s="93">
        <v>34776</v>
      </c>
      <c r="F555" s="94">
        <f t="shared" ca="1" si="23"/>
        <v>21</v>
      </c>
      <c r="G555" s="95"/>
      <c r="H555" s="96">
        <v>47520</v>
      </c>
      <c r="I555" s="97">
        <v>1</v>
      </c>
    </row>
    <row r="556" spans="1:9" ht="13.5">
      <c r="A556" s="91" t="s">
        <v>767</v>
      </c>
      <c r="B556" s="92" t="s">
        <v>271</v>
      </c>
      <c r="C556" s="91" t="s">
        <v>767</v>
      </c>
      <c r="D556" s="91" t="s">
        <v>256</v>
      </c>
      <c r="E556" s="93">
        <v>34778</v>
      </c>
      <c r="F556" s="94">
        <f t="shared" ca="1" si="23"/>
        <v>21</v>
      </c>
      <c r="G556" s="95" t="s">
        <v>267</v>
      </c>
      <c r="H556" s="96">
        <v>54580</v>
      </c>
      <c r="I556" s="97">
        <v>4</v>
      </c>
    </row>
    <row r="557" spans="1:9" ht="13.5">
      <c r="A557" s="91" t="s">
        <v>767</v>
      </c>
      <c r="B557" s="92" t="s">
        <v>251</v>
      </c>
      <c r="C557" s="91" t="s">
        <v>767</v>
      </c>
      <c r="D557" s="91" t="s">
        <v>256</v>
      </c>
      <c r="E557" s="93">
        <v>34826</v>
      </c>
      <c r="F557" s="94">
        <f t="shared" ca="1" si="23"/>
        <v>21</v>
      </c>
      <c r="G557" s="95" t="s">
        <v>283</v>
      </c>
      <c r="H557" s="96">
        <v>45000</v>
      </c>
      <c r="I557" s="97">
        <v>4</v>
      </c>
    </row>
    <row r="558" spans="1:9" ht="13.5">
      <c r="A558" s="91" t="s">
        <v>767</v>
      </c>
      <c r="B558" s="92" t="s">
        <v>271</v>
      </c>
      <c r="C558" s="91" t="s">
        <v>767</v>
      </c>
      <c r="D558" s="91" t="s">
        <v>256</v>
      </c>
      <c r="E558" s="93">
        <v>34885</v>
      </c>
      <c r="F558" s="94">
        <f t="shared" ca="1" si="23"/>
        <v>21</v>
      </c>
      <c r="G558" s="95" t="s">
        <v>267</v>
      </c>
      <c r="H558" s="96">
        <v>46360</v>
      </c>
      <c r="I558" s="97">
        <v>5</v>
      </c>
    </row>
    <row r="559" spans="1:9" ht="13.5">
      <c r="A559" s="91" t="s">
        <v>767</v>
      </c>
      <c r="B559" s="92" t="s">
        <v>271</v>
      </c>
      <c r="C559" s="91" t="s">
        <v>767</v>
      </c>
      <c r="D559" s="91" t="s">
        <v>256</v>
      </c>
      <c r="E559" s="93">
        <v>34885</v>
      </c>
      <c r="F559" s="94">
        <f t="shared" ca="1" si="23"/>
        <v>21</v>
      </c>
      <c r="G559" s="95" t="s">
        <v>267</v>
      </c>
      <c r="H559" s="96">
        <v>46360</v>
      </c>
      <c r="I559" s="97">
        <v>5</v>
      </c>
    </row>
    <row r="560" spans="1:9" ht="13.5">
      <c r="A560" s="91" t="s">
        <v>767</v>
      </c>
      <c r="B560" s="92" t="s">
        <v>280</v>
      </c>
      <c r="C560" s="91" t="s">
        <v>767</v>
      </c>
      <c r="D560" s="91" t="s">
        <v>261</v>
      </c>
      <c r="E560" s="93">
        <v>34907</v>
      </c>
      <c r="F560" s="94">
        <f t="shared" ca="1" si="23"/>
        <v>21</v>
      </c>
      <c r="G560" s="95" t="s">
        <v>283</v>
      </c>
      <c r="H560" s="96">
        <v>22475</v>
      </c>
      <c r="I560" s="97">
        <v>4</v>
      </c>
    </row>
    <row r="561" spans="1:9" ht="13.5">
      <c r="A561" s="91" t="s">
        <v>767</v>
      </c>
      <c r="B561" s="92" t="s">
        <v>271</v>
      </c>
      <c r="C561" s="91" t="s">
        <v>767</v>
      </c>
      <c r="D561" s="91" t="s">
        <v>247</v>
      </c>
      <c r="E561" s="93">
        <v>34987</v>
      </c>
      <c r="F561" s="94">
        <f t="shared" ca="1" si="23"/>
        <v>21</v>
      </c>
      <c r="G561" s="95"/>
      <c r="H561" s="96">
        <v>57990</v>
      </c>
      <c r="I561" s="97">
        <v>5</v>
      </c>
    </row>
    <row r="562" spans="1:9" ht="13.5">
      <c r="A562" s="91" t="s">
        <v>767</v>
      </c>
      <c r="B562" s="92" t="s">
        <v>285</v>
      </c>
      <c r="C562" s="91" t="s">
        <v>767</v>
      </c>
      <c r="D562" s="91" t="s">
        <v>252</v>
      </c>
      <c r="E562" s="93">
        <v>35030</v>
      </c>
      <c r="F562" s="94">
        <f t="shared" ca="1" si="23"/>
        <v>20</v>
      </c>
      <c r="G562" s="95"/>
      <c r="H562" s="96">
        <v>37016</v>
      </c>
      <c r="I562" s="97">
        <v>4</v>
      </c>
    </row>
    <row r="563" spans="1:9" ht="13.5">
      <c r="A563" s="91" t="s">
        <v>767</v>
      </c>
      <c r="B563" s="92" t="s">
        <v>266</v>
      </c>
      <c r="C563" s="91" t="s">
        <v>767</v>
      </c>
      <c r="D563" s="91" t="s">
        <v>247</v>
      </c>
      <c r="E563" s="93">
        <v>35065</v>
      </c>
      <c r="F563" s="94">
        <f t="shared" ca="1" si="23"/>
        <v>20</v>
      </c>
      <c r="G563" s="95"/>
      <c r="H563" s="96">
        <v>71300</v>
      </c>
      <c r="I563" s="97">
        <v>5</v>
      </c>
    </row>
    <row r="564" spans="1:9" ht="13.5">
      <c r="A564" s="91" t="s">
        <v>767</v>
      </c>
      <c r="B564" s="92" t="s">
        <v>271</v>
      </c>
      <c r="C564" s="91" t="s">
        <v>767</v>
      </c>
      <c r="D564" s="91" t="s">
        <v>252</v>
      </c>
      <c r="E564" s="93">
        <v>35070</v>
      </c>
      <c r="F564" s="94">
        <f t="shared" ca="1" si="23"/>
        <v>20</v>
      </c>
      <c r="G564" s="95"/>
      <c r="H564" s="96">
        <v>36052</v>
      </c>
      <c r="I564" s="97">
        <v>5</v>
      </c>
    </row>
    <row r="565" spans="1:9" ht="13.5">
      <c r="A565" s="91" t="s">
        <v>767</v>
      </c>
      <c r="B565" s="92" t="s">
        <v>271</v>
      </c>
      <c r="C565" s="91" t="s">
        <v>767</v>
      </c>
      <c r="D565" s="91" t="s">
        <v>256</v>
      </c>
      <c r="E565" s="93">
        <v>35083</v>
      </c>
      <c r="F565" s="94">
        <f t="shared" ca="1" si="23"/>
        <v>20</v>
      </c>
      <c r="G565" s="95" t="s">
        <v>283</v>
      </c>
      <c r="H565" s="96">
        <v>65910</v>
      </c>
      <c r="I565" s="97">
        <v>5</v>
      </c>
    </row>
    <row r="566" spans="1:9" ht="13.5">
      <c r="A566" s="91" t="s">
        <v>767</v>
      </c>
      <c r="B566" s="92" t="s">
        <v>271</v>
      </c>
      <c r="C566" s="91" t="s">
        <v>767</v>
      </c>
      <c r="D566" s="91" t="s">
        <v>256</v>
      </c>
      <c r="E566" s="93">
        <v>35226</v>
      </c>
      <c r="F566" s="94">
        <f t="shared" ca="1" si="23"/>
        <v>20</v>
      </c>
      <c r="G566" s="95" t="s">
        <v>257</v>
      </c>
      <c r="H566" s="96">
        <v>62400</v>
      </c>
      <c r="I566" s="97">
        <v>4</v>
      </c>
    </row>
    <row r="567" spans="1:9" ht="13.5">
      <c r="A567" s="91" t="s">
        <v>767</v>
      </c>
      <c r="B567" s="92" t="s">
        <v>271</v>
      </c>
      <c r="C567" s="91" t="s">
        <v>767</v>
      </c>
      <c r="D567" s="91" t="s">
        <v>256</v>
      </c>
      <c r="E567" s="93">
        <v>35363</v>
      </c>
      <c r="F567" s="94">
        <f t="shared" ca="1" si="23"/>
        <v>20</v>
      </c>
      <c r="G567" s="95" t="s">
        <v>276</v>
      </c>
      <c r="H567" s="96">
        <v>48330</v>
      </c>
      <c r="I567" s="97">
        <v>1</v>
      </c>
    </row>
    <row r="568" spans="1:9" ht="13.5">
      <c r="A568" s="91" t="s">
        <v>767</v>
      </c>
      <c r="B568" s="92" t="s">
        <v>285</v>
      </c>
      <c r="C568" s="91" t="s">
        <v>767</v>
      </c>
      <c r="D568" s="91" t="s">
        <v>247</v>
      </c>
      <c r="E568" s="93">
        <v>35477</v>
      </c>
      <c r="F568" s="94">
        <f t="shared" ca="1" si="23"/>
        <v>19</v>
      </c>
      <c r="G568" s="95"/>
      <c r="H568" s="96">
        <v>89640</v>
      </c>
      <c r="I568" s="97">
        <v>4</v>
      </c>
    </row>
    <row r="569" spans="1:9" ht="13.5">
      <c r="A569" s="91" t="s">
        <v>767</v>
      </c>
      <c r="B569" s="92" t="s">
        <v>271</v>
      </c>
      <c r="C569" s="91" t="s">
        <v>767</v>
      </c>
      <c r="D569" s="91" t="s">
        <v>256</v>
      </c>
      <c r="E569" s="93">
        <v>35828</v>
      </c>
      <c r="F569" s="94">
        <f t="shared" ca="1" si="23"/>
        <v>18</v>
      </c>
      <c r="G569" s="95" t="s">
        <v>257</v>
      </c>
      <c r="H569" s="96">
        <v>29130</v>
      </c>
      <c r="I569" s="97">
        <v>1</v>
      </c>
    </row>
    <row r="570" spans="1:9" ht="13.5">
      <c r="A570" s="91" t="s">
        <v>767</v>
      </c>
      <c r="B570" s="92" t="s">
        <v>271</v>
      </c>
      <c r="C570" s="91" t="s">
        <v>767</v>
      </c>
      <c r="D570" s="91" t="s">
        <v>261</v>
      </c>
      <c r="E570" s="93">
        <v>35939</v>
      </c>
      <c r="F570" s="94">
        <f t="shared" ca="1" si="23"/>
        <v>18</v>
      </c>
      <c r="G570" s="95" t="s">
        <v>276</v>
      </c>
      <c r="H570" s="96">
        <v>12545</v>
      </c>
      <c r="I570" s="97">
        <v>4</v>
      </c>
    </row>
    <row r="571" spans="1:9" ht="13.5">
      <c r="A571" s="91" t="s">
        <v>767</v>
      </c>
      <c r="B571" s="92" t="s">
        <v>271</v>
      </c>
      <c r="C571" s="91" t="s">
        <v>767</v>
      </c>
      <c r="D571" s="91" t="s">
        <v>247</v>
      </c>
      <c r="E571" s="93">
        <v>36094</v>
      </c>
      <c r="F571" s="94">
        <f t="shared" ref="F571:F597" ca="1" si="24">DATEDIF(E571,TODAY(),"Y")</f>
        <v>18</v>
      </c>
      <c r="G571" s="95"/>
      <c r="H571" s="96">
        <v>60070</v>
      </c>
      <c r="I571" s="97">
        <v>3</v>
      </c>
    </row>
    <row r="572" spans="1:9" ht="13.5">
      <c r="A572" s="91" t="s">
        <v>767</v>
      </c>
      <c r="B572" s="92" t="s">
        <v>285</v>
      </c>
      <c r="C572" s="91" t="s">
        <v>767</v>
      </c>
      <c r="D572" s="91" t="s">
        <v>247</v>
      </c>
      <c r="E572" s="93">
        <v>36216</v>
      </c>
      <c r="F572" s="94">
        <f t="shared" ca="1" si="24"/>
        <v>17</v>
      </c>
      <c r="G572" s="95"/>
      <c r="H572" s="96">
        <v>61580</v>
      </c>
      <c r="I572" s="97">
        <v>3</v>
      </c>
    </row>
    <row r="573" spans="1:9" ht="13.5">
      <c r="A573" s="91" t="s">
        <v>767</v>
      </c>
      <c r="B573" s="92" t="s">
        <v>285</v>
      </c>
      <c r="C573" s="91" t="s">
        <v>767</v>
      </c>
      <c r="D573" s="91" t="s">
        <v>256</v>
      </c>
      <c r="E573" s="93">
        <v>36258</v>
      </c>
      <c r="F573" s="94">
        <f t="shared" ca="1" si="24"/>
        <v>17</v>
      </c>
      <c r="G573" s="95" t="s">
        <v>262</v>
      </c>
      <c r="H573" s="96">
        <v>45100</v>
      </c>
      <c r="I573" s="97">
        <v>2</v>
      </c>
    </row>
    <row r="574" spans="1:9" ht="13.5">
      <c r="A574" s="91" t="s">
        <v>767</v>
      </c>
      <c r="B574" s="92" t="s">
        <v>285</v>
      </c>
      <c r="C574" s="91" t="s">
        <v>767</v>
      </c>
      <c r="D574" s="91" t="s">
        <v>256</v>
      </c>
      <c r="E574" s="93">
        <v>36391</v>
      </c>
      <c r="F574" s="94">
        <f t="shared" ca="1" si="24"/>
        <v>17</v>
      </c>
      <c r="G574" s="95" t="s">
        <v>262</v>
      </c>
      <c r="H574" s="96">
        <v>23560</v>
      </c>
      <c r="I574" s="97">
        <v>3</v>
      </c>
    </row>
    <row r="575" spans="1:9" ht="13.5">
      <c r="A575" s="91" t="s">
        <v>767</v>
      </c>
      <c r="B575" s="92" t="s">
        <v>280</v>
      </c>
      <c r="C575" s="91" t="s">
        <v>767</v>
      </c>
      <c r="D575" s="91" t="s">
        <v>256</v>
      </c>
      <c r="E575" s="93">
        <v>36538</v>
      </c>
      <c r="F575" s="94">
        <f t="shared" ca="1" si="24"/>
        <v>16</v>
      </c>
      <c r="G575" s="95" t="s">
        <v>262</v>
      </c>
      <c r="H575" s="96">
        <v>76910</v>
      </c>
      <c r="I575" s="97">
        <v>2</v>
      </c>
    </row>
    <row r="576" spans="1:9" ht="13.5">
      <c r="A576" s="91" t="s">
        <v>767</v>
      </c>
      <c r="B576" s="92" t="s">
        <v>285</v>
      </c>
      <c r="C576" s="91" t="s">
        <v>767</v>
      </c>
      <c r="D576" s="91" t="s">
        <v>261</v>
      </c>
      <c r="E576" s="93">
        <v>36863</v>
      </c>
      <c r="F576" s="94">
        <f t="shared" ca="1" si="24"/>
        <v>15</v>
      </c>
      <c r="G576" s="95" t="s">
        <v>283</v>
      </c>
      <c r="H576" s="96">
        <v>32900</v>
      </c>
      <c r="I576" s="97">
        <v>2</v>
      </c>
    </row>
    <row r="577" spans="1:9" ht="13.5">
      <c r="A577" s="91" t="s">
        <v>767</v>
      </c>
      <c r="B577" s="92" t="s">
        <v>266</v>
      </c>
      <c r="C577" s="91" t="s">
        <v>767</v>
      </c>
      <c r="D577" s="91" t="s">
        <v>256</v>
      </c>
      <c r="E577" s="93">
        <v>37113</v>
      </c>
      <c r="F577" s="94">
        <f t="shared" ca="1" si="24"/>
        <v>15</v>
      </c>
      <c r="G577" s="95" t="s">
        <v>276</v>
      </c>
      <c r="H577" s="96">
        <v>61330</v>
      </c>
      <c r="I577" s="97">
        <v>2</v>
      </c>
    </row>
    <row r="578" spans="1:9" ht="13.5">
      <c r="A578" s="91" t="s">
        <v>767</v>
      </c>
      <c r="B578" s="92" t="s">
        <v>266</v>
      </c>
      <c r="C578" s="91" t="s">
        <v>767</v>
      </c>
      <c r="D578" s="91" t="s">
        <v>261</v>
      </c>
      <c r="E578" s="93">
        <v>37413</v>
      </c>
      <c r="F578" s="94">
        <f t="shared" ca="1" si="24"/>
        <v>14</v>
      </c>
      <c r="G578" s="95" t="s">
        <v>283</v>
      </c>
      <c r="H578" s="96">
        <v>10630</v>
      </c>
      <c r="I578" s="97">
        <v>3</v>
      </c>
    </row>
    <row r="579" spans="1:9" ht="13.5">
      <c r="A579" s="91" t="s">
        <v>767</v>
      </c>
      <c r="B579" s="92" t="s">
        <v>266</v>
      </c>
      <c r="C579" s="91" t="s">
        <v>767</v>
      </c>
      <c r="D579" s="91" t="s">
        <v>256</v>
      </c>
      <c r="E579" s="93">
        <v>37480</v>
      </c>
      <c r="F579" s="94">
        <f t="shared" ca="1" si="24"/>
        <v>14</v>
      </c>
      <c r="G579" s="95" t="s">
        <v>262</v>
      </c>
      <c r="H579" s="96">
        <v>62688</v>
      </c>
      <c r="I579" s="97">
        <v>3</v>
      </c>
    </row>
    <row r="580" spans="1:9" ht="13.5">
      <c r="A580" s="91" t="s">
        <v>767</v>
      </c>
      <c r="B580" s="92" t="s">
        <v>271</v>
      </c>
      <c r="C580" s="91" t="s">
        <v>767</v>
      </c>
      <c r="D580" s="91" t="s">
        <v>256</v>
      </c>
      <c r="E580" s="93">
        <v>37737</v>
      </c>
      <c r="F580" s="94">
        <f t="shared" ca="1" si="24"/>
        <v>13</v>
      </c>
      <c r="G580" s="95" t="s">
        <v>283</v>
      </c>
      <c r="H580" s="96">
        <v>65880</v>
      </c>
      <c r="I580" s="97">
        <v>5</v>
      </c>
    </row>
    <row r="581" spans="1:9" ht="13.5">
      <c r="A581" s="91" t="s">
        <v>767</v>
      </c>
      <c r="B581" s="92" t="s">
        <v>271</v>
      </c>
      <c r="C581" s="91" t="s">
        <v>767</v>
      </c>
      <c r="D581" s="91" t="s">
        <v>256</v>
      </c>
      <c r="E581" s="93">
        <v>37737</v>
      </c>
      <c r="F581" s="94">
        <f t="shared" ca="1" si="24"/>
        <v>13</v>
      </c>
      <c r="G581" s="95" t="s">
        <v>283</v>
      </c>
      <c r="H581" s="96">
        <v>65880</v>
      </c>
      <c r="I581" s="97">
        <v>5</v>
      </c>
    </row>
    <row r="582" spans="1:9" ht="13.5">
      <c r="A582" s="91" t="s">
        <v>767</v>
      </c>
      <c r="B582" s="92" t="s">
        <v>266</v>
      </c>
      <c r="C582" s="91" t="s">
        <v>767</v>
      </c>
      <c r="D582" s="91" t="s">
        <v>256</v>
      </c>
      <c r="E582" s="93">
        <v>37907</v>
      </c>
      <c r="F582" s="94">
        <f t="shared" ca="1" si="24"/>
        <v>13</v>
      </c>
      <c r="G582" s="95" t="s">
        <v>257</v>
      </c>
      <c r="H582" s="96">
        <v>73830</v>
      </c>
      <c r="I582" s="97">
        <v>2</v>
      </c>
    </row>
    <row r="583" spans="1:9" ht="13.5">
      <c r="A583" s="91" t="s">
        <v>767</v>
      </c>
      <c r="B583" s="92" t="s">
        <v>285</v>
      </c>
      <c r="C583" s="91" t="s">
        <v>767</v>
      </c>
      <c r="D583" s="91" t="s">
        <v>256</v>
      </c>
      <c r="E583" s="93">
        <v>38052</v>
      </c>
      <c r="F583" s="94">
        <f t="shared" ca="1" si="24"/>
        <v>12</v>
      </c>
      <c r="G583" s="95" t="s">
        <v>262</v>
      </c>
      <c r="H583" s="96">
        <v>42020</v>
      </c>
      <c r="I583" s="97">
        <v>5</v>
      </c>
    </row>
    <row r="584" spans="1:9" ht="13.5">
      <c r="A584" s="91" t="s">
        <v>767</v>
      </c>
      <c r="B584" s="92" t="s">
        <v>285</v>
      </c>
      <c r="C584" s="91" t="s">
        <v>767</v>
      </c>
      <c r="D584" s="91" t="s">
        <v>256</v>
      </c>
      <c r="E584" s="93">
        <v>38136</v>
      </c>
      <c r="F584" s="94">
        <f t="shared" ca="1" si="24"/>
        <v>12</v>
      </c>
      <c r="G584" s="95" t="s">
        <v>257</v>
      </c>
      <c r="H584" s="96">
        <v>44650</v>
      </c>
      <c r="I584" s="97">
        <v>1</v>
      </c>
    </row>
    <row r="585" spans="1:9" ht="13.5">
      <c r="A585" s="91" t="s">
        <v>767</v>
      </c>
      <c r="B585" s="92" t="s">
        <v>280</v>
      </c>
      <c r="C585" s="91" t="s">
        <v>767</v>
      </c>
      <c r="D585" s="91" t="s">
        <v>261</v>
      </c>
      <c r="E585" s="93">
        <v>38418</v>
      </c>
      <c r="F585" s="94">
        <f t="shared" ca="1" si="24"/>
        <v>11</v>
      </c>
      <c r="G585" s="95" t="s">
        <v>257</v>
      </c>
      <c r="H585" s="96">
        <v>45565</v>
      </c>
      <c r="I585" s="97">
        <v>1</v>
      </c>
    </row>
    <row r="586" spans="1:9" ht="13.5">
      <c r="A586" s="91" t="s">
        <v>767</v>
      </c>
      <c r="B586" s="92" t="s">
        <v>285</v>
      </c>
      <c r="C586" s="91" t="s">
        <v>767</v>
      </c>
      <c r="D586" s="91" t="s">
        <v>256</v>
      </c>
      <c r="E586" s="93">
        <v>38554</v>
      </c>
      <c r="F586" s="94">
        <f t="shared" ca="1" si="24"/>
        <v>11</v>
      </c>
      <c r="G586" s="95" t="s">
        <v>257</v>
      </c>
      <c r="H586" s="96">
        <v>64320</v>
      </c>
      <c r="I586" s="97">
        <v>5</v>
      </c>
    </row>
    <row r="587" spans="1:9" ht="13.5">
      <c r="A587" s="91" t="s">
        <v>767</v>
      </c>
      <c r="B587" s="92" t="s">
        <v>245</v>
      </c>
      <c r="C587" s="91" t="s">
        <v>767</v>
      </c>
      <c r="D587" s="91" t="s">
        <v>256</v>
      </c>
      <c r="E587" s="93">
        <v>38589</v>
      </c>
      <c r="F587" s="94">
        <f t="shared" ca="1" si="24"/>
        <v>11</v>
      </c>
      <c r="G587" s="95" t="s">
        <v>257</v>
      </c>
      <c r="H587" s="96">
        <v>24790</v>
      </c>
      <c r="I587" s="97">
        <v>3</v>
      </c>
    </row>
    <row r="588" spans="1:9" ht="13.5">
      <c r="A588" s="91" t="s">
        <v>767</v>
      </c>
      <c r="B588" s="92" t="s">
        <v>271</v>
      </c>
      <c r="C588" s="91" t="s">
        <v>767</v>
      </c>
      <c r="D588" s="91" t="s">
        <v>256</v>
      </c>
      <c r="E588" s="93">
        <v>38827</v>
      </c>
      <c r="F588" s="94">
        <f t="shared" ca="1" si="24"/>
        <v>10</v>
      </c>
      <c r="G588" s="95" t="s">
        <v>257</v>
      </c>
      <c r="H588" s="96">
        <v>54190</v>
      </c>
      <c r="I588" s="97">
        <v>4</v>
      </c>
    </row>
    <row r="589" spans="1:9" ht="13.5">
      <c r="A589" s="91" t="s">
        <v>767</v>
      </c>
      <c r="B589" s="92" t="s">
        <v>271</v>
      </c>
      <c r="C589" s="91" t="s">
        <v>767</v>
      </c>
      <c r="D589" s="91" t="s">
        <v>261</v>
      </c>
      <c r="E589" s="93">
        <v>38856</v>
      </c>
      <c r="F589" s="94">
        <f t="shared" ca="1" si="24"/>
        <v>10</v>
      </c>
      <c r="G589" s="95" t="s">
        <v>276</v>
      </c>
      <c r="H589" s="96">
        <v>25245</v>
      </c>
      <c r="I589" s="97">
        <v>5</v>
      </c>
    </row>
    <row r="590" spans="1:9" ht="13.5">
      <c r="A590" s="91" t="s">
        <v>767</v>
      </c>
      <c r="B590" s="92" t="s">
        <v>251</v>
      </c>
      <c r="C590" s="91" t="s">
        <v>767</v>
      </c>
      <c r="D590" s="91" t="s">
        <v>261</v>
      </c>
      <c r="E590" s="99">
        <v>38944</v>
      </c>
      <c r="F590" s="94">
        <f t="shared" ca="1" si="24"/>
        <v>10</v>
      </c>
      <c r="G590" s="95" t="s">
        <v>283</v>
      </c>
      <c r="H590" s="96">
        <v>48700</v>
      </c>
      <c r="I590" s="97">
        <v>3</v>
      </c>
    </row>
    <row r="591" spans="1:9" ht="13.5">
      <c r="A591" s="91" t="s">
        <v>767</v>
      </c>
      <c r="B591" s="92" t="s">
        <v>266</v>
      </c>
      <c r="C591" s="91" t="s">
        <v>767</v>
      </c>
      <c r="D591" s="91" t="s">
        <v>261</v>
      </c>
      <c r="E591" s="93">
        <v>38983</v>
      </c>
      <c r="F591" s="94">
        <f t="shared" ca="1" si="24"/>
        <v>10</v>
      </c>
      <c r="G591" s="95" t="s">
        <v>257</v>
      </c>
      <c r="H591" s="96">
        <v>11810</v>
      </c>
      <c r="I591" s="97">
        <v>1</v>
      </c>
    </row>
    <row r="592" spans="1:9" ht="13.5">
      <c r="A592" s="91" t="s">
        <v>767</v>
      </c>
      <c r="B592" s="92" t="s">
        <v>271</v>
      </c>
      <c r="C592" s="91" t="s">
        <v>767</v>
      </c>
      <c r="D592" s="91" t="s">
        <v>247</v>
      </c>
      <c r="E592" s="99">
        <v>39094</v>
      </c>
      <c r="F592" s="94">
        <f t="shared" ca="1" si="24"/>
        <v>9</v>
      </c>
      <c r="G592" s="95"/>
      <c r="H592" s="96">
        <v>39550</v>
      </c>
      <c r="I592" s="97">
        <v>5</v>
      </c>
    </row>
    <row r="593" spans="1:9" ht="13.5">
      <c r="A593" s="91" t="s">
        <v>767</v>
      </c>
      <c r="B593" s="92" t="s">
        <v>245</v>
      </c>
      <c r="C593" s="91" t="s">
        <v>767</v>
      </c>
      <c r="D593" s="91" t="s">
        <v>247</v>
      </c>
      <c r="E593" s="99">
        <v>39100</v>
      </c>
      <c r="F593" s="94">
        <f t="shared" ca="1" si="24"/>
        <v>9</v>
      </c>
      <c r="G593" s="95"/>
      <c r="H593" s="96">
        <v>57680</v>
      </c>
      <c r="I593" s="97">
        <v>4</v>
      </c>
    </row>
    <row r="594" spans="1:9" ht="13.5">
      <c r="A594" s="91" t="s">
        <v>767</v>
      </c>
      <c r="B594" s="92" t="s">
        <v>245</v>
      </c>
      <c r="C594" s="91" t="s">
        <v>767</v>
      </c>
      <c r="D594" s="91" t="s">
        <v>261</v>
      </c>
      <c r="E594" s="99">
        <v>39111</v>
      </c>
      <c r="F594" s="94">
        <f t="shared" ca="1" si="24"/>
        <v>9</v>
      </c>
      <c r="G594" s="95" t="s">
        <v>262</v>
      </c>
      <c r="H594" s="96">
        <v>49355</v>
      </c>
      <c r="I594" s="97">
        <v>5</v>
      </c>
    </row>
    <row r="595" spans="1:9" ht="13.5">
      <c r="A595" s="91" t="s">
        <v>767</v>
      </c>
      <c r="B595" s="92" t="s">
        <v>285</v>
      </c>
      <c r="C595" s="91" t="s">
        <v>767</v>
      </c>
      <c r="D595" s="91" t="s">
        <v>256</v>
      </c>
      <c r="E595" s="93">
        <v>39128</v>
      </c>
      <c r="F595" s="94">
        <f t="shared" ca="1" si="24"/>
        <v>9</v>
      </c>
      <c r="G595" s="95" t="s">
        <v>267</v>
      </c>
      <c r="H595" s="96">
        <v>59150</v>
      </c>
      <c r="I595" s="97">
        <v>4</v>
      </c>
    </row>
    <row r="596" spans="1:9" ht="13.5">
      <c r="A596" s="91" t="s">
        <v>767</v>
      </c>
      <c r="B596" s="92" t="s">
        <v>285</v>
      </c>
      <c r="C596" s="91" t="s">
        <v>767</v>
      </c>
      <c r="D596" s="91" t="s">
        <v>256</v>
      </c>
      <c r="E596" s="93">
        <v>39167</v>
      </c>
      <c r="F596" s="94">
        <f t="shared" ca="1" si="24"/>
        <v>9</v>
      </c>
      <c r="G596" s="95" t="s">
        <v>267</v>
      </c>
      <c r="H596" s="96">
        <v>63206</v>
      </c>
      <c r="I596" s="97">
        <v>1</v>
      </c>
    </row>
    <row r="597" spans="1:9" ht="13.5">
      <c r="A597" s="91" t="s">
        <v>767</v>
      </c>
      <c r="B597" s="92" t="s">
        <v>271</v>
      </c>
      <c r="C597" s="91" t="s">
        <v>767</v>
      </c>
      <c r="D597" s="91" t="s">
        <v>256</v>
      </c>
      <c r="E597" s="93">
        <v>39314</v>
      </c>
      <c r="F597" s="94">
        <f t="shared" ca="1" si="24"/>
        <v>9</v>
      </c>
      <c r="G597" s="95" t="s">
        <v>276</v>
      </c>
      <c r="H597" s="96">
        <v>86500</v>
      </c>
      <c r="I597" s="97">
        <v>1</v>
      </c>
    </row>
    <row r="598" spans="1:9" ht="13.5">
      <c r="A598" s="98"/>
      <c r="B598" s="92"/>
      <c r="C598" s="98"/>
      <c r="D598" s="91"/>
      <c r="E598" s="93"/>
      <c r="F598" s="94"/>
      <c r="G598" s="95"/>
      <c r="H598" s="96"/>
      <c r="I598" s="97"/>
    </row>
    <row r="599" spans="1:9" ht="13.5">
      <c r="A599" s="91" t="s">
        <v>856</v>
      </c>
      <c r="B599" s="92" t="s">
        <v>285</v>
      </c>
      <c r="C599" s="91" t="s">
        <v>856</v>
      </c>
      <c r="D599" s="91" t="s">
        <v>256</v>
      </c>
      <c r="E599" s="93">
        <v>31912</v>
      </c>
      <c r="F599" s="94">
        <f t="shared" ref="F599:F630" ca="1" si="25">DATEDIF(E599,TODAY(),"Y")</f>
        <v>29</v>
      </c>
      <c r="G599" s="95" t="s">
        <v>257</v>
      </c>
      <c r="H599" s="96">
        <v>53900</v>
      </c>
      <c r="I599" s="97">
        <v>5</v>
      </c>
    </row>
    <row r="600" spans="1:9" ht="13.5">
      <c r="A600" s="91" t="s">
        <v>856</v>
      </c>
      <c r="B600" s="92" t="s">
        <v>245</v>
      </c>
      <c r="C600" s="91" t="s">
        <v>856</v>
      </c>
      <c r="D600" s="91" t="s">
        <v>252</v>
      </c>
      <c r="E600" s="93">
        <v>31946</v>
      </c>
      <c r="F600" s="94">
        <f t="shared" ca="1" si="25"/>
        <v>29</v>
      </c>
      <c r="G600" s="95"/>
      <c r="H600" s="96">
        <v>30468</v>
      </c>
      <c r="I600" s="97">
        <v>2</v>
      </c>
    </row>
    <row r="601" spans="1:9" ht="13.5">
      <c r="A601" s="91" t="s">
        <v>856</v>
      </c>
      <c r="B601" s="92" t="s">
        <v>285</v>
      </c>
      <c r="C601" s="91" t="s">
        <v>856</v>
      </c>
      <c r="D601" s="91" t="s">
        <v>256</v>
      </c>
      <c r="E601" s="93">
        <v>31959</v>
      </c>
      <c r="F601" s="94">
        <f t="shared" ca="1" si="25"/>
        <v>29</v>
      </c>
      <c r="G601" s="95" t="s">
        <v>283</v>
      </c>
      <c r="H601" s="96">
        <v>24840</v>
      </c>
      <c r="I601" s="97">
        <v>1</v>
      </c>
    </row>
    <row r="602" spans="1:9" ht="13.5">
      <c r="A602" s="91" t="s">
        <v>856</v>
      </c>
      <c r="B602" s="92" t="s">
        <v>251</v>
      </c>
      <c r="C602" s="91" t="s">
        <v>856</v>
      </c>
      <c r="D602" s="91" t="s">
        <v>247</v>
      </c>
      <c r="E602" s="93">
        <v>31972</v>
      </c>
      <c r="F602" s="94">
        <f t="shared" ca="1" si="25"/>
        <v>29</v>
      </c>
      <c r="G602" s="95"/>
      <c r="H602" s="96">
        <v>89450</v>
      </c>
      <c r="I602" s="97">
        <v>2</v>
      </c>
    </row>
    <row r="603" spans="1:9" ht="13.5">
      <c r="A603" s="91" t="s">
        <v>856</v>
      </c>
      <c r="B603" s="92" t="s">
        <v>271</v>
      </c>
      <c r="C603" s="91" t="s">
        <v>856</v>
      </c>
      <c r="D603" s="91" t="s">
        <v>247</v>
      </c>
      <c r="E603" s="93">
        <v>32111</v>
      </c>
      <c r="F603" s="94">
        <f t="shared" ca="1" si="25"/>
        <v>28</v>
      </c>
      <c r="G603" s="95"/>
      <c r="H603" s="96">
        <v>46650</v>
      </c>
      <c r="I603" s="97">
        <v>2</v>
      </c>
    </row>
    <row r="604" spans="1:9" ht="13.5">
      <c r="A604" s="91" t="s">
        <v>856</v>
      </c>
      <c r="B604" s="92" t="s">
        <v>251</v>
      </c>
      <c r="C604" s="91" t="s">
        <v>856</v>
      </c>
      <c r="D604" s="91" t="s">
        <v>256</v>
      </c>
      <c r="E604" s="93">
        <v>32144</v>
      </c>
      <c r="F604" s="94">
        <f t="shared" ca="1" si="25"/>
        <v>28</v>
      </c>
      <c r="G604" s="95" t="s">
        <v>257</v>
      </c>
      <c r="H604" s="96">
        <v>67920</v>
      </c>
      <c r="I604" s="97">
        <v>4</v>
      </c>
    </row>
    <row r="605" spans="1:9" ht="13.5">
      <c r="A605" s="91" t="s">
        <v>856</v>
      </c>
      <c r="B605" s="92" t="s">
        <v>266</v>
      </c>
      <c r="C605" s="91" t="s">
        <v>856</v>
      </c>
      <c r="D605" s="91" t="s">
        <v>256</v>
      </c>
      <c r="E605" s="93">
        <v>32238</v>
      </c>
      <c r="F605" s="94">
        <f t="shared" ca="1" si="25"/>
        <v>28</v>
      </c>
      <c r="G605" s="95" t="s">
        <v>283</v>
      </c>
      <c r="H605" s="96">
        <v>63050</v>
      </c>
      <c r="I605" s="97">
        <v>3</v>
      </c>
    </row>
    <row r="606" spans="1:9" ht="13.5">
      <c r="A606" s="91" t="s">
        <v>856</v>
      </c>
      <c r="B606" s="92" t="s">
        <v>285</v>
      </c>
      <c r="C606" s="91" t="s">
        <v>856</v>
      </c>
      <c r="D606" s="91" t="s">
        <v>256</v>
      </c>
      <c r="E606" s="93">
        <v>32294</v>
      </c>
      <c r="F606" s="94">
        <f t="shared" ca="1" si="25"/>
        <v>28</v>
      </c>
      <c r="G606" s="95" t="s">
        <v>257</v>
      </c>
      <c r="H606" s="96">
        <v>54830</v>
      </c>
      <c r="I606" s="97">
        <v>1</v>
      </c>
    </row>
    <row r="607" spans="1:9" ht="13.5">
      <c r="A607" s="91" t="s">
        <v>856</v>
      </c>
      <c r="B607" s="92" t="s">
        <v>285</v>
      </c>
      <c r="C607" s="91" t="s">
        <v>856</v>
      </c>
      <c r="D607" s="91" t="s">
        <v>256</v>
      </c>
      <c r="E607" s="93">
        <v>32375</v>
      </c>
      <c r="F607" s="94">
        <f t="shared" ca="1" si="25"/>
        <v>28</v>
      </c>
      <c r="G607" s="95" t="s">
        <v>257</v>
      </c>
      <c r="H607" s="96">
        <v>65571</v>
      </c>
      <c r="I607" s="97">
        <v>3</v>
      </c>
    </row>
    <row r="608" spans="1:9" ht="13.5">
      <c r="A608" s="91" t="s">
        <v>856</v>
      </c>
      <c r="B608" s="92" t="s">
        <v>285</v>
      </c>
      <c r="C608" s="91" t="s">
        <v>856</v>
      </c>
      <c r="D608" s="91" t="s">
        <v>256</v>
      </c>
      <c r="E608" s="93">
        <v>32401</v>
      </c>
      <c r="F608" s="94">
        <f t="shared" ca="1" si="25"/>
        <v>28</v>
      </c>
      <c r="G608" s="95" t="s">
        <v>257</v>
      </c>
      <c r="H608" s="96">
        <v>68470</v>
      </c>
      <c r="I608" s="97">
        <v>4</v>
      </c>
    </row>
    <row r="609" spans="1:9" ht="13.5">
      <c r="A609" s="91" t="s">
        <v>856</v>
      </c>
      <c r="B609" s="92" t="s">
        <v>271</v>
      </c>
      <c r="C609" s="91" t="s">
        <v>856</v>
      </c>
      <c r="D609" s="91" t="s">
        <v>256</v>
      </c>
      <c r="E609" s="93">
        <v>32542</v>
      </c>
      <c r="F609" s="94">
        <f t="shared" ca="1" si="25"/>
        <v>27</v>
      </c>
      <c r="G609" s="95" t="s">
        <v>276</v>
      </c>
      <c r="H609" s="96">
        <v>86240</v>
      </c>
      <c r="I609" s="97">
        <v>1</v>
      </c>
    </row>
    <row r="610" spans="1:9" ht="13.5">
      <c r="A610" s="91" t="s">
        <v>856</v>
      </c>
      <c r="B610" s="92" t="s">
        <v>266</v>
      </c>
      <c r="C610" s="91" t="s">
        <v>856</v>
      </c>
      <c r="D610" s="91" t="s">
        <v>261</v>
      </c>
      <c r="E610" s="93">
        <v>32580</v>
      </c>
      <c r="F610" s="94">
        <f t="shared" ca="1" si="25"/>
        <v>27</v>
      </c>
      <c r="G610" s="95" t="s">
        <v>283</v>
      </c>
      <c r="H610" s="96">
        <v>25885</v>
      </c>
      <c r="I610" s="97">
        <v>5</v>
      </c>
    </row>
    <row r="611" spans="1:9" ht="13.5">
      <c r="A611" s="91" t="s">
        <v>856</v>
      </c>
      <c r="B611" s="92" t="s">
        <v>285</v>
      </c>
      <c r="C611" s="91" t="s">
        <v>856</v>
      </c>
      <c r="D611" s="91" t="s">
        <v>247</v>
      </c>
      <c r="E611" s="93">
        <v>32604</v>
      </c>
      <c r="F611" s="94">
        <f t="shared" ca="1" si="25"/>
        <v>27</v>
      </c>
      <c r="G611" s="95"/>
      <c r="H611" s="96">
        <v>55690</v>
      </c>
      <c r="I611" s="97">
        <v>2</v>
      </c>
    </row>
    <row r="612" spans="1:9" ht="13.5">
      <c r="A612" s="91" t="s">
        <v>856</v>
      </c>
      <c r="B612" s="92" t="s">
        <v>245</v>
      </c>
      <c r="C612" s="91" t="s">
        <v>856</v>
      </c>
      <c r="D612" s="91" t="s">
        <v>256</v>
      </c>
      <c r="E612" s="93">
        <v>32700</v>
      </c>
      <c r="F612" s="94">
        <f t="shared" ca="1" si="25"/>
        <v>27</v>
      </c>
      <c r="G612" s="95" t="s">
        <v>257</v>
      </c>
      <c r="H612" s="96">
        <v>54270</v>
      </c>
      <c r="I612" s="97">
        <v>3</v>
      </c>
    </row>
    <row r="613" spans="1:9" ht="13.5">
      <c r="A613" s="91" t="s">
        <v>856</v>
      </c>
      <c r="B613" s="92" t="s">
        <v>251</v>
      </c>
      <c r="C613" s="91" t="s">
        <v>856</v>
      </c>
      <c r="D613" s="91" t="s">
        <v>256</v>
      </c>
      <c r="E613" s="93">
        <v>32711</v>
      </c>
      <c r="F613" s="94">
        <f t="shared" ca="1" si="25"/>
        <v>27</v>
      </c>
      <c r="G613" s="95" t="s">
        <v>283</v>
      </c>
      <c r="H613" s="96">
        <v>45110</v>
      </c>
      <c r="I613" s="97">
        <v>2</v>
      </c>
    </row>
    <row r="614" spans="1:9" ht="13.5">
      <c r="A614" s="91" t="s">
        <v>856</v>
      </c>
      <c r="B614" s="92" t="s">
        <v>271</v>
      </c>
      <c r="C614" s="91" t="s">
        <v>856</v>
      </c>
      <c r="D614" s="91" t="s">
        <v>256</v>
      </c>
      <c r="E614" s="93">
        <v>32718</v>
      </c>
      <c r="F614" s="94">
        <f t="shared" ca="1" si="25"/>
        <v>27</v>
      </c>
      <c r="G614" s="95" t="s">
        <v>283</v>
      </c>
      <c r="H614" s="96">
        <v>66824</v>
      </c>
      <c r="I614" s="97">
        <v>2</v>
      </c>
    </row>
    <row r="615" spans="1:9" ht="13.5">
      <c r="A615" s="91" t="s">
        <v>856</v>
      </c>
      <c r="B615" s="92" t="s">
        <v>285</v>
      </c>
      <c r="C615" s="91" t="s">
        <v>856</v>
      </c>
      <c r="D615" s="91" t="s">
        <v>256</v>
      </c>
      <c r="E615" s="93">
        <v>32850</v>
      </c>
      <c r="F615" s="94">
        <f t="shared" ca="1" si="25"/>
        <v>26</v>
      </c>
      <c r="G615" s="95" t="s">
        <v>257</v>
      </c>
      <c r="H615" s="96">
        <v>54200</v>
      </c>
      <c r="I615" s="97">
        <v>4</v>
      </c>
    </row>
    <row r="616" spans="1:9" ht="13.5">
      <c r="A616" s="91" t="s">
        <v>856</v>
      </c>
      <c r="B616" s="92" t="s">
        <v>271</v>
      </c>
      <c r="C616" s="91" t="s">
        <v>856</v>
      </c>
      <c r="D616" s="91" t="s">
        <v>252</v>
      </c>
      <c r="E616" s="93">
        <v>32870</v>
      </c>
      <c r="F616" s="94">
        <f t="shared" ca="1" si="25"/>
        <v>26</v>
      </c>
      <c r="G616" s="95"/>
      <c r="H616" s="96">
        <v>26484</v>
      </c>
      <c r="I616" s="97">
        <v>5</v>
      </c>
    </row>
    <row r="617" spans="1:9" ht="13.5">
      <c r="A617" s="91" t="s">
        <v>856</v>
      </c>
      <c r="B617" s="92" t="s">
        <v>271</v>
      </c>
      <c r="C617" s="91" t="s">
        <v>856</v>
      </c>
      <c r="D617" s="91" t="s">
        <v>256</v>
      </c>
      <c r="E617" s="93">
        <v>32975</v>
      </c>
      <c r="F617" s="94">
        <f t="shared" ca="1" si="25"/>
        <v>26</v>
      </c>
      <c r="G617" s="95" t="s">
        <v>267</v>
      </c>
      <c r="H617" s="96">
        <v>48490</v>
      </c>
      <c r="I617" s="97">
        <v>2</v>
      </c>
    </row>
    <row r="618" spans="1:9" ht="13.5">
      <c r="A618" s="91" t="s">
        <v>856</v>
      </c>
      <c r="B618" s="92" t="s">
        <v>271</v>
      </c>
      <c r="C618" s="91" t="s">
        <v>856</v>
      </c>
      <c r="D618" s="91" t="s">
        <v>252</v>
      </c>
      <c r="E618" s="93">
        <v>33035</v>
      </c>
      <c r="F618" s="94">
        <f t="shared" ca="1" si="25"/>
        <v>26</v>
      </c>
      <c r="G618" s="95"/>
      <c r="H618" s="96">
        <v>36788</v>
      </c>
      <c r="I618" s="97">
        <v>4</v>
      </c>
    </row>
    <row r="619" spans="1:9" ht="13.5">
      <c r="A619" s="91" t="s">
        <v>856</v>
      </c>
      <c r="B619" s="92" t="s">
        <v>271</v>
      </c>
      <c r="C619" s="91" t="s">
        <v>856</v>
      </c>
      <c r="D619" s="91" t="s">
        <v>256</v>
      </c>
      <c r="E619" s="93">
        <v>33444</v>
      </c>
      <c r="F619" s="94">
        <f t="shared" ca="1" si="25"/>
        <v>25</v>
      </c>
      <c r="G619" s="95" t="s">
        <v>257</v>
      </c>
      <c r="H619" s="96">
        <v>39000</v>
      </c>
      <c r="I619" s="97">
        <v>5</v>
      </c>
    </row>
    <row r="620" spans="1:9" ht="13.5">
      <c r="A620" s="91" t="s">
        <v>856</v>
      </c>
      <c r="B620" s="92" t="s">
        <v>285</v>
      </c>
      <c r="C620" s="91" t="s">
        <v>856</v>
      </c>
      <c r="D620" s="91" t="s">
        <v>256</v>
      </c>
      <c r="E620" s="93">
        <v>33490</v>
      </c>
      <c r="F620" s="94">
        <f t="shared" ca="1" si="25"/>
        <v>25</v>
      </c>
      <c r="G620" s="95" t="s">
        <v>262</v>
      </c>
      <c r="H620" s="96">
        <v>82700</v>
      </c>
      <c r="I620" s="97">
        <v>3</v>
      </c>
    </row>
    <row r="621" spans="1:9" ht="13.5">
      <c r="A621" s="91" t="s">
        <v>856</v>
      </c>
      <c r="B621" s="92" t="s">
        <v>266</v>
      </c>
      <c r="C621" s="91" t="s">
        <v>856</v>
      </c>
      <c r="D621" s="91" t="s">
        <v>252</v>
      </c>
      <c r="E621" s="93">
        <v>33724</v>
      </c>
      <c r="F621" s="94">
        <f t="shared" ca="1" si="25"/>
        <v>24</v>
      </c>
      <c r="G621" s="95"/>
      <c r="H621" s="96">
        <v>23692</v>
      </c>
      <c r="I621" s="97">
        <v>4</v>
      </c>
    </row>
    <row r="622" spans="1:9" ht="13.5">
      <c r="A622" s="91" t="s">
        <v>856</v>
      </c>
      <c r="B622" s="92" t="s">
        <v>271</v>
      </c>
      <c r="C622" s="91" t="s">
        <v>856</v>
      </c>
      <c r="D622" s="91" t="s">
        <v>256</v>
      </c>
      <c r="E622" s="93">
        <v>34046</v>
      </c>
      <c r="F622" s="94">
        <f t="shared" ca="1" si="25"/>
        <v>23</v>
      </c>
      <c r="G622" s="95" t="s">
        <v>262</v>
      </c>
      <c r="H622" s="96">
        <v>63030</v>
      </c>
      <c r="I622" s="97">
        <v>1</v>
      </c>
    </row>
    <row r="623" spans="1:9" ht="13.5">
      <c r="A623" s="91" t="s">
        <v>856</v>
      </c>
      <c r="B623" s="92" t="s">
        <v>271</v>
      </c>
      <c r="C623" s="91" t="s">
        <v>856</v>
      </c>
      <c r="D623" s="91" t="s">
        <v>256</v>
      </c>
      <c r="E623" s="93">
        <v>34063</v>
      </c>
      <c r="F623" s="94">
        <f t="shared" ca="1" si="25"/>
        <v>23</v>
      </c>
      <c r="G623" s="95" t="s">
        <v>283</v>
      </c>
      <c r="H623" s="96">
        <v>66440</v>
      </c>
      <c r="I623" s="97">
        <v>3</v>
      </c>
    </row>
    <row r="624" spans="1:9" ht="13.5">
      <c r="A624" s="91" t="s">
        <v>856</v>
      </c>
      <c r="B624" s="92" t="s">
        <v>271</v>
      </c>
      <c r="C624" s="91" t="s">
        <v>856</v>
      </c>
      <c r="D624" s="91" t="s">
        <v>252</v>
      </c>
      <c r="E624" s="93">
        <v>34092</v>
      </c>
      <c r="F624" s="94">
        <f t="shared" ca="1" si="25"/>
        <v>23</v>
      </c>
      <c r="G624" s="95"/>
      <c r="H624" s="96">
        <v>33508</v>
      </c>
      <c r="I624" s="97">
        <v>4</v>
      </c>
    </row>
    <row r="625" spans="1:9" ht="13.5">
      <c r="A625" s="91" t="s">
        <v>856</v>
      </c>
      <c r="B625" s="92" t="s">
        <v>285</v>
      </c>
      <c r="C625" s="91" t="s">
        <v>856</v>
      </c>
      <c r="D625" s="91" t="s">
        <v>256</v>
      </c>
      <c r="E625" s="93">
        <v>34098</v>
      </c>
      <c r="F625" s="94">
        <f t="shared" ca="1" si="25"/>
        <v>23</v>
      </c>
      <c r="G625" s="95" t="s">
        <v>283</v>
      </c>
      <c r="H625" s="96">
        <v>34330</v>
      </c>
      <c r="I625" s="97">
        <v>3</v>
      </c>
    </row>
    <row r="626" spans="1:9" ht="13.5">
      <c r="A626" s="91" t="s">
        <v>856</v>
      </c>
      <c r="B626" s="92" t="s">
        <v>285</v>
      </c>
      <c r="C626" s="91" t="s">
        <v>856</v>
      </c>
      <c r="D626" s="91" t="s">
        <v>256</v>
      </c>
      <c r="E626" s="93">
        <v>34098</v>
      </c>
      <c r="F626" s="94">
        <f t="shared" ca="1" si="25"/>
        <v>23</v>
      </c>
      <c r="G626" s="95" t="s">
        <v>283</v>
      </c>
      <c r="H626" s="96">
        <v>34330</v>
      </c>
      <c r="I626" s="97">
        <v>3</v>
      </c>
    </row>
    <row r="627" spans="1:9" ht="13.5">
      <c r="A627" s="91" t="s">
        <v>856</v>
      </c>
      <c r="B627" s="92" t="s">
        <v>245</v>
      </c>
      <c r="C627" s="91" t="s">
        <v>856</v>
      </c>
      <c r="D627" s="91" t="s">
        <v>256</v>
      </c>
      <c r="E627" s="93">
        <v>34141</v>
      </c>
      <c r="F627" s="94">
        <f t="shared" ca="1" si="25"/>
        <v>23</v>
      </c>
      <c r="G627" s="95" t="s">
        <v>276</v>
      </c>
      <c r="H627" s="96">
        <v>62965</v>
      </c>
      <c r="I627" s="97">
        <v>1</v>
      </c>
    </row>
    <row r="628" spans="1:9" ht="13.5">
      <c r="A628" s="91" t="s">
        <v>856</v>
      </c>
      <c r="B628" s="92" t="s">
        <v>285</v>
      </c>
      <c r="C628" s="91" t="s">
        <v>856</v>
      </c>
      <c r="D628" s="91" t="s">
        <v>256</v>
      </c>
      <c r="E628" s="93">
        <v>34187</v>
      </c>
      <c r="F628" s="94">
        <f t="shared" ca="1" si="25"/>
        <v>23</v>
      </c>
      <c r="G628" s="95" t="s">
        <v>257</v>
      </c>
      <c r="H628" s="96">
        <v>78710</v>
      </c>
      <c r="I628" s="97">
        <v>4</v>
      </c>
    </row>
    <row r="629" spans="1:9" ht="13.5">
      <c r="A629" s="91" t="s">
        <v>856</v>
      </c>
      <c r="B629" s="92" t="s">
        <v>285</v>
      </c>
      <c r="C629" s="91" t="s">
        <v>856</v>
      </c>
      <c r="D629" s="91" t="s">
        <v>256</v>
      </c>
      <c r="E629" s="93">
        <v>34259</v>
      </c>
      <c r="F629" s="94">
        <f t="shared" ca="1" si="25"/>
        <v>23</v>
      </c>
      <c r="G629" s="95" t="s">
        <v>283</v>
      </c>
      <c r="H629" s="96">
        <v>37770</v>
      </c>
      <c r="I629" s="97">
        <v>5</v>
      </c>
    </row>
    <row r="630" spans="1:9" ht="13.5">
      <c r="A630" s="91" t="s">
        <v>856</v>
      </c>
      <c r="B630" s="92" t="s">
        <v>271</v>
      </c>
      <c r="C630" s="91" t="s">
        <v>856</v>
      </c>
      <c r="D630" s="91" t="s">
        <v>261</v>
      </c>
      <c r="E630" s="93">
        <v>34378</v>
      </c>
      <c r="F630" s="94">
        <f t="shared" ca="1" si="25"/>
        <v>22</v>
      </c>
      <c r="G630" s="95" t="s">
        <v>283</v>
      </c>
      <c r="H630" s="96">
        <v>42740</v>
      </c>
      <c r="I630" s="97">
        <v>2</v>
      </c>
    </row>
    <row r="631" spans="1:9" ht="13.5">
      <c r="A631" s="91" t="s">
        <v>856</v>
      </c>
      <c r="B631" s="92" t="s">
        <v>280</v>
      </c>
      <c r="C631" s="91" t="s">
        <v>856</v>
      </c>
      <c r="D631" s="91" t="s">
        <v>256</v>
      </c>
      <c r="E631" s="93">
        <v>34405</v>
      </c>
      <c r="F631" s="94">
        <f t="shared" ref="F631:F662" ca="1" si="26">DATEDIF(E631,TODAY(),"Y")</f>
        <v>22</v>
      </c>
      <c r="G631" s="95" t="s">
        <v>283</v>
      </c>
      <c r="H631" s="96">
        <v>32120</v>
      </c>
      <c r="I631" s="97">
        <v>1</v>
      </c>
    </row>
    <row r="632" spans="1:9" ht="13.5">
      <c r="A632" s="91" t="s">
        <v>856</v>
      </c>
      <c r="B632" s="92" t="s">
        <v>271</v>
      </c>
      <c r="C632" s="91" t="s">
        <v>856</v>
      </c>
      <c r="D632" s="91" t="s">
        <v>247</v>
      </c>
      <c r="E632" s="93">
        <v>34496</v>
      </c>
      <c r="F632" s="94">
        <f t="shared" ca="1" si="26"/>
        <v>22</v>
      </c>
      <c r="G632" s="95"/>
      <c r="H632" s="96">
        <v>86100</v>
      </c>
      <c r="I632" s="97">
        <v>4</v>
      </c>
    </row>
    <row r="633" spans="1:9" ht="13.5">
      <c r="A633" s="91" t="s">
        <v>856</v>
      </c>
      <c r="B633" s="92" t="s">
        <v>280</v>
      </c>
      <c r="C633" s="91" t="s">
        <v>856</v>
      </c>
      <c r="D633" s="91" t="s">
        <v>261</v>
      </c>
      <c r="E633" s="93">
        <v>34532</v>
      </c>
      <c r="F633" s="94">
        <f t="shared" ca="1" si="26"/>
        <v>22</v>
      </c>
      <c r="G633" s="95" t="s">
        <v>267</v>
      </c>
      <c r="H633" s="96">
        <v>39530</v>
      </c>
      <c r="I633" s="97">
        <v>5</v>
      </c>
    </row>
    <row r="634" spans="1:9" ht="13.5">
      <c r="A634" s="91" t="s">
        <v>856</v>
      </c>
      <c r="B634" s="92" t="s">
        <v>271</v>
      </c>
      <c r="C634" s="91" t="s">
        <v>856</v>
      </c>
      <c r="D634" s="91" t="s">
        <v>252</v>
      </c>
      <c r="E634" s="93">
        <v>34551</v>
      </c>
      <c r="F634" s="94">
        <f t="shared" ca="1" si="26"/>
        <v>22</v>
      </c>
      <c r="G634" s="95"/>
      <c r="H634" s="96">
        <v>12836</v>
      </c>
      <c r="I634" s="97">
        <v>5</v>
      </c>
    </row>
    <row r="635" spans="1:9" ht="13.5">
      <c r="A635" s="91" t="s">
        <v>856</v>
      </c>
      <c r="B635" s="92" t="s">
        <v>245</v>
      </c>
      <c r="C635" s="91" t="s">
        <v>856</v>
      </c>
      <c r="D635" s="91" t="s">
        <v>252</v>
      </c>
      <c r="E635" s="93">
        <v>34559</v>
      </c>
      <c r="F635" s="94">
        <f t="shared" ca="1" si="26"/>
        <v>22</v>
      </c>
      <c r="G635" s="95"/>
      <c r="H635" s="96">
        <v>17912</v>
      </c>
      <c r="I635" s="97">
        <v>5</v>
      </c>
    </row>
    <row r="636" spans="1:9" ht="13.5">
      <c r="A636" s="91" t="s">
        <v>856</v>
      </c>
      <c r="B636" s="92" t="s">
        <v>285</v>
      </c>
      <c r="C636" s="91" t="s">
        <v>856</v>
      </c>
      <c r="D636" s="91" t="s">
        <v>256</v>
      </c>
      <c r="E636" s="93">
        <v>34586</v>
      </c>
      <c r="F636" s="94">
        <f t="shared" ca="1" si="26"/>
        <v>22</v>
      </c>
      <c r="G636" s="95" t="s">
        <v>283</v>
      </c>
      <c r="H636" s="96">
        <v>70280</v>
      </c>
      <c r="I636" s="97">
        <v>3</v>
      </c>
    </row>
    <row r="637" spans="1:9" ht="13.5">
      <c r="A637" s="91" t="s">
        <v>856</v>
      </c>
      <c r="B637" s="92" t="s">
        <v>271</v>
      </c>
      <c r="C637" s="91" t="s">
        <v>856</v>
      </c>
      <c r="D637" s="91" t="s">
        <v>256</v>
      </c>
      <c r="E637" s="93">
        <v>34702</v>
      </c>
      <c r="F637" s="94">
        <f t="shared" ca="1" si="26"/>
        <v>21</v>
      </c>
      <c r="G637" s="95" t="s">
        <v>262</v>
      </c>
      <c r="H637" s="96">
        <v>78950</v>
      </c>
      <c r="I637" s="97">
        <v>1</v>
      </c>
    </row>
    <row r="638" spans="1:9" ht="13.5">
      <c r="A638" s="91" t="s">
        <v>856</v>
      </c>
      <c r="B638" s="92" t="s">
        <v>245</v>
      </c>
      <c r="C638" s="91" t="s">
        <v>856</v>
      </c>
      <c r="D638" s="91" t="s">
        <v>247</v>
      </c>
      <c r="E638" s="93">
        <v>34760</v>
      </c>
      <c r="F638" s="94">
        <f t="shared" ca="1" si="26"/>
        <v>21</v>
      </c>
      <c r="G638" s="95"/>
      <c r="H638" s="96">
        <v>59050</v>
      </c>
      <c r="I638" s="97">
        <v>4</v>
      </c>
    </row>
    <row r="639" spans="1:9" ht="13.5">
      <c r="A639" s="91" t="s">
        <v>856</v>
      </c>
      <c r="B639" s="92" t="s">
        <v>271</v>
      </c>
      <c r="C639" s="91" t="s">
        <v>856</v>
      </c>
      <c r="D639" s="91" t="s">
        <v>256</v>
      </c>
      <c r="E639" s="93">
        <v>34768</v>
      </c>
      <c r="F639" s="94">
        <f t="shared" ca="1" si="26"/>
        <v>21</v>
      </c>
      <c r="G639" s="95" t="s">
        <v>276</v>
      </c>
      <c r="H639" s="96">
        <v>79610</v>
      </c>
      <c r="I639" s="97">
        <v>2</v>
      </c>
    </row>
    <row r="640" spans="1:9" ht="13.5">
      <c r="A640" s="91" t="s">
        <v>856</v>
      </c>
      <c r="B640" s="92" t="s">
        <v>245</v>
      </c>
      <c r="C640" s="91" t="s">
        <v>856</v>
      </c>
      <c r="D640" s="91" t="s">
        <v>256</v>
      </c>
      <c r="E640" s="93">
        <v>34771</v>
      </c>
      <c r="F640" s="94">
        <f t="shared" ca="1" si="26"/>
        <v>21</v>
      </c>
      <c r="G640" s="95" t="s">
        <v>283</v>
      </c>
      <c r="H640" s="96">
        <v>67407</v>
      </c>
      <c r="I640" s="97">
        <v>5</v>
      </c>
    </row>
    <row r="641" spans="1:9" ht="13.5">
      <c r="A641" s="91" t="s">
        <v>856</v>
      </c>
      <c r="B641" s="92" t="s">
        <v>271</v>
      </c>
      <c r="C641" s="91" t="s">
        <v>856</v>
      </c>
      <c r="D641" s="91" t="s">
        <v>261</v>
      </c>
      <c r="E641" s="93">
        <v>34886</v>
      </c>
      <c r="F641" s="94">
        <f t="shared" ca="1" si="26"/>
        <v>21</v>
      </c>
      <c r="G641" s="95" t="s">
        <v>257</v>
      </c>
      <c r="H641" s="96">
        <v>34980</v>
      </c>
      <c r="I641" s="97">
        <v>2</v>
      </c>
    </row>
    <row r="642" spans="1:9" ht="13.5">
      <c r="A642" s="91" t="s">
        <v>856</v>
      </c>
      <c r="B642" s="92" t="s">
        <v>285</v>
      </c>
      <c r="C642" s="91" t="s">
        <v>856</v>
      </c>
      <c r="D642" s="91" t="s">
        <v>247</v>
      </c>
      <c r="E642" s="93">
        <v>34904</v>
      </c>
      <c r="F642" s="94">
        <f t="shared" ca="1" si="26"/>
        <v>21</v>
      </c>
      <c r="G642" s="95"/>
      <c r="H642" s="96">
        <v>53310</v>
      </c>
      <c r="I642" s="97">
        <v>5</v>
      </c>
    </row>
    <row r="643" spans="1:9" ht="13.5">
      <c r="A643" s="91" t="s">
        <v>856</v>
      </c>
      <c r="B643" s="92" t="s">
        <v>285</v>
      </c>
      <c r="C643" s="91" t="s">
        <v>856</v>
      </c>
      <c r="D643" s="91" t="s">
        <v>256</v>
      </c>
      <c r="E643" s="93">
        <v>34935</v>
      </c>
      <c r="F643" s="94">
        <f t="shared" ca="1" si="26"/>
        <v>21</v>
      </c>
      <c r="G643" s="95" t="s">
        <v>257</v>
      </c>
      <c r="H643" s="96">
        <v>58410</v>
      </c>
      <c r="I643" s="97">
        <v>5</v>
      </c>
    </row>
    <row r="644" spans="1:9" ht="13.5">
      <c r="A644" s="91" t="s">
        <v>856</v>
      </c>
      <c r="B644" s="92" t="s">
        <v>245</v>
      </c>
      <c r="C644" s="91" t="s">
        <v>856</v>
      </c>
      <c r="D644" s="91" t="s">
        <v>256</v>
      </c>
      <c r="E644" s="93">
        <v>34980</v>
      </c>
      <c r="F644" s="94">
        <f t="shared" ca="1" si="26"/>
        <v>21</v>
      </c>
      <c r="G644" s="95" t="s">
        <v>283</v>
      </c>
      <c r="H644" s="96">
        <v>39000</v>
      </c>
      <c r="I644" s="97">
        <v>3</v>
      </c>
    </row>
    <row r="645" spans="1:9" ht="13.5">
      <c r="A645" s="91" t="s">
        <v>856</v>
      </c>
      <c r="B645" s="92" t="s">
        <v>285</v>
      </c>
      <c r="C645" s="91" t="s">
        <v>856</v>
      </c>
      <c r="D645" s="91" t="s">
        <v>256</v>
      </c>
      <c r="E645" s="93">
        <v>35002</v>
      </c>
      <c r="F645" s="94">
        <f t="shared" ca="1" si="26"/>
        <v>21</v>
      </c>
      <c r="G645" s="95" t="s">
        <v>257</v>
      </c>
      <c r="H645" s="96">
        <v>69200</v>
      </c>
      <c r="I645" s="97">
        <v>4</v>
      </c>
    </row>
    <row r="646" spans="1:9" ht="13.5">
      <c r="A646" s="91" t="s">
        <v>856</v>
      </c>
      <c r="B646" s="92" t="s">
        <v>245</v>
      </c>
      <c r="C646" s="91" t="s">
        <v>856</v>
      </c>
      <c r="D646" s="91" t="s">
        <v>256</v>
      </c>
      <c r="E646" s="93">
        <v>35050</v>
      </c>
      <c r="F646" s="94">
        <f t="shared" ca="1" si="26"/>
        <v>20</v>
      </c>
      <c r="G646" s="95" t="s">
        <v>283</v>
      </c>
      <c r="H646" s="96">
        <v>67020</v>
      </c>
      <c r="I646" s="97">
        <v>1</v>
      </c>
    </row>
    <row r="647" spans="1:9" ht="13.5">
      <c r="A647" s="91" t="s">
        <v>856</v>
      </c>
      <c r="B647" s="92" t="s">
        <v>271</v>
      </c>
      <c r="C647" s="91" t="s">
        <v>856</v>
      </c>
      <c r="D647" s="91" t="s">
        <v>247</v>
      </c>
      <c r="E647" s="93">
        <v>35096</v>
      </c>
      <c r="F647" s="94">
        <f t="shared" ca="1" si="26"/>
        <v>20</v>
      </c>
      <c r="G647" s="95"/>
      <c r="H647" s="96">
        <v>60800</v>
      </c>
      <c r="I647" s="97">
        <v>4</v>
      </c>
    </row>
    <row r="648" spans="1:9" ht="13.5">
      <c r="A648" s="91" t="s">
        <v>856</v>
      </c>
      <c r="B648" s="92" t="s">
        <v>285</v>
      </c>
      <c r="C648" s="91" t="s">
        <v>856</v>
      </c>
      <c r="D648" s="91" t="s">
        <v>256</v>
      </c>
      <c r="E648" s="93">
        <v>35097</v>
      </c>
      <c r="F648" s="94">
        <f t="shared" ca="1" si="26"/>
        <v>20</v>
      </c>
      <c r="G648" s="95" t="s">
        <v>262</v>
      </c>
      <c r="H648" s="96">
        <v>45880</v>
      </c>
      <c r="I648" s="97">
        <v>5</v>
      </c>
    </row>
    <row r="649" spans="1:9" ht="13.5">
      <c r="A649" s="91" t="s">
        <v>856</v>
      </c>
      <c r="B649" s="92" t="s">
        <v>285</v>
      </c>
      <c r="C649" s="91" t="s">
        <v>856</v>
      </c>
      <c r="D649" s="91" t="s">
        <v>261</v>
      </c>
      <c r="E649" s="93">
        <v>35113</v>
      </c>
      <c r="F649" s="94">
        <f t="shared" ca="1" si="26"/>
        <v>20</v>
      </c>
      <c r="G649" s="95" t="s">
        <v>276</v>
      </c>
      <c r="H649" s="96">
        <v>47350</v>
      </c>
      <c r="I649" s="97">
        <v>1</v>
      </c>
    </row>
    <row r="650" spans="1:9" ht="13.5">
      <c r="A650" s="91" t="s">
        <v>856</v>
      </c>
      <c r="B650" s="92" t="s">
        <v>285</v>
      </c>
      <c r="C650" s="91" t="s">
        <v>856</v>
      </c>
      <c r="D650" s="91" t="s">
        <v>247</v>
      </c>
      <c r="E650" s="93">
        <v>35169</v>
      </c>
      <c r="F650" s="94">
        <f t="shared" ca="1" si="26"/>
        <v>20</v>
      </c>
      <c r="G650" s="95"/>
      <c r="H650" s="96">
        <v>54840</v>
      </c>
      <c r="I650" s="97">
        <v>4</v>
      </c>
    </row>
    <row r="651" spans="1:9" ht="13.5">
      <c r="A651" s="91" t="s">
        <v>856</v>
      </c>
      <c r="B651" s="92" t="s">
        <v>266</v>
      </c>
      <c r="C651" s="91" t="s">
        <v>856</v>
      </c>
      <c r="D651" s="91" t="s">
        <v>256</v>
      </c>
      <c r="E651" s="93">
        <v>35204</v>
      </c>
      <c r="F651" s="94">
        <f t="shared" ca="1" si="26"/>
        <v>20</v>
      </c>
      <c r="G651" s="95" t="s">
        <v>283</v>
      </c>
      <c r="H651" s="96">
        <v>48250</v>
      </c>
      <c r="I651" s="97">
        <v>3</v>
      </c>
    </row>
    <row r="652" spans="1:9" ht="13.5">
      <c r="A652" s="91" t="s">
        <v>856</v>
      </c>
      <c r="B652" s="92" t="s">
        <v>285</v>
      </c>
      <c r="C652" s="91" t="s">
        <v>856</v>
      </c>
      <c r="D652" s="91" t="s">
        <v>256</v>
      </c>
      <c r="E652" s="93">
        <v>35216</v>
      </c>
      <c r="F652" s="94">
        <f t="shared" ca="1" si="26"/>
        <v>20</v>
      </c>
      <c r="G652" s="95" t="s">
        <v>257</v>
      </c>
      <c r="H652" s="96">
        <v>29260</v>
      </c>
      <c r="I652" s="97">
        <v>4</v>
      </c>
    </row>
    <row r="653" spans="1:9" ht="13.5">
      <c r="A653" s="91" t="s">
        <v>856</v>
      </c>
      <c r="B653" s="92" t="s">
        <v>271</v>
      </c>
      <c r="C653" s="91" t="s">
        <v>856</v>
      </c>
      <c r="D653" s="91" t="s">
        <v>261</v>
      </c>
      <c r="E653" s="93">
        <v>35221</v>
      </c>
      <c r="F653" s="94">
        <f t="shared" ca="1" si="26"/>
        <v>20</v>
      </c>
      <c r="G653" s="95" t="s">
        <v>267</v>
      </c>
      <c r="H653" s="96">
        <v>20990</v>
      </c>
      <c r="I653" s="97">
        <v>4</v>
      </c>
    </row>
    <row r="654" spans="1:9" ht="13.5">
      <c r="A654" s="91" t="s">
        <v>856</v>
      </c>
      <c r="B654" s="92" t="s">
        <v>266</v>
      </c>
      <c r="C654" s="91" t="s">
        <v>856</v>
      </c>
      <c r="D654" s="91" t="s">
        <v>252</v>
      </c>
      <c r="E654" s="93">
        <v>35247</v>
      </c>
      <c r="F654" s="94">
        <f t="shared" ca="1" si="26"/>
        <v>20</v>
      </c>
      <c r="G654" s="95"/>
      <c r="H654" s="96">
        <v>15552</v>
      </c>
      <c r="I654" s="97">
        <v>4</v>
      </c>
    </row>
    <row r="655" spans="1:9" ht="13.5">
      <c r="A655" s="91" t="s">
        <v>856</v>
      </c>
      <c r="B655" s="92" t="s">
        <v>271</v>
      </c>
      <c r="C655" s="91" t="s">
        <v>856</v>
      </c>
      <c r="D655" s="91" t="s">
        <v>247</v>
      </c>
      <c r="E655" s="93">
        <v>35332</v>
      </c>
      <c r="F655" s="94">
        <f t="shared" ca="1" si="26"/>
        <v>20</v>
      </c>
      <c r="G655" s="95"/>
      <c r="H655" s="96">
        <v>77760</v>
      </c>
      <c r="I655" s="97">
        <v>3</v>
      </c>
    </row>
    <row r="656" spans="1:9" ht="13.5">
      <c r="A656" s="91" t="s">
        <v>856</v>
      </c>
      <c r="B656" s="92" t="s">
        <v>271</v>
      </c>
      <c r="C656" s="91" t="s">
        <v>856</v>
      </c>
      <c r="D656" s="91" t="s">
        <v>247</v>
      </c>
      <c r="E656" s="93">
        <v>35332</v>
      </c>
      <c r="F656" s="94">
        <f t="shared" ca="1" si="26"/>
        <v>20</v>
      </c>
      <c r="G656" s="95"/>
      <c r="H656" s="96">
        <v>77760</v>
      </c>
      <c r="I656" s="97">
        <v>3</v>
      </c>
    </row>
    <row r="657" spans="1:9" ht="13.5">
      <c r="A657" s="91" t="s">
        <v>856</v>
      </c>
      <c r="B657" s="92" t="s">
        <v>251</v>
      </c>
      <c r="C657" s="91" t="s">
        <v>856</v>
      </c>
      <c r="D657" s="91" t="s">
        <v>247</v>
      </c>
      <c r="E657" s="93">
        <v>35772</v>
      </c>
      <c r="F657" s="94">
        <f t="shared" ca="1" si="26"/>
        <v>18</v>
      </c>
      <c r="G657" s="95"/>
      <c r="H657" s="96">
        <v>46780</v>
      </c>
      <c r="I657" s="97">
        <v>2</v>
      </c>
    </row>
    <row r="658" spans="1:9" ht="13.5">
      <c r="A658" s="91" t="s">
        <v>856</v>
      </c>
      <c r="B658" s="92" t="s">
        <v>266</v>
      </c>
      <c r="C658" s="91" t="s">
        <v>856</v>
      </c>
      <c r="D658" s="91" t="s">
        <v>256</v>
      </c>
      <c r="E658" s="93">
        <v>36315</v>
      </c>
      <c r="F658" s="94">
        <f t="shared" ca="1" si="26"/>
        <v>17</v>
      </c>
      <c r="G658" s="95" t="s">
        <v>283</v>
      </c>
      <c r="H658" s="96">
        <v>82490</v>
      </c>
      <c r="I658" s="97">
        <v>5</v>
      </c>
    </row>
    <row r="659" spans="1:9" ht="13.5">
      <c r="A659" s="91" t="s">
        <v>856</v>
      </c>
      <c r="B659" s="92" t="s">
        <v>245</v>
      </c>
      <c r="C659" s="91" t="s">
        <v>856</v>
      </c>
      <c r="D659" s="91" t="s">
        <v>261</v>
      </c>
      <c r="E659" s="93">
        <v>36465</v>
      </c>
      <c r="F659" s="94">
        <f t="shared" ca="1" si="26"/>
        <v>17</v>
      </c>
      <c r="G659" s="95" t="s">
        <v>262</v>
      </c>
      <c r="H659" s="96">
        <v>28525</v>
      </c>
      <c r="I659" s="97">
        <v>4</v>
      </c>
    </row>
    <row r="660" spans="1:9" ht="13.5">
      <c r="A660" s="91" t="s">
        <v>856</v>
      </c>
      <c r="B660" s="92" t="s">
        <v>280</v>
      </c>
      <c r="C660" s="91" t="s">
        <v>856</v>
      </c>
      <c r="D660" s="91" t="s">
        <v>256</v>
      </c>
      <c r="E660" s="93">
        <v>36483</v>
      </c>
      <c r="F660" s="94">
        <f t="shared" ca="1" si="26"/>
        <v>16</v>
      </c>
      <c r="G660" s="95" t="s">
        <v>257</v>
      </c>
      <c r="H660" s="96">
        <v>29210</v>
      </c>
      <c r="I660" s="97">
        <v>5</v>
      </c>
    </row>
    <row r="661" spans="1:9" ht="13.5">
      <c r="A661" s="91" t="s">
        <v>856</v>
      </c>
      <c r="B661" s="92" t="s">
        <v>280</v>
      </c>
      <c r="C661" s="91" t="s">
        <v>856</v>
      </c>
      <c r="D661" s="91" t="s">
        <v>261</v>
      </c>
      <c r="E661" s="93">
        <v>36505</v>
      </c>
      <c r="F661" s="94">
        <f t="shared" ca="1" si="26"/>
        <v>16</v>
      </c>
      <c r="G661" s="95" t="s">
        <v>257</v>
      </c>
      <c r="H661" s="96">
        <v>48740</v>
      </c>
      <c r="I661" s="97">
        <v>1</v>
      </c>
    </row>
    <row r="662" spans="1:9" ht="13.5">
      <c r="A662" s="91" t="s">
        <v>856</v>
      </c>
      <c r="B662" s="92" t="s">
        <v>251</v>
      </c>
      <c r="C662" s="91" t="s">
        <v>856</v>
      </c>
      <c r="D662" s="91" t="s">
        <v>247</v>
      </c>
      <c r="E662" s="93">
        <v>36717</v>
      </c>
      <c r="F662" s="94">
        <f t="shared" ca="1" si="26"/>
        <v>16</v>
      </c>
      <c r="G662" s="95"/>
      <c r="H662" s="96">
        <v>64590</v>
      </c>
      <c r="I662" s="97">
        <v>1</v>
      </c>
    </row>
    <row r="663" spans="1:9" ht="13.5">
      <c r="A663" s="91" t="s">
        <v>856</v>
      </c>
      <c r="B663" s="92" t="s">
        <v>245</v>
      </c>
      <c r="C663" s="91" t="s">
        <v>856</v>
      </c>
      <c r="D663" s="91" t="s">
        <v>256</v>
      </c>
      <c r="E663" s="93">
        <v>36927</v>
      </c>
      <c r="F663" s="94">
        <f t="shared" ref="F663:F674" ca="1" si="27">DATEDIF(E663,TODAY(),"Y")</f>
        <v>15</v>
      </c>
      <c r="G663" s="95" t="s">
        <v>283</v>
      </c>
      <c r="H663" s="96">
        <v>31910</v>
      </c>
      <c r="I663" s="97">
        <v>5</v>
      </c>
    </row>
    <row r="664" spans="1:9" ht="13.5">
      <c r="A664" s="91" t="s">
        <v>856</v>
      </c>
      <c r="B664" s="92" t="s">
        <v>280</v>
      </c>
      <c r="C664" s="91" t="s">
        <v>856</v>
      </c>
      <c r="D664" s="91" t="s">
        <v>256</v>
      </c>
      <c r="E664" s="93">
        <v>37043</v>
      </c>
      <c r="F664" s="94">
        <f t="shared" ca="1" si="27"/>
        <v>15</v>
      </c>
      <c r="G664" s="95" t="s">
        <v>283</v>
      </c>
      <c r="H664" s="96">
        <v>83710</v>
      </c>
      <c r="I664" s="97">
        <v>3</v>
      </c>
    </row>
    <row r="665" spans="1:9" ht="13.5">
      <c r="A665" s="91" t="s">
        <v>856</v>
      </c>
      <c r="B665" s="92" t="s">
        <v>285</v>
      </c>
      <c r="C665" s="91" t="s">
        <v>856</v>
      </c>
      <c r="D665" s="91" t="s">
        <v>247</v>
      </c>
      <c r="E665" s="93">
        <v>37483</v>
      </c>
      <c r="F665" s="94">
        <f t="shared" ca="1" si="27"/>
        <v>14</v>
      </c>
      <c r="G665" s="95"/>
      <c r="H665" s="96">
        <v>85930</v>
      </c>
      <c r="I665" s="97">
        <v>2</v>
      </c>
    </row>
    <row r="666" spans="1:9" ht="13.5">
      <c r="A666" s="91" t="s">
        <v>856</v>
      </c>
      <c r="B666" s="92" t="s">
        <v>285</v>
      </c>
      <c r="C666" s="91" t="s">
        <v>856</v>
      </c>
      <c r="D666" s="91" t="s">
        <v>247</v>
      </c>
      <c r="E666" s="93">
        <v>37483</v>
      </c>
      <c r="F666" s="94">
        <f t="shared" ca="1" si="27"/>
        <v>14</v>
      </c>
      <c r="G666" s="95"/>
      <c r="H666" s="96">
        <v>85930</v>
      </c>
      <c r="I666" s="97">
        <v>2</v>
      </c>
    </row>
    <row r="667" spans="1:9" ht="13.5">
      <c r="A667" s="91" t="s">
        <v>856</v>
      </c>
      <c r="B667" s="92" t="s">
        <v>285</v>
      </c>
      <c r="C667" s="91" t="s">
        <v>856</v>
      </c>
      <c r="D667" s="91" t="s">
        <v>256</v>
      </c>
      <c r="E667" s="93">
        <v>37592</v>
      </c>
      <c r="F667" s="94">
        <f t="shared" ca="1" si="27"/>
        <v>13</v>
      </c>
      <c r="G667" s="95" t="s">
        <v>257</v>
      </c>
      <c r="H667" s="96">
        <v>73560</v>
      </c>
      <c r="I667" s="97">
        <v>3</v>
      </c>
    </row>
    <row r="668" spans="1:9" ht="13.5">
      <c r="A668" s="91" t="s">
        <v>856</v>
      </c>
      <c r="B668" s="92" t="s">
        <v>245</v>
      </c>
      <c r="C668" s="91" t="s">
        <v>856</v>
      </c>
      <c r="D668" s="91" t="s">
        <v>256</v>
      </c>
      <c r="E668" s="93">
        <v>37843</v>
      </c>
      <c r="F668" s="94">
        <f t="shared" ca="1" si="27"/>
        <v>13</v>
      </c>
      <c r="G668" s="95" t="s">
        <v>283</v>
      </c>
      <c r="H668" s="96">
        <v>43600</v>
      </c>
      <c r="I668" s="97">
        <v>5</v>
      </c>
    </row>
    <row r="669" spans="1:9" ht="13.5">
      <c r="A669" s="91" t="s">
        <v>856</v>
      </c>
      <c r="B669" s="92" t="s">
        <v>285</v>
      </c>
      <c r="C669" s="91" t="s">
        <v>856</v>
      </c>
      <c r="D669" s="91" t="s">
        <v>247</v>
      </c>
      <c r="E669" s="93">
        <v>38410</v>
      </c>
      <c r="F669" s="94">
        <f t="shared" ca="1" si="27"/>
        <v>11</v>
      </c>
      <c r="G669" s="95"/>
      <c r="H669" s="96">
        <v>43320</v>
      </c>
      <c r="I669" s="97">
        <v>5</v>
      </c>
    </row>
    <row r="670" spans="1:9" ht="13.5">
      <c r="A670" s="91" t="s">
        <v>856</v>
      </c>
      <c r="B670" s="92" t="s">
        <v>285</v>
      </c>
      <c r="C670" s="91" t="s">
        <v>856</v>
      </c>
      <c r="D670" s="91" t="s">
        <v>256</v>
      </c>
      <c r="E670" s="93">
        <v>38435</v>
      </c>
      <c r="F670" s="94">
        <f t="shared" ca="1" si="27"/>
        <v>11</v>
      </c>
      <c r="G670" s="95" t="s">
        <v>283</v>
      </c>
      <c r="H670" s="96">
        <v>29330</v>
      </c>
      <c r="I670" s="97">
        <v>5</v>
      </c>
    </row>
    <row r="671" spans="1:9" ht="13.5">
      <c r="A671" s="91" t="s">
        <v>856</v>
      </c>
      <c r="B671" s="92" t="s">
        <v>245</v>
      </c>
      <c r="C671" s="91" t="s">
        <v>856</v>
      </c>
      <c r="D671" s="91" t="s">
        <v>256</v>
      </c>
      <c r="E671" s="93">
        <v>38505</v>
      </c>
      <c r="F671" s="94">
        <f t="shared" ca="1" si="27"/>
        <v>11</v>
      </c>
      <c r="G671" s="95" t="s">
        <v>283</v>
      </c>
      <c r="H671" s="96">
        <v>72060</v>
      </c>
      <c r="I671" s="97">
        <v>2</v>
      </c>
    </row>
    <row r="672" spans="1:9" ht="13.5">
      <c r="A672" s="91" t="s">
        <v>856</v>
      </c>
      <c r="B672" s="92" t="s">
        <v>280</v>
      </c>
      <c r="C672" s="91" t="s">
        <v>856</v>
      </c>
      <c r="D672" s="91" t="s">
        <v>256</v>
      </c>
      <c r="E672" s="93">
        <v>38768</v>
      </c>
      <c r="F672" s="94">
        <f t="shared" ca="1" si="27"/>
        <v>10</v>
      </c>
      <c r="G672" s="95" t="s">
        <v>283</v>
      </c>
      <c r="H672" s="96">
        <v>23190</v>
      </c>
      <c r="I672" s="97">
        <v>5</v>
      </c>
    </row>
    <row r="673" spans="1:9" ht="13.5">
      <c r="A673" s="91" t="s">
        <v>856</v>
      </c>
      <c r="B673" s="92" t="s">
        <v>271</v>
      </c>
      <c r="C673" s="91" t="s">
        <v>856</v>
      </c>
      <c r="D673" s="91" t="s">
        <v>247</v>
      </c>
      <c r="E673" s="93">
        <v>39040</v>
      </c>
      <c r="F673" s="94">
        <f t="shared" ca="1" si="27"/>
        <v>9</v>
      </c>
      <c r="G673" s="95"/>
      <c r="H673" s="96">
        <v>21580</v>
      </c>
      <c r="I673" s="97">
        <v>3</v>
      </c>
    </row>
    <row r="674" spans="1:9" ht="13.5">
      <c r="A674" s="91" t="s">
        <v>856</v>
      </c>
      <c r="B674" s="92" t="s">
        <v>285</v>
      </c>
      <c r="C674" s="91" t="s">
        <v>856</v>
      </c>
      <c r="D674" s="91" t="s">
        <v>256</v>
      </c>
      <c r="E674" s="93">
        <v>39271</v>
      </c>
      <c r="F674" s="94">
        <f t="shared" ca="1" si="27"/>
        <v>9</v>
      </c>
      <c r="G674" s="95" t="s">
        <v>267</v>
      </c>
      <c r="H674" s="96">
        <v>80260</v>
      </c>
      <c r="I674" s="97">
        <v>3</v>
      </c>
    </row>
    <row r="675" spans="1:9" ht="13.5">
      <c r="A675" s="98"/>
      <c r="B675" s="92"/>
      <c r="C675" s="98"/>
      <c r="D675" s="91"/>
      <c r="E675" s="93"/>
      <c r="F675" s="94"/>
      <c r="G675" s="95"/>
      <c r="H675" s="96"/>
      <c r="I675" s="97"/>
    </row>
    <row r="676" spans="1:9" ht="13.5">
      <c r="A676" s="91" t="s">
        <v>930</v>
      </c>
      <c r="B676" s="92" t="s">
        <v>285</v>
      </c>
      <c r="C676" s="91" t="s">
        <v>930</v>
      </c>
      <c r="D676" s="91" t="s">
        <v>247</v>
      </c>
      <c r="E676" s="93">
        <v>31834</v>
      </c>
      <c r="F676" s="94">
        <f t="shared" ref="F676:F707" ca="1" si="28">DATEDIF(E676,TODAY(),"Y")</f>
        <v>29</v>
      </c>
      <c r="G676" s="95"/>
      <c r="H676" s="96">
        <v>23340</v>
      </c>
      <c r="I676" s="97">
        <v>4</v>
      </c>
    </row>
    <row r="677" spans="1:9" ht="13.5">
      <c r="A677" s="91" t="s">
        <v>930</v>
      </c>
      <c r="B677" s="92" t="s">
        <v>271</v>
      </c>
      <c r="C677" s="91" t="s">
        <v>930</v>
      </c>
      <c r="D677" s="91" t="s">
        <v>247</v>
      </c>
      <c r="E677" s="93">
        <v>31883</v>
      </c>
      <c r="F677" s="94">
        <f t="shared" ca="1" si="28"/>
        <v>29</v>
      </c>
      <c r="G677" s="95"/>
      <c r="H677" s="96">
        <v>63610</v>
      </c>
      <c r="I677" s="97">
        <v>5</v>
      </c>
    </row>
    <row r="678" spans="1:9" ht="13.5">
      <c r="A678" s="91" t="s">
        <v>930</v>
      </c>
      <c r="B678" s="92" t="s">
        <v>271</v>
      </c>
      <c r="C678" s="91" t="s">
        <v>930</v>
      </c>
      <c r="D678" s="91" t="s">
        <v>256</v>
      </c>
      <c r="E678" s="93">
        <v>31969</v>
      </c>
      <c r="F678" s="94">
        <f t="shared" ca="1" si="28"/>
        <v>29</v>
      </c>
      <c r="G678" s="95" t="s">
        <v>257</v>
      </c>
      <c r="H678" s="96">
        <v>24200</v>
      </c>
      <c r="I678" s="97">
        <v>5</v>
      </c>
    </row>
    <row r="679" spans="1:9" ht="13.5">
      <c r="A679" s="91" t="s">
        <v>930</v>
      </c>
      <c r="B679" s="92" t="s">
        <v>285</v>
      </c>
      <c r="C679" s="91" t="s">
        <v>930</v>
      </c>
      <c r="D679" s="91" t="s">
        <v>261</v>
      </c>
      <c r="E679" s="93">
        <v>32081</v>
      </c>
      <c r="F679" s="94">
        <f t="shared" ca="1" si="28"/>
        <v>29</v>
      </c>
      <c r="G679" s="95" t="s">
        <v>283</v>
      </c>
      <c r="H679" s="96">
        <v>13455</v>
      </c>
      <c r="I679" s="97">
        <v>2</v>
      </c>
    </row>
    <row r="680" spans="1:9" ht="13.5">
      <c r="A680" s="91" t="s">
        <v>930</v>
      </c>
      <c r="B680" s="92" t="s">
        <v>245</v>
      </c>
      <c r="C680" s="91" t="s">
        <v>930</v>
      </c>
      <c r="D680" s="91" t="s">
        <v>247</v>
      </c>
      <c r="E680" s="93">
        <v>32091</v>
      </c>
      <c r="F680" s="94">
        <f t="shared" ca="1" si="28"/>
        <v>29</v>
      </c>
      <c r="G680" s="95"/>
      <c r="H680" s="96">
        <v>34680</v>
      </c>
      <c r="I680" s="97">
        <v>5</v>
      </c>
    </row>
    <row r="681" spans="1:9" ht="13.5">
      <c r="A681" s="91" t="s">
        <v>930</v>
      </c>
      <c r="B681" s="92" t="s">
        <v>280</v>
      </c>
      <c r="C681" s="91" t="s">
        <v>930</v>
      </c>
      <c r="D681" s="91" t="s">
        <v>247</v>
      </c>
      <c r="E681" s="93">
        <v>32103</v>
      </c>
      <c r="F681" s="94">
        <f t="shared" ca="1" si="28"/>
        <v>28</v>
      </c>
      <c r="G681" s="95"/>
      <c r="H681" s="96">
        <v>26020</v>
      </c>
      <c r="I681" s="97">
        <v>5</v>
      </c>
    </row>
    <row r="682" spans="1:9" ht="13.5">
      <c r="A682" s="91" t="s">
        <v>930</v>
      </c>
      <c r="B682" s="92" t="s">
        <v>285</v>
      </c>
      <c r="C682" s="91" t="s">
        <v>930</v>
      </c>
      <c r="D682" s="91" t="s">
        <v>247</v>
      </c>
      <c r="E682" s="93">
        <v>32185</v>
      </c>
      <c r="F682" s="94">
        <f t="shared" ca="1" si="28"/>
        <v>28</v>
      </c>
      <c r="G682" s="95"/>
      <c r="H682" s="96">
        <v>62480</v>
      </c>
      <c r="I682" s="97">
        <v>5</v>
      </c>
    </row>
    <row r="683" spans="1:9" ht="13.5">
      <c r="A683" s="91" t="s">
        <v>930</v>
      </c>
      <c r="B683" s="92" t="s">
        <v>271</v>
      </c>
      <c r="C683" s="91" t="s">
        <v>930</v>
      </c>
      <c r="D683" s="91" t="s">
        <v>247</v>
      </c>
      <c r="E683" s="93">
        <v>32196</v>
      </c>
      <c r="F683" s="94">
        <f t="shared" ca="1" si="28"/>
        <v>28</v>
      </c>
      <c r="G683" s="95"/>
      <c r="H683" s="96">
        <v>61134</v>
      </c>
      <c r="I683" s="97">
        <v>4</v>
      </c>
    </row>
    <row r="684" spans="1:9" ht="13.5">
      <c r="A684" s="91" t="s">
        <v>930</v>
      </c>
      <c r="B684" s="92" t="s">
        <v>285</v>
      </c>
      <c r="C684" s="91" t="s">
        <v>930</v>
      </c>
      <c r="D684" s="91" t="s">
        <v>247</v>
      </c>
      <c r="E684" s="93">
        <v>32252</v>
      </c>
      <c r="F684" s="94">
        <f t="shared" ca="1" si="28"/>
        <v>28</v>
      </c>
      <c r="G684" s="95"/>
      <c r="H684" s="96">
        <v>57500</v>
      </c>
      <c r="I684" s="97">
        <v>1</v>
      </c>
    </row>
    <row r="685" spans="1:9" ht="13.5">
      <c r="A685" s="91" t="s">
        <v>930</v>
      </c>
      <c r="B685" s="92" t="s">
        <v>285</v>
      </c>
      <c r="C685" s="91" t="s">
        <v>930</v>
      </c>
      <c r="D685" s="91" t="s">
        <v>256</v>
      </c>
      <c r="E685" s="93">
        <v>32371</v>
      </c>
      <c r="F685" s="94">
        <f t="shared" ca="1" si="28"/>
        <v>28</v>
      </c>
      <c r="G685" s="95" t="s">
        <v>262</v>
      </c>
      <c r="H685" s="96">
        <v>46550</v>
      </c>
      <c r="I685" s="97">
        <v>4</v>
      </c>
    </row>
    <row r="686" spans="1:9" ht="13.5">
      <c r="A686" s="91" t="s">
        <v>930</v>
      </c>
      <c r="B686" s="92" t="s">
        <v>245</v>
      </c>
      <c r="C686" s="91" t="s">
        <v>930</v>
      </c>
      <c r="D686" s="91" t="s">
        <v>247</v>
      </c>
      <c r="E686" s="93">
        <v>32479</v>
      </c>
      <c r="F686" s="94">
        <f t="shared" ca="1" si="28"/>
        <v>27</v>
      </c>
      <c r="G686" s="95"/>
      <c r="H686" s="96">
        <v>59128</v>
      </c>
      <c r="I686" s="97">
        <v>4</v>
      </c>
    </row>
    <row r="687" spans="1:9" ht="13.5">
      <c r="A687" s="91" t="s">
        <v>930</v>
      </c>
      <c r="B687" s="92" t="s">
        <v>271</v>
      </c>
      <c r="C687" s="91" t="s">
        <v>930</v>
      </c>
      <c r="D687" s="91" t="s">
        <v>256</v>
      </c>
      <c r="E687" s="93">
        <v>32496</v>
      </c>
      <c r="F687" s="94">
        <f t="shared" ca="1" si="28"/>
        <v>27</v>
      </c>
      <c r="G687" s="95" t="s">
        <v>262</v>
      </c>
      <c r="H687" s="96">
        <v>62780</v>
      </c>
      <c r="I687" s="97">
        <v>3</v>
      </c>
    </row>
    <row r="688" spans="1:9" ht="13.5">
      <c r="A688" s="91" t="s">
        <v>930</v>
      </c>
      <c r="B688" s="92" t="s">
        <v>245</v>
      </c>
      <c r="C688" s="91" t="s">
        <v>930</v>
      </c>
      <c r="D688" s="91" t="s">
        <v>247</v>
      </c>
      <c r="E688" s="93">
        <v>32510</v>
      </c>
      <c r="F688" s="94">
        <f t="shared" ca="1" si="28"/>
        <v>27</v>
      </c>
      <c r="G688" s="95"/>
      <c r="H688" s="96">
        <v>70300</v>
      </c>
      <c r="I688" s="97">
        <v>3</v>
      </c>
    </row>
    <row r="689" spans="1:9" ht="13.5">
      <c r="A689" s="91" t="s">
        <v>930</v>
      </c>
      <c r="B689" s="92" t="s">
        <v>266</v>
      </c>
      <c r="C689" s="91" t="s">
        <v>930</v>
      </c>
      <c r="D689" s="91" t="s">
        <v>256</v>
      </c>
      <c r="E689" s="93">
        <v>32611</v>
      </c>
      <c r="F689" s="94">
        <f t="shared" ca="1" si="28"/>
        <v>27</v>
      </c>
      <c r="G689" s="95" t="s">
        <v>267</v>
      </c>
      <c r="H689" s="96">
        <v>32160</v>
      </c>
      <c r="I689" s="97">
        <v>3</v>
      </c>
    </row>
    <row r="690" spans="1:9" ht="13.5">
      <c r="A690" s="91" t="s">
        <v>930</v>
      </c>
      <c r="B690" s="92" t="s">
        <v>271</v>
      </c>
      <c r="C690" s="91" t="s">
        <v>930</v>
      </c>
      <c r="D690" s="91" t="s">
        <v>256</v>
      </c>
      <c r="E690" s="93">
        <v>32647</v>
      </c>
      <c r="F690" s="94">
        <f t="shared" ca="1" si="28"/>
        <v>27</v>
      </c>
      <c r="G690" s="95" t="s">
        <v>262</v>
      </c>
      <c r="H690" s="96">
        <v>59490</v>
      </c>
      <c r="I690" s="97">
        <v>3</v>
      </c>
    </row>
    <row r="691" spans="1:9" ht="13.5">
      <c r="A691" s="91" t="s">
        <v>930</v>
      </c>
      <c r="B691" s="92" t="s">
        <v>285</v>
      </c>
      <c r="C691" s="91" t="s">
        <v>930</v>
      </c>
      <c r="D691" s="91" t="s">
        <v>247</v>
      </c>
      <c r="E691" s="93">
        <v>32664</v>
      </c>
      <c r="F691" s="94">
        <f t="shared" ca="1" si="28"/>
        <v>27</v>
      </c>
      <c r="G691" s="95"/>
      <c r="H691" s="96">
        <v>70150</v>
      </c>
      <c r="I691" s="97">
        <v>2</v>
      </c>
    </row>
    <row r="692" spans="1:9" ht="13.5">
      <c r="A692" s="91" t="s">
        <v>930</v>
      </c>
      <c r="B692" s="92" t="s">
        <v>271</v>
      </c>
      <c r="C692" s="91" t="s">
        <v>930</v>
      </c>
      <c r="D692" s="91" t="s">
        <v>247</v>
      </c>
      <c r="E692" s="93">
        <v>32667</v>
      </c>
      <c r="F692" s="94">
        <f t="shared" ca="1" si="28"/>
        <v>27</v>
      </c>
      <c r="G692" s="95"/>
      <c r="H692" s="96">
        <v>63290</v>
      </c>
      <c r="I692" s="97">
        <v>5</v>
      </c>
    </row>
    <row r="693" spans="1:9" ht="13.5">
      <c r="A693" s="91" t="s">
        <v>930</v>
      </c>
      <c r="B693" s="92" t="s">
        <v>280</v>
      </c>
      <c r="C693" s="91" t="s">
        <v>930</v>
      </c>
      <c r="D693" s="91" t="s">
        <v>256</v>
      </c>
      <c r="E693" s="93">
        <v>32668</v>
      </c>
      <c r="F693" s="94">
        <f t="shared" ca="1" si="28"/>
        <v>27</v>
      </c>
      <c r="G693" s="95" t="s">
        <v>283</v>
      </c>
      <c r="H693" s="96">
        <v>46410</v>
      </c>
      <c r="I693" s="97">
        <v>2</v>
      </c>
    </row>
    <row r="694" spans="1:9" ht="13.5">
      <c r="A694" s="91" t="s">
        <v>930</v>
      </c>
      <c r="B694" s="92" t="s">
        <v>285</v>
      </c>
      <c r="C694" s="91" t="s">
        <v>930</v>
      </c>
      <c r="D694" s="91" t="s">
        <v>261</v>
      </c>
      <c r="E694" s="93">
        <v>32695</v>
      </c>
      <c r="F694" s="94">
        <f t="shared" ca="1" si="28"/>
        <v>27</v>
      </c>
      <c r="G694" s="95" t="s">
        <v>257</v>
      </c>
      <c r="H694" s="96">
        <v>19935</v>
      </c>
      <c r="I694" s="97">
        <v>1</v>
      </c>
    </row>
    <row r="695" spans="1:9" ht="13.5">
      <c r="A695" s="91" t="s">
        <v>930</v>
      </c>
      <c r="B695" s="92" t="s">
        <v>271</v>
      </c>
      <c r="C695" s="91" t="s">
        <v>930</v>
      </c>
      <c r="D695" s="91" t="s">
        <v>261</v>
      </c>
      <c r="E695" s="93">
        <v>32732</v>
      </c>
      <c r="F695" s="94">
        <f t="shared" ca="1" si="28"/>
        <v>27</v>
      </c>
      <c r="G695" s="95" t="s">
        <v>267</v>
      </c>
      <c r="H695" s="96">
        <v>27710</v>
      </c>
      <c r="I695" s="97">
        <v>3</v>
      </c>
    </row>
    <row r="696" spans="1:9" ht="13.5">
      <c r="A696" s="91" t="s">
        <v>930</v>
      </c>
      <c r="B696" s="92" t="s">
        <v>285</v>
      </c>
      <c r="C696" s="91" t="s">
        <v>930</v>
      </c>
      <c r="D696" s="91" t="s">
        <v>247</v>
      </c>
      <c r="E696" s="93">
        <v>32816</v>
      </c>
      <c r="F696" s="94">
        <f t="shared" ca="1" si="28"/>
        <v>27</v>
      </c>
      <c r="G696" s="95"/>
      <c r="H696" s="96">
        <v>75550</v>
      </c>
      <c r="I696" s="97">
        <v>3</v>
      </c>
    </row>
    <row r="697" spans="1:9" ht="13.5">
      <c r="A697" s="91" t="s">
        <v>930</v>
      </c>
      <c r="B697" s="92" t="s">
        <v>280</v>
      </c>
      <c r="C697" s="91" t="s">
        <v>930</v>
      </c>
      <c r="D697" s="91" t="s">
        <v>247</v>
      </c>
      <c r="E697" s="93">
        <v>32825</v>
      </c>
      <c r="F697" s="94">
        <f t="shared" ca="1" si="28"/>
        <v>26</v>
      </c>
      <c r="G697" s="95"/>
      <c r="H697" s="96">
        <v>78590</v>
      </c>
      <c r="I697" s="97">
        <v>1</v>
      </c>
    </row>
    <row r="698" spans="1:9" ht="13.5">
      <c r="A698" s="91" t="s">
        <v>930</v>
      </c>
      <c r="B698" s="92" t="s">
        <v>285</v>
      </c>
      <c r="C698" s="91" t="s">
        <v>930</v>
      </c>
      <c r="D698" s="91" t="s">
        <v>261</v>
      </c>
      <c r="E698" s="93">
        <v>32830</v>
      </c>
      <c r="F698" s="94">
        <f t="shared" ca="1" si="28"/>
        <v>26</v>
      </c>
      <c r="G698" s="95" t="s">
        <v>276</v>
      </c>
      <c r="H698" s="96">
        <v>11230</v>
      </c>
      <c r="I698" s="97">
        <v>4</v>
      </c>
    </row>
    <row r="699" spans="1:9" ht="13.5">
      <c r="A699" s="91" t="s">
        <v>930</v>
      </c>
      <c r="B699" s="92" t="s">
        <v>271</v>
      </c>
      <c r="C699" s="91" t="s">
        <v>930</v>
      </c>
      <c r="D699" s="91" t="s">
        <v>261</v>
      </c>
      <c r="E699" s="93">
        <v>32844</v>
      </c>
      <c r="F699" s="94">
        <f t="shared" ca="1" si="28"/>
        <v>26</v>
      </c>
      <c r="G699" s="95" t="s">
        <v>257</v>
      </c>
      <c r="H699" s="96">
        <v>49545</v>
      </c>
      <c r="I699" s="97">
        <v>2</v>
      </c>
    </row>
    <row r="700" spans="1:9" ht="13.5">
      <c r="A700" s="91" t="s">
        <v>930</v>
      </c>
      <c r="B700" s="92" t="s">
        <v>280</v>
      </c>
      <c r="C700" s="91" t="s">
        <v>930</v>
      </c>
      <c r="D700" s="91" t="s">
        <v>247</v>
      </c>
      <c r="E700" s="93">
        <v>32849</v>
      </c>
      <c r="F700" s="94">
        <f t="shared" ca="1" si="28"/>
        <v>26</v>
      </c>
      <c r="G700" s="95"/>
      <c r="H700" s="96">
        <v>35240</v>
      </c>
      <c r="I700" s="97">
        <v>3</v>
      </c>
    </row>
    <row r="701" spans="1:9" ht="13.5">
      <c r="A701" s="91" t="s">
        <v>930</v>
      </c>
      <c r="B701" s="92" t="s">
        <v>285</v>
      </c>
      <c r="C701" s="91" t="s">
        <v>930</v>
      </c>
      <c r="D701" s="91" t="s">
        <v>256</v>
      </c>
      <c r="E701" s="93">
        <v>32976</v>
      </c>
      <c r="F701" s="94">
        <f t="shared" ca="1" si="28"/>
        <v>26</v>
      </c>
      <c r="G701" s="95" t="s">
        <v>283</v>
      </c>
      <c r="H701" s="96">
        <v>87220</v>
      </c>
      <c r="I701" s="97">
        <v>1</v>
      </c>
    </row>
    <row r="702" spans="1:9" ht="13.5">
      <c r="A702" s="91" t="s">
        <v>930</v>
      </c>
      <c r="B702" s="92" t="s">
        <v>271</v>
      </c>
      <c r="C702" s="91" t="s">
        <v>930</v>
      </c>
      <c r="D702" s="91" t="s">
        <v>256</v>
      </c>
      <c r="E702" s="93">
        <v>33115</v>
      </c>
      <c r="F702" s="94">
        <f t="shared" ca="1" si="28"/>
        <v>26</v>
      </c>
      <c r="G702" s="95" t="s">
        <v>283</v>
      </c>
      <c r="H702" s="96">
        <v>73850</v>
      </c>
      <c r="I702" s="97">
        <v>2</v>
      </c>
    </row>
    <row r="703" spans="1:9" ht="13.5">
      <c r="A703" s="91" t="s">
        <v>930</v>
      </c>
      <c r="B703" s="92" t="s">
        <v>285</v>
      </c>
      <c r="C703" s="91" t="s">
        <v>930</v>
      </c>
      <c r="D703" s="91" t="s">
        <v>247</v>
      </c>
      <c r="E703" s="93">
        <v>33224</v>
      </c>
      <c r="F703" s="94">
        <f t="shared" ca="1" si="28"/>
        <v>25</v>
      </c>
      <c r="G703" s="95"/>
      <c r="H703" s="96">
        <v>45105</v>
      </c>
      <c r="I703" s="97">
        <v>1</v>
      </c>
    </row>
    <row r="704" spans="1:9" ht="13.5">
      <c r="A704" s="91" t="s">
        <v>930</v>
      </c>
      <c r="B704" s="92" t="s">
        <v>271</v>
      </c>
      <c r="C704" s="91" t="s">
        <v>930</v>
      </c>
      <c r="D704" s="91" t="s">
        <v>256</v>
      </c>
      <c r="E704" s="93">
        <v>33360</v>
      </c>
      <c r="F704" s="94">
        <f t="shared" ca="1" si="28"/>
        <v>25</v>
      </c>
      <c r="G704" s="95" t="s">
        <v>257</v>
      </c>
      <c r="H704" s="96">
        <v>69510</v>
      </c>
      <c r="I704" s="97">
        <v>5</v>
      </c>
    </row>
    <row r="705" spans="1:9" ht="13.5">
      <c r="A705" s="91" t="s">
        <v>930</v>
      </c>
      <c r="B705" s="92" t="s">
        <v>271</v>
      </c>
      <c r="C705" s="91" t="s">
        <v>930</v>
      </c>
      <c r="D705" s="91" t="s">
        <v>247</v>
      </c>
      <c r="E705" s="93">
        <v>33413</v>
      </c>
      <c r="F705" s="94">
        <f t="shared" ca="1" si="28"/>
        <v>25</v>
      </c>
      <c r="G705" s="95"/>
      <c r="H705" s="96">
        <v>64263</v>
      </c>
      <c r="I705" s="97">
        <v>3</v>
      </c>
    </row>
    <row r="706" spans="1:9" ht="13.5">
      <c r="A706" s="91" t="s">
        <v>930</v>
      </c>
      <c r="B706" s="92" t="s">
        <v>285</v>
      </c>
      <c r="C706" s="91" t="s">
        <v>930</v>
      </c>
      <c r="D706" s="91" t="s">
        <v>252</v>
      </c>
      <c r="E706" s="93">
        <v>33515</v>
      </c>
      <c r="F706" s="94">
        <f t="shared" ca="1" si="28"/>
        <v>25</v>
      </c>
      <c r="G706" s="95"/>
      <c r="H706" s="96">
        <v>26944</v>
      </c>
      <c r="I706" s="97">
        <v>4</v>
      </c>
    </row>
    <row r="707" spans="1:9" ht="13.5">
      <c r="A707" s="91" t="s">
        <v>930</v>
      </c>
      <c r="B707" s="92" t="s">
        <v>245</v>
      </c>
      <c r="C707" s="91" t="s">
        <v>930</v>
      </c>
      <c r="D707" s="91" t="s">
        <v>261</v>
      </c>
      <c r="E707" s="93">
        <v>33650</v>
      </c>
      <c r="F707" s="94">
        <f t="shared" ca="1" si="28"/>
        <v>24</v>
      </c>
      <c r="G707" s="95" t="s">
        <v>276</v>
      </c>
      <c r="H707" s="96">
        <v>23000</v>
      </c>
      <c r="I707" s="97">
        <v>4</v>
      </c>
    </row>
    <row r="708" spans="1:9" ht="13.5">
      <c r="A708" s="91" t="s">
        <v>930</v>
      </c>
      <c r="B708" s="92" t="s">
        <v>285</v>
      </c>
      <c r="C708" s="91" t="s">
        <v>930</v>
      </c>
      <c r="D708" s="91" t="s">
        <v>256</v>
      </c>
      <c r="E708" s="93">
        <v>33742</v>
      </c>
      <c r="F708" s="94">
        <f t="shared" ref="F708:F739" ca="1" si="29">DATEDIF(E708,TODAY(),"Y")</f>
        <v>24</v>
      </c>
      <c r="G708" s="95" t="s">
        <v>267</v>
      </c>
      <c r="H708" s="96">
        <v>64780</v>
      </c>
      <c r="I708" s="97">
        <v>5</v>
      </c>
    </row>
    <row r="709" spans="1:9" ht="13.5">
      <c r="A709" s="91" t="s">
        <v>930</v>
      </c>
      <c r="B709" s="92" t="s">
        <v>285</v>
      </c>
      <c r="C709" s="91" t="s">
        <v>930</v>
      </c>
      <c r="D709" s="91" t="s">
        <v>256</v>
      </c>
      <c r="E709" s="93">
        <v>33742</v>
      </c>
      <c r="F709" s="94">
        <f t="shared" ca="1" si="29"/>
        <v>24</v>
      </c>
      <c r="G709" s="95" t="s">
        <v>267</v>
      </c>
      <c r="H709" s="96">
        <v>64780</v>
      </c>
      <c r="I709" s="97">
        <v>5</v>
      </c>
    </row>
    <row r="710" spans="1:9" ht="13.5">
      <c r="A710" s="91" t="s">
        <v>930</v>
      </c>
      <c r="B710" s="92" t="s">
        <v>285</v>
      </c>
      <c r="C710" s="91" t="s">
        <v>930</v>
      </c>
      <c r="D710" s="91" t="s">
        <v>256</v>
      </c>
      <c r="E710" s="93">
        <v>33827</v>
      </c>
      <c r="F710" s="94">
        <f t="shared" ca="1" si="29"/>
        <v>24</v>
      </c>
      <c r="G710" s="95" t="s">
        <v>283</v>
      </c>
      <c r="H710" s="96">
        <v>33590</v>
      </c>
      <c r="I710" s="97">
        <v>5</v>
      </c>
    </row>
    <row r="711" spans="1:9" ht="13.5">
      <c r="A711" s="91" t="s">
        <v>930</v>
      </c>
      <c r="B711" s="92" t="s">
        <v>285</v>
      </c>
      <c r="C711" s="91" t="s">
        <v>930</v>
      </c>
      <c r="D711" s="91" t="s">
        <v>252</v>
      </c>
      <c r="E711" s="93">
        <v>33937</v>
      </c>
      <c r="F711" s="94">
        <f t="shared" ca="1" si="29"/>
        <v>23</v>
      </c>
      <c r="G711" s="95"/>
      <c r="H711" s="96">
        <v>33752</v>
      </c>
      <c r="I711" s="97">
        <v>3</v>
      </c>
    </row>
    <row r="712" spans="1:9" ht="13.5">
      <c r="A712" s="91" t="s">
        <v>930</v>
      </c>
      <c r="B712" s="92" t="s">
        <v>285</v>
      </c>
      <c r="C712" s="91" t="s">
        <v>930</v>
      </c>
      <c r="D712" s="91" t="s">
        <v>256</v>
      </c>
      <c r="E712" s="93">
        <v>33966</v>
      </c>
      <c r="F712" s="94">
        <f t="shared" ca="1" si="29"/>
        <v>23</v>
      </c>
      <c r="G712" s="95" t="s">
        <v>257</v>
      </c>
      <c r="H712" s="96">
        <v>58370</v>
      </c>
      <c r="I712" s="97">
        <v>5</v>
      </c>
    </row>
    <row r="713" spans="1:9" ht="13.5">
      <c r="A713" s="91" t="s">
        <v>930</v>
      </c>
      <c r="B713" s="92" t="s">
        <v>280</v>
      </c>
      <c r="C713" s="91" t="s">
        <v>930</v>
      </c>
      <c r="D713" s="91" t="s">
        <v>247</v>
      </c>
      <c r="E713" s="93">
        <v>33970</v>
      </c>
      <c r="F713" s="94">
        <f t="shared" ca="1" si="29"/>
        <v>23</v>
      </c>
      <c r="G713" s="95"/>
      <c r="H713" s="96">
        <v>41770</v>
      </c>
      <c r="I713" s="97">
        <v>5</v>
      </c>
    </row>
    <row r="714" spans="1:9" ht="13.5">
      <c r="A714" s="91" t="s">
        <v>930</v>
      </c>
      <c r="B714" s="92" t="s">
        <v>266</v>
      </c>
      <c r="C714" s="91" t="s">
        <v>930</v>
      </c>
      <c r="D714" s="91" t="s">
        <v>261</v>
      </c>
      <c r="E714" s="93">
        <v>33987</v>
      </c>
      <c r="F714" s="94">
        <f t="shared" ca="1" si="29"/>
        <v>23</v>
      </c>
      <c r="G714" s="95" t="s">
        <v>283</v>
      </c>
      <c r="H714" s="96">
        <v>38105</v>
      </c>
      <c r="I714" s="97">
        <v>2</v>
      </c>
    </row>
    <row r="715" spans="1:9" ht="13.5">
      <c r="A715" s="91" t="s">
        <v>930</v>
      </c>
      <c r="B715" s="92" t="s">
        <v>251</v>
      </c>
      <c r="C715" s="91" t="s">
        <v>930</v>
      </c>
      <c r="D715" s="91" t="s">
        <v>256</v>
      </c>
      <c r="E715" s="93">
        <v>33997</v>
      </c>
      <c r="F715" s="94">
        <f t="shared" ca="1" si="29"/>
        <v>23</v>
      </c>
      <c r="G715" s="95" t="s">
        <v>257</v>
      </c>
      <c r="H715" s="96">
        <v>31690</v>
      </c>
      <c r="I715" s="97">
        <v>4</v>
      </c>
    </row>
    <row r="716" spans="1:9" ht="13.5">
      <c r="A716" s="91" t="s">
        <v>930</v>
      </c>
      <c r="B716" s="92" t="s">
        <v>280</v>
      </c>
      <c r="C716" s="91" t="s">
        <v>930</v>
      </c>
      <c r="D716" s="91" t="s">
        <v>247</v>
      </c>
      <c r="E716" s="93">
        <v>34028</v>
      </c>
      <c r="F716" s="94">
        <f t="shared" ca="1" si="29"/>
        <v>23</v>
      </c>
      <c r="G716" s="95"/>
      <c r="H716" s="96">
        <v>87830</v>
      </c>
      <c r="I716" s="97">
        <v>2</v>
      </c>
    </row>
    <row r="717" spans="1:9" ht="13.5">
      <c r="A717" s="91" t="s">
        <v>930</v>
      </c>
      <c r="B717" s="92" t="s">
        <v>271</v>
      </c>
      <c r="C717" s="91" t="s">
        <v>930</v>
      </c>
      <c r="D717" s="91" t="s">
        <v>256</v>
      </c>
      <c r="E717" s="93">
        <v>34054</v>
      </c>
      <c r="F717" s="94">
        <f t="shared" ca="1" si="29"/>
        <v>23</v>
      </c>
      <c r="G717" s="95" t="s">
        <v>257</v>
      </c>
      <c r="H717" s="96">
        <v>27130</v>
      </c>
      <c r="I717" s="97">
        <v>5</v>
      </c>
    </row>
    <row r="718" spans="1:9" ht="13.5">
      <c r="A718" s="91" t="s">
        <v>930</v>
      </c>
      <c r="B718" s="92" t="s">
        <v>285</v>
      </c>
      <c r="C718" s="91" t="s">
        <v>930</v>
      </c>
      <c r="D718" s="91" t="s">
        <v>261</v>
      </c>
      <c r="E718" s="93">
        <v>34156</v>
      </c>
      <c r="F718" s="94">
        <f t="shared" ca="1" si="29"/>
        <v>23</v>
      </c>
      <c r="G718" s="95" t="s">
        <v>262</v>
      </c>
      <c r="H718" s="96">
        <v>37660</v>
      </c>
      <c r="I718" s="97">
        <v>4</v>
      </c>
    </row>
    <row r="719" spans="1:9" ht="13.5">
      <c r="A719" s="91" t="s">
        <v>930</v>
      </c>
      <c r="B719" s="92" t="s">
        <v>245</v>
      </c>
      <c r="C719" s="91" t="s">
        <v>930</v>
      </c>
      <c r="D719" s="91" t="s">
        <v>261</v>
      </c>
      <c r="E719" s="93">
        <v>34208</v>
      </c>
      <c r="F719" s="94">
        <f t="shared" ca="1" si="29"/>
        <v>23</v>
      </c>
      <c r="G719" s="95" t="s">
        <v>262</v>
      </c>
      <c r="H719" s="96">
        <v>13690</v>
      </c>
      <c r="I719" s="97">
        <v>5</v>
      </c>
    </row>
    <row r="720" spans="1:9" ht="13.5">
      <c r="A720" s="91" t="s">
        <v>930</v>
      </c>
      <c r="B720" s="92" t="s">
        <v>285</v>
      </c>
      <c r="C720" s="91" t="s">
        <v>930</v>
      </c>
      <c r="D720" s="91" t="s">
        <v>252</v>
      </c>
      <c r="E720" s="93">
        <v>34266</v>
      </c>
      <c r="F720" s="94">
        <f t="shared" ca="1" si="29"/>
        <v>23</v>
      </c>
      <c r="G720" s="95"/>
      <c r="H720" s="96">
        <v>28768</v>
      </c>
      <c r="I720" s="97">
        <v>3</v>
      </c>
    </row>
    <row r="721" spans="1:9" ht="13.5">
      <c r="A721" s="91" t="s">
        <v>930</v>
      </c>
      <c r="B721" s="92" t="s">
        <v>285</v>
      </c>
      <c r="C721" s="91" t="s">
        <v>930</v>
      </c>
      <c r="D721" s="91" t="s">
        <v>256</v>
      </c>
      <c r="E721" s="93">
        <v>34317</v>
      </c>
      <c r="F721" s="94">
        <f t="shared" ca="1" si="29"/>
        <v>22</v>
      </c>
      <c r="G721" s="95" t="s">
        <v>283</v>
      </c>
      <c r="H721" s="96">
        <v>41380</v>
      </c>
      <c r="I721" s="97">
        <v>2</v>
      </c>
    </row>
    <row r="722" spans="1:9" ht="13.5">
      <c r="A722" s="91" t="s">
        <v>930</v>
      </c>
      <c r="B722" s="92" t="s">
        <v>266</v>
      </c>
      <c r="C722" s="91" t="s">
        <v>930</v>
      </c>
      <c r="D722" s="91" t="s">
        <v>256</v>
      </c>
      <c r="E722" s="93">
        <v>34466</v>
      </c>
      <c r="F722" s="94">
        <f t="shared" ca="1" si="29"/>
        <v>22</v>
      </c>
      <c r="G722" s="95" t="s">
        <v>257</v>
      </c>
      <c r="H722" s="96">
        <v>86320</v>
      </c>
      <c r="I722" s="97">
        <v>4</v>
      </c>
    </row>
    <row r="723" spans="1:9" ht="13.5">
      <c r="A723" s="91" t="s">
        <v>930</v>
      </c>
      <c r="B723" s="92" t="s">
        <v>285</v>
      </c>
      <c r="C723" s="91" t="s">
        <v>930</v>
      </c>
      <c r="D723" s="91" t="s">
        <v>247</v>
      </c>
      <c r="E723" s="93">
        <v>34516</v>
      </c>
      <c r="F723" s="94">
        <f t="shared" ca="1" si="29"/>
        <v>22</v>
      </c>
      <c r="G723" s="95"/>
      <c r="H723" s="96">
        <v>45030</v>
      </c>
      <c r="I723" s="97">
        <v>3</v>
      </c>
    </row>
    <row r="724" spans="1:9" ht="13.5">
      <c r="A724" s="91" t="s">
        <v>930</v>
      </c>
      <c r="B724" s="92" t="s">
        <v>285</v>
      </c>
      <c r="C724" s="91" t="s">
        <v>930</v>
      </c>
      <c r="D724" s="91" t="s">
        <v>256</v>
      </c>
      <c r="E724" s="93">
        <v>34715</v>
      </c>
      <c r="F724" s="94">
        <f t="shared" ca="1" si="29"/>
        <v>21</v>
      </c>
      <c r="G724" s="95" t="s">
        <v>262</v>
      </c>
      <c r="H724" s="96">
        <v>64470</v>
      </c>
      <c r="I724" s="97">
        <v>5</v>
      </c>
    </row>
    <row r="725" spans="1:9" ht="13.5">
      <c r="A725" s="91" t="s">
        <v>930</v>
      </c>
      <c r="B725" s="92" t="s">
        <v>280</v>
      </c>
      <c r="C725" s="91" t="s">
        <v>930</v>
      </c>
      <c r="D725" s="91" t="s">
        <v>261</v>
      </c>
      <c r="E725" s="93">
        <v>34743</v>
      </c>
      <c r="F725" s="94">
        <f t="shared" ca="1" si="29"/>
        <v>21</v>
      </c>
      <c r="G725" s="95" t="s">
        <v>276</v>
      </c>
      <c r="H725" s="96">
        <v>46105</v>
      </c>
      <c r="I725" s="97">
        <v>5</v>
      </c>
    </row>
    <row r="726" spans="1:9" ht="13.5">
      <c r="A726" s="91" t="s">
        <v>930</v>
      </c>
      <c r="B726" s="92" t="s">
        <v>251</v>
      </c>
      <c r="C726" s="91" t="s">
        <v>930</v>
      </c>
      <c r="D726" s="91" t="s">
        <v>256</v>
      </c>
      <c r="E726" s="93">
        <v>34770</v>
      </c>
      <c r="F726" s="94">
        <f t="shared" ca="1" si="29"/>
        <v>21</v>
      </c>
      <c r="G726" s="95" t="s">
        <v>283</v>
      </c>
      <c r="H726" s="96">
        <v>48410</v>
      </c>
      <c r="I726" s="97">
        <v>5</v>
      </c>
    </row>
    <row r="727" spans="1:9" ht="13.5">
      <c r="A727" s="91" t="s">
        <v>930</v>
      </c>
      <c r="B727" s="92" t="s">
        <v>245</v>
      </c>
      <c r="C727" s="91" t="s">
        <v>930</v>
      </c>
      <c r="D727" s="91" t="s">
        <v>247</v>
      </c>
      <c r="E727" s="93">
        <v>34883</v>
      </c>
      <c r="F727" s="94">
        <f t="shared" ca="1" si="29"/>
        <v>21</v>
      </c>
      <c r="G727" s="95"/>
      <c r="H727" s="96">
        <v>58250</v>
      </c>
      <c r="I727" s="97">
        <v>2</v>
      </c>
    </row>
    <row r="728" spans="1:9" ht="13.5">
      <c r="A728" s="91" t="s">
        <v>930</v>
      </c>
      <c r="B728" s="92" t="s">
        <v>280</v>
      </c>
      <c r="C728" s="91" t="s">
        <v>930</v>
      </c>
      <c r="D728" s="91" t="s">
        <v>256</v>
      </c>
      <c r="E728" s="93">
        <v>34933</v>
      </c>
      <c r="F728" s="94">
        <f t="shared" ca="1" si="29"/>
        <v>21</v>
      </c>
      <c r="G728" s="95" t="s">
        <v>276</v>
      </c>
      <c r="H728" s="96">
        <v>77680</v>
      </c>
      <c r="I728" s="97">
        <v>3</v>
      </c>
    </row>
    <row r="729" spans="1:9" ht="13.5">
      <c r="A729" s="91" t="s">
        <v>930</v>
      </c>
      <c r="B729" s="92" t="s">
        <v>271</v>
      </c>
      <c r="C729" s="91" t="s">
        <v>930</v>
      </c>
      <c r="D729" s="91" t="s">
        <v>256</v>
      </c>
      <c r="E729" s="93">
        <v>35020</v>
      </c>
      <c r="F729" s="94">
        <f t="shared" ca="1" si="29"/>
        <v>20</v>
      </c>
      <c r="G729" s="95" t="s">
        <v>276</v>
      </c>
      <c r="H729" s="96">
        <v>61850</v>
      </c>
      <c r="I729" s="97">
        <v>2</v>
      </c>
    </row>
    <row r="730" spans="1:9" ht="13.5">
      <c r="A730" s="91" t="s">
        <v>930</v>
      </c>
      <c r="B730" s="92" t="s">
        <v>251</v>
      </c>
      <c r="C730" s="91" t="s">
        <v>930</v>
      </c>
      <c r="D730" s="91" t="s">
        <v>261</v>
      </c>
      <c r="E730" s="93">
        <v>35055</v>
      </c>
      <c r="F730" s="94">
        <f t="shared" ca="1" si="29"/>
        <v>20</v>
      </c>
      <c r="G730" s="95" t="s">
        <v>267</v>
      </c>
      <c r="H730" s="96">
        <v>19825</v>
      </c>
      <c r="I730" s="97">
        <v>2</v>
      </c>
    </row>
    <row r="731" spans="1:9" ht="13.5">
      <c r="A731" s="91" t="s">
        <v>930</v>
      </c>
      <c r="B731" s="92" t="s">
        <v>266</v>
      </c>
      <c r="C731" s="91" t="s">
        <v>930</v>
      </c>
      <c r="D731" s="91" t="s">
        <v>252</v>
      </c>
      <c r="E731" s="93">
        <v>35148</v>
      </c>
      <c r="F731" s="94">
        <f t="shared" ca="1" si="29"/>
        <v>20</v>
      </c>
      <c r="G731" s="95"/>
      <c r="H731" s="96">
        <v>32536</v>
      </c>
      <c r="I731" s="97">
        <v>2</v>
      </c>
    </row>
    <row r="732" spans="1:9" ht="13.5">
      <c r="A732" s="91" t="s">
        <v>930</v>
      </c>
      <c r="B732" s="92" t="s">
        <v>285</v>
      </c>
      <c r="C732" s="91" t="s">
        <v>930</v>
      </c>
      <c r="D732" s="91" t="s">
        <v>261</v>
      </c>
      <c r="E732" s="93">
        <v>35152</v>
      </c>
      <c r="F732" s="94">
        <f t="shared" ca="1" si="29"/>
        <v>20</v>
      </c>
      <c r="G732" s="95" t="s">
        <v>283</v>
      </c>
      <c r="H732" s="96">
        <v>26185</v>
      </c>
      <c r="I732" s="97">
        <v>5</v>
      </c>
    </row>
    <row r="733" spans="1:9" ht="13.5">
      <c r="A733" s="91" t="s">
        <v>930</v>
      </c>
      <c r="B733" s="92" t="s">
        <v>285</v>
      </c>
      <c r="C733" s="91" t="s">
        <v>930</v>
      </c>
      <c r="D733" s="91" t="s">
        <v>256</v>
      </c>
      <c r="E733" s="93">
        <v>35239</v>
      </c>
      <c r="F733" s="94">
        <f t="shared" ca="1" si="29"/>
        <v>20</v>
      </c>
      <c r="G733" s="95" t="s">
        <v>283</v>
      </c>
      <c r="H733" s="96">
        <v>35460</v>
      </c>
      <c r="I733" s="97">
        <v>1</v>
      </c>
    </row>
    <row r="734" spans="1:9" ht="13.5">
      <c r="A734" s="91" t="s">
        <v>930</v>
      </c>
      <c r="B734" s="92" t="s">
        <v>285</v>
      </c>
      <c r="C734" s="91" t="s">
        <v>930</v>
      </c>
      <c r="D734" s="91" t="s">
        <v>256</v>
      </c>
      <c r="E734" s="93">
        <v>35309</v>
      </c>
      <c r="F734" s="94">
        <f t="shared" ca="1" si="29"/>
        <v>20</v>
      </c>
      <c r="G734" s="95" t="s">
        <v>262</v>
      </c>
      <c r="H734" s="96">
        <v>71970</v>
      </c>
      <c r="I734" s="97">
        <v>4</v>
      </c>
    </row>
    <row r="735" spans="1:9" ht="13.5">
      <c r="A735" s="91" t="s">
        <v>930</v>
      </c>
      <c r="B735" s="92" t="s">
        <v>285</v>
      </c>
      <c r="C735" s="91" t="s">
        <v>930</v>
      </c>
      <c r="D735" s="91" t="s">
        <v>256</v>
      </c>
      <c r="E735" s="93">
        <v>35362</v>
      </c>
      <c r="F735" s="94">
        <f t="shared" ca="1" si="29"/>
        <v>20</v>
      </c>
      <c r="G735" s="95" t="s">
        <v>262</v>
      </c>
      <c r="H735" s="96">
        <v>65320</v>
      </c>
      <c r="I735" s="97">
        <v>5</v>
      </c>
    </row>
    <row r="736" spans="1:9" ht="13.5">
      <c r="A736" s="91" t="s">
        <v>930</v>
      </c>
      <c r="B736" s="92" t="s">
        <v>251</v>
      </c>
      <c r="C736" s="91" t="s">
        <v>930</v>
      </c>
      <c r="D736" s="91" t="s">
        <v>256</v>
      </c>
      <c r="E736" s="93">
        <v>35533</v>
      </c>
      <c r="F736" s="94">
        <f t="shared" ca="1" si="29"/>
        <v>19</v>
      </c>
      <c r="G736" s="95" t="s">
        <v>283</v>
      </c>
      <c r="H736" s="96">
        <v>47630</v>
      </c>
      <c r="I736" s="97">
        <v>3</v>
      </c>
    </row>
    <row r="737" spans="1:9" ht="13.5">
      <c r="A737" s="91" t="s">
        <v>930</v>
      </c>
      <c r="B737" s="92" t="s">
        <v>285</v>
      </c>
      <c r="C737" s="91" t="s">
        <v>930</v>
      </c>
      <c r="D737" s="91" t="s">
        <v>261</v>
      </c>
      <c r="E737" s="93">
        <v>35608</v>
      </c>
      <c r="F737" s="94">
        <f t="shared" ca="1" si="29"/>
        <v>19</v>
      </c>
      <c r="G737" s="95" t="s">
        <v>257</v>
      </c>
      <c r="H737" s="96">
        <v>17205</v>
      </c>
      <c r="I737" s="97">
        <v>5</v>
      </c>
    </row>
    <row r="738" spans="1:9" ht="13.5">
      <c r="A738" s="91" t="s">
        <v>930</v>
      </c>
      <c r="B738" s="92" t="s">
        <v>285</v>
      </c>
      <c r="C738" s="91" t="s">
        <v>930</v>
      </c>
      <c r="D738" s="91" t="s">
        <v>256</v>
      </c>
      <c r="E738" s="93">
        <v>35646</v>
      </c>
      <c r="F738" s="94">
        <f t="shared" ca="1" si="29"/>
        <v>19</v>
      </c>
      <c r="G738" s="95" t="s">
        <v>276</v>
      </c>
      <c r="H738" s="96">
        <v>49930</v>
      </c>
      <c r="I738" s="97">
        <v>1</v>
      </c>
    </row>
    <row r="739" spans="1:9" ht="13.5">
      <c r="A739" s="91" t="s">
        <v>930</v>
      </c>
      <c r="B739" s="92" t="s">
        <v>285</v>
      </c>
      <c r="C739" s="91" t="s">
        <v>930</v>
      </c>
      <c r="D739" s="91" t="s">
        <v>256</v>
      </c>
      <c r="E739" s="93">
        <v>35657</v>
      </c>
      <c r="F739" s="94">
        <f t="shared" ca="1" si="29"/>
        <v>19</v>
      </c>
      <c r="G739" s="95" t="s">
        <v>257</v>
      </c>
      <c r="H739" s="96">
        <v>63060</v>
      </c>
      <c r="I739" s="97">
        <v>4</v>
      </c>
    </row>
    <row r="740" spans="1:9" ht="13.5">
      <c r="A740" s="91" t="s">
        <v>930</v>
      </c>
      <c r="B740" s="92" t="s">
        <v>251</v>
      </c>
      <c r="C740" s="91" t="s">
        <v>930</v>
      </c>
      <c r="D740" s="91" t="s">
        <v>256</v>
      </c>
      <c r="E740" s="93">
        <v>35699</v>
      </c>
      <c r="F740" s="94">
        <f t="shared" ref="F740:F771" ca="1" si="30">DATEDIF(E740,TODAY(),"Y")</f>
        <v>19</v>
      </c>
      <c r="G740" s="95" t="s">
        <v>283</v>
      </c>
      <c r="H740" s="96">
        <v>78710</v>
      </c>
      <c r="I740" s="97">
        <v>2</v>
      </c>
    </row>
    <row r="741" spans="1:9" ht="13.5">
      <c r="A741" s="91" t="s">
        <v>930</v>
      </c>
      <c r="B741" s="92" t="s">
        <v>266</v>
      </c>
      <c r="C741" s="91" t="s">
        <v>930</v>
      </c>
      <c r="D741" s="91" t="s">
        <v>247</v>
      </c>
      <c r="E741" s="93">
        <v>35755</v>
      </c>
      <c r="F741" s="94">
        <f t="shared" ca="1" si="30"/>
        <v>18</v>
      </c>
      <c r="G741" s="95"/>
      <c r="H741" s="96">
        <v>77136</v>
      </c>
      <c r="I741" s="97">
        <v>5</v>
      </c>
    </row>
    <row r="742" spans="1:9" ht="13.5">
      <c r="A742" s="91" t="s">
        <v>930</v>
      </c>
      <c r="B742" s="92" t="s">
        <v>271</v>
      </c>
      <c r="C742" s="91" t="s">
        <v>930</v>
      </c>
      <c r="D742" s="91" t="s">
        <v>247</v>
      </c>
      <c r="E742" s="93">
        <v>35789</v>
      </c>
      <c r="F742" s="94">
        <f t="shared" ca="1" si="30"/>
        <v>18</v>
      </c>
      <c r="G742" s="95"/>
      <c r="H742" s="96">
        <v>28270</v>
      </c>
      <c r="I742" s="97">
        <v>5</v>
      </c>
    </row>
    <row r="743" spans="1:9" ht="13.5">
      <c r="A743" s="91" t="s">
        <v>930</v>
      </c>
      <c r="B743" s="92" t="s">
        <v>266</v>
      </c>
      <c r="C743" s="91" t="s">
        <v>930</v>
      </c>
      <c r="D743" s="91" t="s">
        <v>247</v>
      </c>
      <c r="E743" s="93">
        <v>35831</v>
      </c>
      <c r="F743" s="94">
        <f t="shared" ca="1" si="30"/>
        <v>18</v>
      </c>
      <c r="G743" s="95"/>
      <c r="H743" s="96">
        <v>25530</v>
      </c>
      <c r="I743" s="97">
        <v>3</v>
      </c>
    </row>
    <row r="744" spans="1:9" ht="13.5">
      <c r="A744" s="91" t="s">
        <v>930</v>
      </c>
      <c r="B744" s="92" t="s">
        <v>266</v>
      </c>
      <c r="C744" s="91" t="s">
        <v>930</v>
      </c>
      <c r="D744" s="91" t="s">
        <v>247</v>
      </c>
      <c r="E744" s="93">
        <v>36143</v>
      </c>
      <c r="F744" s="94">
        <f t="shared" ca="1" si="30"/>
        <v>17</v>
      </c>
      <c r="G744" s="95"/>
      <c r="H744" s="96">
        <v>49090</v>
      </c>
      <c r="I744" s="97">
        <v>4</v>
      </c>
    </row>
    <row r="745" spans="1:9" ht="13.5">
      <c r="A745" s="91" t="s">
        <v>930</v>
      </c>
      <c r="B745" s="92" t="s">
        <v>251</v>
      </c>
      <c r="C745" s="91" t="s">
        <v>930</v>
      </c>
      <c r="D745" s="91" t="s">
        <v>256</v>
      </c>
      <c r="E745" s="93">
        <v>36185</v>
      </c>
      <c r="F745" s="94">
        <f t="shared" ca="1" si="30"/>
        <v>17</v>
      </c>
      <c r="G745" s="95" t="s">
        <v>276</v>
      </c>
      <c r="H745" s="96">
        <v>60300</v>
      </c>
      <c r="I745" s="97">
        <v>2</v>
      </c>
    </row>
    <row r="746" spans="1:9" ht="13.5">
      <c r="A746" s="91" t="s">
        <v>930</v>
      </c>
      <c r="B746" s="92" t="s">
        <v>285</v>
      </c>
      <c r="C746" s="91" t="s">
        <v>930</v>
      </c>
      <c r="D746" s="91" t="s">
        <v>256</v>
      </c>
      <c r="E746" s="93">
        <v>36500</v>
      </c>
      <c r="F746" s="94">
        <f t="shared" ca="1" si="30"/>
        <v>16</v>
      </c>
      <c r="G746" s="95" t="s">
        <v>283</v>
      </c>
      <c r="H746" s="96">
        <v>48010</v>
      </c>
      <c r="I746" s="97">
        <v>3</v>
      </c>
    </row>
    <row r="747" spans="1:9" ht="13.5">
      <c r="A747" s="91" t="s">
        <v>930</v>
      </c>
      <c r="B747" s="92" t="s">
        <v>285</v>
      </c>
      <c r="C747" s="91" t="s">
        <v>930</v>
      </c>
      <c r="D747" s="91" t="s">
        <v>256</v>
      </c>
      <c r="E747" s="93">
        <v>37018</v>
      </c>
      <c r="F747" s="94">
        <f t="shared" ca="1" si="30"/>
        <v>15</v>
      </c>
      <c r="G747" s="95" t="s">
        <v>262</v>
      </c>
      <c r="H747" s="96">
        <v>48280</v>
      </c>
      <c r="I747" s="97">
        <v>4</v>
      </c>
    </row>
    <row r="748" spans="1:9" ht="13.5">
      <c r="A748" s="91" t="s">
        <v>930</v>
      </c>
      <c r="B748" s="92" t="s">
        <v>245</v>
      </c>
      <c r="C748" s="91" t="s">
        <v>930</v>
      </c>
      <c r="D748" s="91" t="s">
        <v>256</v>
      </c>
      <c r="E748" s="93">
        <v>37037</v>
      </c>
      <c r="F748" s="94">
        <f t="shared" ca="1" si="30"/>
        <v>15</v>
      </c>
      <c r="G748" s="95" t="s">
        <v>283</v>
      </c>
      <c r="H748" s="96">
        <v>81340</v>
      </c>
      <c r="I748" s="97">
        <v>2</v>
      </c>
    </row>
    <row r="749" spans="1:9" ht="13.5">
      <c r="A749" s="91" t="s">
        <v>930</v>
      </c>
      <c r="B749" s="92" t="s">
        <v>280</v>
      </c>
      <c r="C749" s="91" t="s">
        <v>930</v>
      </c>
      <c r="D749" s="91" t="s">
        <v>247</v>
      </c>
      <c r="E749" s="93">
        <v>37128</v>
      </c>
      <c r="F749" s="94">
        <f t="shared" ca="1" si="30"/>
        <v>15</v>
      </c>
      <c r="G749" s="95"/>
      <c r="H749" s="96">
        <v>32880</v>
      </c>
      <c r="I749" s="97">
        <v>3</v>
      </c>
    </row>
    <row r="750" spans="1:9" ht="13.5">
      <c r="A750" s="91" t="s">
        <v>930</v>
      </c>
      <c r="B750" s="92" t="s">
        <v>251</v>
      </c>
      <c r="C750" s="91" t="s">
        <v>930</v>
      </c>
      <c r="D750" s="91" t="s">
        <v>256</v>
      </c>
      <c r="E750" s="93">
        <v>37316</v>
      </c>
      <c r="F750" s="94">
        <f t="shared" ca="1" si="30"/>
        <v>14</v>
      </c>
      <c r="G750" s="95" t="s">
        <v>257</v>
      </c>
      <c r="H750" s="96">
        <v>44530</v>
      </c>
      <c r="I750" s="97">
        <v>2</v>
      </c>
    </row>
    <row r="751" spans="1:9" ht="13.5">
      <c r="A751" s="91" t="s">
        <v>930</v>
      </c>
      <c r="B751" s="92" t="s">
        <v>245</v>
      </c>
      <c r="C751" s="91" t="s">
        <v>930</v>
      </c>
      <c r="D751" s="91" t="s">
        <v>252</v>
      </c>
      <c r="E751" s="93">
        <v>37336</v>
      </c>
      <c r="F751" s="94">
        <f t="shared" ca="1" si="30"/>
        <v>14</v>
      </c>
      <c r="G751" s="95"/>
      <c r="H751" s="96">
        <v>37344</v>
      </c>
      <c r="I751" s="97">
        <v>2</v>
      </c>
    </row>
    <row r="752" spans="1:9" ht="13.5">
      <c r="A752" s="91" t="s">
        <v>930</v>
      </c>
      <c r="B752" s="92" t="s">
        <v>280</v>
      </c>
      <c r="C752" s="91" t="s">
        <v>930</v>
      </c>
      <c r="D752" s="91" t="s">
        <v>256</v>
      </c>
      <c r="E752" s="93">
        <v>37861</v>
      </c>
      <c r="F752" s="94">
        <f t="shared" ca="1" si="30"/>
        <v>13</v>
      </c>
      <c r="G752" s="95" t="s">
        <v>267</v>
      </c>
      <c r="H752" s="96">
        <v>25690</v>
      </c>
      <c r="I752" s="97">
        <v>2</v>
      </c>
    </row>
    <row r="753" spans="1:9" ht="13.5">
      <c r="A753" s="91" t="s">
        <v>930</v>
      </c>
      <c r="B753" s="92" t="s">
        <v>285</v>
      </c>
      <c r="C753" s="91" t="s">
        <v>930</v>
      </c>
      <c r="D753" s="91" t="s">
        <v>256</v>
      </c>
      <c r="E753" s="93">
        <v>37973</v>
      </c>
      <c r="F753" s="94">
        <f t="shared" ca="1" si="30"/>
        <v>12</v>
      </c>
      <c r="G753" s="95" t="s">
        <v>257</v>
      </c>
      <c r="H753" s="96">
        <v>24980</v>
      </c>
      <c r="I753" s="97">
        <v>3</v>
      </c>
    </row>
    <row r="754" spans="1:9" ht="13.5">
      <c r="A754" s="91" t="s">
        <v>930</v>
      </c>
      <c r="B754" s="92" t="s">
        <v>280</v>
      </c>
      <c r="C754" s="91" t="s">
        <v>930</v>
      </c>
      <c r="D754" s="91" t="s">
        <v>256</v>
      </c>
      <c r="E754" s="93">
        <v>38131</v>
      </c>
      <c r="F754" s="94">
        <f t="shared" ca="1" si="30"/>
        <v>12</v>
      </c>
      <c r="G754" s="95" t="s">
        <v>262</v>
      </c>
      <c r="H754" s="96">
        <v>68860</v>
      </c>
      <c r="I754" s="97">
        <v>2</v>
      </c>
    </row>
    <row r="755" spans="1:9" ht="13.5">
      <c r="A755" s="91" t="s">
        <v>930</v>
      </c>
      <c r="B755" s="92" t="s">
        <v>280</v>
      </c>
      <c r="C755" s="91" t="s">
        <v>930</v>
      </c>
      <c r="D755" s="91" t="s">
        <v>261</v>
      </c>
      <c r="E755" s="93">
        <v>38225</v>
      </c>
      <c r="F755" s="94">
        <f t="shared" ca="1" si="30"/>
        <v>12</v>
      </c>
      <c r="G755" s="95" t="s">
        <v>276</v>
      </c>
      <c r="H755" s="96">
        <v>49080</v>
      </c>
      <c r="I755" s="97">
        <v>5</v>
      </c>
    </row>
    <row r="756" spans="1:9" ht="13.5">
      <c r="A756" s="91" t="s">
        <v>930</v>
      </c>
      <c r="B756" s="92" t="s">
        <v>245</v>
      </c>
      <c r="C756" s="91" t="s">
        <v>930</v>
      </c>
      <c r="D756" s="91" t="s">
        <v>256</v>
      </c>
      <c r="E756" s="93">
        <v>38292</v>
      </c>
      <c r="F756" s="94">
        <f t="shared" ca="1" si="30"/>
        <v>12</v>
      </c>
      <c r="G756" s="95" t="s">
        <v>257</v>
      </c>
      <c r="H756" s="96">
        <v>79380</v>
      </c>
      <c r="I756" s="97">
        <v>5</v>
      </c>
    </row>
    <row r="757" spans="1:9" ht="13.5">
      <c r="A757" s="91" t="s">
        <v>930</v>
      </c>
      <c r="B757" s="92" t="s">
        <v>280</v>
      </c>
      <c r="C757" s="91" t="s">
        <v>930</v>
      </c>
      <c r="D757" s="91" t="s">
        <v>256</v>
      </c>
      <c r="E757" s="93">
        <v>38369</v>
      </c>
      <c r="F757" s="94">
        <f t="shared" ca="1" si="30"/>
        <v>11</v>
      </c>
      <c r="G757" s="95" t="s">
        <v>257</v>
      </c>
      <c r="H757" s="96">
        <v>22820</v>
      </c>
      <c r="I757" s="97">
        <v>5</v>
      </c>
    </row>
    <row r="758" spans="1:9" ht="13.5">
      <c r="A758" s="91" t="s">
        <v>930</v>
      </c>
      <c r="B758" s="92" t="s">
        <v>245</v>
      </c>
      <c r="C758" s="91" t="s">
        <v>930</v>
      </c>
      <c r="D758" s="91" t="s">
        <v>247</v>
      </c>
      <c r="E758" s="93">
        <v>38418</v>
      </c>
      <c r="F758" s="94">
        <f t="shared" ca="1" si="30"/>
        <v>11</v>
      </c>
      <c r="G758" s="95"/>
      <c r="H758" s="96">
        <v>86040</v>
      </c>
      <c r="I758" s="97">
        <v>5</v>
      </c>
    </row>
    <row r="759" spans="1:9" ht="13.5">
      <c r="A759" s="91" t="s">
        <v>930</v>
      </c>
      <c r="B759" s="92" t="s">
        <v>285</v>
      </c>
      <c r="C759" s="91" t="s">
        <v>930</v>
      </c>
      <c r="D759" s="91" t="s">
        <v>256</v>
      </c>
      <c r="E759" s="93">
        <v>38418</v>
      </c>
      <c r="F759" s="94">
        <f t="shared" ca="1" si="30"/>
        <v>11</v>
      </c>
      <c r="G759" s="95" t="s">
        <v>257</v>
      </c>
      <c r="H759" s="96">
        <v>82370</v>
      </c>
      <c r="I759" s="97">
        <v>5</v>
      </c>
    </row>
    <row r="760" spans="1:9" ht="13.5">
      <c r="A760" s="91" t="s">
        <v>930</v>
      </c>
      <c r="B760" s="92" t="s">
        <v>271</v>
      </c>
      <c r="C760" s="91" t="s">
        <v>930</v>
      </c>
      <c r="D760" s="91" t="s">
        <v>256</v>
      </c>
      <c r="E760" s="93">
        <v>38708</v>
      </c>
      <c r="F760" s="94">
        <f t="shared" ca="1" si="30"/>
        <v>10</v>
      </c>
      <c r="G760" s="95" t="s">
        <v>283</v>
      </c>
      <c r="H760" s="96">
        <v>34990</v>
      </c>
      <c r="I760" s="97">
        <v>3</v>
      </c>
    </row>
    <row r="761" spans="1:9" ht="13.5">
      <c r="A761" s="91" t="s">
        <v>930</v>
      </c>
      <c r="B761" s="92" t="s">
        <v>285</v>
      </c>
      <c r="C761" s="91" t="s">
        <v>930</v>
      </c>
      <c r="D761" s="91" t="s">
        <v>247</v>
      </c>
      <c r="E761" s="93">
        <v>38925</v>
      </c>
      <c r="F761" s="94">
        <f t="shared" ca="1" si="30"/>
        <v>10</v>
      </c>
      <c r="G761" s="95"/>
      <c r="H761" s="96">
        <v>80729</v>
      </c>
      <c r="I761" s="97">
        <v>3</v>
      </c>
    </row>
    <row r="762" spans="1:9" ht="13.5">
      <c r="A762" s="91" t="s">
        <v>930</v>
      </c>
      <c r="B762" s="92" t="s">
        <v>266</v>
      </c>
      <c r="C762" s="91" t="s">
        <v>930</v>
      </c>
      <c r="D762" s="91" t="s">
        <v>247</v>
      </c>
      <c r="E762" s="99">
        <v>39024</v>
      </c>
      <c r="F762" s="94">
        <f t="shared" ca="1" si="30"/>
        <v>10</v>
      </c>
      <c r="G762" s="95"/>
      <c r="H762" s="96">
        <v>47280</v>
      </c>
      <c r="I762" s="97">
        <v>1</v>
      </c>
    </row>
    <row r="763" spans="1:9" ht="13.5">
      <c r="A763" s="91" t="s">
        <v>930</v>
      </c>
      <c r="B763" s="92" t="s">
        <v>285</v>
      </c>
      <c r="C763" s="91" t="s">
        <v>930</v>
      </c>
      <c r="D763" s="91" t="s">
        <v>247</v>
      </c>
      <c r="E763" s="93">
        <v>39213</v>
      </c>
      <c r="F763" s="94">
        <f t="shared" ca="1" si="30"/>
        <v>9</v>
      </c>
      <c r="G763" s="95"/>
      <c r="H763" s="96">
        <v>46570</v>
      </c>
      <c r="I763" s="97">
        <v>4</v>
      </c>
    </row>
    <row r="764" spans="1:9" ht="13.5">
      <c r="A764" s="91" t="s">
        <v>930</v>
      </c>
      <c r="B764" s="92" t="s">
        <v>266</v>
      </c>
      <c r="C764" s="91" t="s">
        <v>930</v>
      </c>
      <c r="D764" s="91" t="s">
        <v>256</v>
      </c>
      <c r="E764" s="99">
        <v>39226</v>
      </c>
      <c r="F764" s="94">
        <f t="shared" ca="1" si="30"/>
        <v>9</v>
      </c>
      <c r="G764" s="95" t="s">
        <v>283</v>
      </c>
      <c r="H764" s="96">
        <v>70730</v>
      </c>
      <c r="I764" s="97">
        <v>1</v>
      </c>
    </row>
    <row r="765" spans="1:9" ht="13.5">
      <c r="A765" s="91" t="s">
        <v>930</v>
      </c>
      <c r="B765" s="92" t="s">
        <v>285</v>
      </c>
      <c r="C765" s="91" t="s">
        <v>930</v>
      </c>
      <c r="D765" s="91" t="s">
        <v>247</v>
      </c>
      <c r="E765" s="99">
        <v>39253</v>
      </c>
      <c r="F765" s="94">
        <f t="shared" ca="1" si="30"/>
        <v>9</v>
      </c>
      <c r="G765" s="95"/>
      <c r="H765" s="96">
        <v>55510</v>
      </c>
      <c r="I765" s="97">
        <v>3</v>
      </c>
    </row>
    <row r="766" spans="1:9" ht="13.5">
      <c r="A766" s="91" t="s">
        <v>930</v>
      </c>
      <c r="B766" s="92" t="s">
        <v>285</v>
      </c>
      <c r="C766" s="91" t="s">
        <v>930</v>
      </c>
      <c r="D766" s="91" t="s">
        <v>256</v>
      </c>
      <c r="E766" s="93">
        <v>39258</v>
      </c>
      <c r="F766" s="94">
        <f t="shared" ca="1" si="30"/>
        <v>9</v>
      </c>
      <c r="G766" s="95" t="s">
        <v>257</v>
      </c>
      <c r="H766" s="96">
        <v>46390</v>
      </c>
      <c r="I766" s="97">
        <v>5</v>
      </c>
    </row>
    <row r="767" spans="1:9" ht="13.5">
      <c r="A767" s="91" t="s">
        <v>930</v>
      </c>
      <c r="B767" s="92" t="s">
        <v>271</v>
      </c>
      <c r="C767" s="91" t="s">
        <v>930</v>
      </c>
      <c r="D767" s="91" t="s">
        <v>256</v>
      </c>
      <c r="E767" s="93">
        <v>39327</v>
      </c>
      <c r="F767" s="94">
        <f t="shared" ca="1" si="30"/>
        <v>9</v>
      </c>
      <c r="G767" s="95" t="s">
        <v>257</v>
      </c>
      <c r="H767" s="96">
        <v>86640</v>
      </c>
      <c r="I767" s="97">
        <v>3</v>
      </c>
    </row>
    <row r="768" spans="1:9" ht="13.5">
      <c r="A768" s="91" t="s">
        <v>930</v>
      </c>
      <c r="B768" s="92" t="s">
        <v>251</v>
      </c>
      <c r="C768" s="91" t="s">
        <v>930</v>
      </c>
      <c r="D768" s="91" t="s">
        <v>247</v>
      </c>
      <c r="E768" s="99">
        <v>39328</v>
      </c>
      <c r="F768" s="94">
        <f t="shared" ca="1" si="30"/>
        <v>9</v>
      </c>
      <c r="G768" s="95"/>
      <c r="H768" s="96">
        <v>42990</v>
      </c>
      <c r="I768" s="97">
        <v>4</v>
      </c>
    </row>
    <row r="769" spans="1:9" ht="13.5">
      <c r="A769" s="91" t="s">
        <v>930</v>
      </c>
      <c r="B769" s="92" t="s">
        <v>251</v>
      </c>
      <c r="C769" s="91" t="s">
        <v>930</v>
      </c>
      <c r="D769" s="91" t="s">
        <v>247</v>
      </c>
      <c r="E769" s="99">
        <v>39328</v>
      </c>
      <c r="F769" s="94">
        <f t="shared" ca="1" si="30"/>
        <v>9</v>
      </c>
      <c r="G769" s="95"/>
      <c r="H769" s="96">
        <v>42990</v>
      </c>
      <c r="I769" s="97">
        <v>4</v>
      </c>
    </row>
    <row r="770" spans="1:9" ht="13.5">
      <c r="A770" s="91" t="s">
        <v>930</v>
      </c>
      <c r="B770" s="92" t="s">
        <v>271</v>
      </c>
      <c r="C770" s="91" t="s">
        <v>930</v>
      </c>
      <c r="D770" s="91" t="s">
        <v>256</v>
      </c>
      <c r="E770" s="99">
        <v>39370</v>
      </c>
      <c r="F770" s="94">
        <f t="shared" ca="1" si="30"/>
        <v>9</v>
      </c>
      <c r="G770" s="95" t="s">
        <v>257</v>
      </c>
      <c r="H770" s="96">
        <v>23030</v>
      </c>
      <c r="I770" s="97">
        <v>4</v>
      </c>
    </row>
    <row r="771" spans="1:9" ht="13.5">
      <c r="A771" s="91" t="s">
        <v>930</v>
      </c>
      <c r="B771" s="92" t="s">
        <v>271</v>
      </c>
      <c r="C771" s="91" t="s">
        <v>930</v>
      </c>
      <c r="D771" s="91" t="s">
        <v>256</v>
      </c>
      <c r="E771" s="99">
        <v>39370</v>
      </c>
      <c r="F771" s="94">
        <f t="shared" ca="1" si="30"/>
        <v>9</v>
      </c>
      <c r="G771" s="95" t="s">
        <v>276</v>
      </c>
      <c r="H771" s="96">
        <v>40260</v>
      </c>
      <c r="I771" s="97">
        <v>5</v>
      </c>
    </row>
    <row r="772" spans="1:9" ht="13.5">
      <c r="A772" s="98"/>
      <c r="B772" s="92"/>
      <c r="C772" s="98"/>
      <c r="D772" s="91"/>
      <c r="E772" s="99"/>
      <c r="F772" s="94"/>
      <c r="G772" s="95"/>
      <c r="H772" s="96"/>
      <c r="I772" s="97"/>
    </row>
    <row r="773" spans="1:9" ht="13.5">
      <c r="A773" s="91" t="s">
        <v>1025</v>
      </c>
      <c r="B773" s="92" t="s">
        <v>245</v>
      </c>
      <c r="C773" s="91" t="s">
        <v>1025</v>
      </c>
      <c r="D773" s="91" t="s">
        <v>247</v>
      </c>
      <c r="E773" s="93">
        <v>32077</v>
      </c>
      <c r="F773" s="94">
        <f ca="1">DATEDIF(E773,TODAY(),"Y")</f>
        <v>29</v>
      </c>
      <c r="G773" s="95"/>
      <c r="H773" s="96">
        <v>85510</v>
      </c>
      <c r="I773" s="97">
        <v>4</v>
      </c>
    </row>
    <row r="774" spans="1:9" ht="13.5">
      <c r="A774" s="91" t="s">
        <v>1025</v>
      </c>
      <c r="B774" s="92" t="s">
        <v>271</v>
      </c>
      <c r="C774" s="91" t="s">
        <v>1025</v>
      </c>
      <c r="D774" s="91" t="s">
        <v>256</v>
      </c>
      <c r="E774" s="93">
        <v>35681</v>
      </c>
      <c r="F774" s="94">
        <f ca="1">DATEDIF(E774,TODAY(),"Y")</f>
        <v>19</v>
      </c>
      <c r="G774" s="95" t="s">
        <v>257</v>
      </c>
      <c r="H774" s="96">
        <v>63670</v>
      </c>
      <c r="I774" s="97">
        <v>5</v>
      </c>
    </row>
    <row r="775" spans="1:9" ht="13.5">
      <c r="A775" s="91" t="s">
        <v>1025</v>
      </c>
      <c r="B775" s="92" t="s">
        <v>245</v>
      </c>
      <c r="C775" s="91" t="s">
        <v>1025</v>
      </c>
      <c r="D775" s="91" t="s">
        <v>256</v>
      </c>
      <c r="E775" s="93">
        <v>35763</v>
      </c>
      <c r="F775" s="94">
        <f ca="1">DATEDIF(E775,TODAY(),"Y")</f>
        <v>18</v>
      </c>
      <c r="G775" s="95" t="s">
        <v>276</v>
      </c>
      <c r="H775" s="96">
        <v>40680</v>
      </c>
      <c r="I775" s="97">
        <v>5</v>
      </c>
    </row>
    <row r="776" spans="1:9" ht="13.5">
      <c r="A776" s="91" t="s">
        <v>1025</v>
      </c>
      <c r="B776" s="92" t="s">
        <v>266</v>
      </c>
      <c r="C776" s="91" t="s">
        <v>1025</v>
      </c>
      <c r="D776" s="91" t="s">
        <v>256</v>
      </c>
      <c r="E776" s="93">
        <v>36374</v>
      </c>
      <c r="F776" s="94">
        <f ca="1">DATEDIF(E776,TODAY(),"Y")</f>
        <v>17</v>
      </c>
      <c r="G776" s="95" t="s">
        <v>283</v>
      </c>
      <c r="H776" s="96">
        <v>42800</v>
      </c>
      <c r="I776" s="97">
        <v>5</v>
      </c>
    </row>
    <row r="777" spans="1:9" ht="13.5">
      <c r="A777" s="91" t="s">
        <v>1025</v>
      </c>
      <c r="B777" s="92" t="s">
        <v>271</v>
      </c>
      <c r="C777" s="91" t="s">
        <v>1025</v>
      </c>
      <c r="D777" s="91" t="s">
        <v>247</v>
      </c>
      <c r="E777" s="93">
        <v>39409</v>
      </c>
      <c r="F777" s="94">
        <f ca="1">DATEDIF(E777,TODAY(),"Y")</f>
        <v>8</v>
      </c>
      <c r="G777" s="95"/>
      <c r="H777" s="96">
        <v>66132</v>
      </c>
      <c r="I777" s="97">
        <v>4</v>
      </c>
    </row>
    <row r="778" spans="1:9" ht="13.5">
      <c r="A778" s="98"/>
      <c r="B778" s="92"/>
      <c r="C778" s="98"/>
      <c r="D778" s="91"/>
      <c r="E778" s="93"/>
      <c r="F778" s="94"/>
      <c r="G778" s="95"/>
      <c r="H778" s="96"/>
      <c r="I778" s="97"/>
    </row>
    <row r="779" spans="1:9" ht="13.5">
      <c r="A779" s="91" t="s">
        <v>1031</v>
      </c>
      <c r="B779" s="92" t="s">
        <v>285</v>
      </c>
      <c r="C779" s="91" t="s">
        <v>1031</v>
      </c>
      <c r="D779" s="91" t="s">
        <v>247</v>
      </c>
      <c r="E779" s="93">
        <v>32693</v>
      </c>
      <c r="F779" s="94">
        <f t="shared" ref="F779:F784" ca="1" si="31">DATEDIF(E779,TODAY(),"Y")</f>
        <v>27</v>
      </c>
      <c r="G779" s="95"/>
      <c r="H779" s="96">
        <v>60760</v>
      </c>
      <c r="I779" s="97">
        <v>2</v>
      </c>
    </row>
    <row r="780" spans="1:9" ht="13.5">
      <c r="A780" s="91" t="s">
        <v>1031</v>
      </c>
      <c r="B780" s="92" t="s">
        <v>285</v>
      </c>
      <c r="C780" s="91" t="s">
        <v>1031</v>
      </c>
      <c r="D780" s="91" t="s">
        <v>247</v>
      </c>
      <c r="E780" s="93">
        <v>33215</v>
      </c>
      <c r="F780" s="94">
        <f t="shared" ca="1" si="31"/>
        <v>25</v>
      </c>
      <c r="G780" s="95"/>
      <c r="H780" s="96">
        <v>64720</v>
      </c>
      <c r="I780" s="97">
        <v>5</v>
      </c>
    </row>
    <row r="781" spans="1:9" ht="13.5">
      <c r="A781" s="91" t="s">
        <v>1031</v>
      </c>
      <c r="B781" s="92" t="s">
        <v>285</v>
      </c>
      <c r="C781" s="91" t="s">
        <v>1031</v>
      </c>
      <c r="D781" s="91" t="s">
        <v>247</v>
      </c>
      <c r="E781" s="93">
        <v>33215</v>
      </c>
      <c r="F781" s="94">
        <f t="shared" ca="1" si="31"/>
        <v>25</v>
      </c>
      <c r="G781" s="95"/>
      <c r="H781" s="96">
        <v>64720</v>
      </c>
      <c r="I781" s="97">
        <v>5</v>
      </c>
    </row>
    <row r="782" spans="1:9" ht="13.5">
      <c r="A782" s="91" t="s">
        <v>1031</v>
      </c>
      <c r="B782" s="92" t="s">
        <v>266</v>
      </c>
      <c r="C782" s="91" t="s">
        <v>1031</v>
      </c>
      <c r="D782" s="91" t="s">
        <v>261</v>
      </c>
      <c r="E782" s="93">
        <v>35247</v>
      </c>
      <c r="F782" s="94">
        <f t="shared" ca="1" si="31"/>
        <v>20</v>
      </c>
      <c r="G782" s="95" t="s">
        <v>257</v>
      </c>
      <c r="H782" s="96">
        <v>31250</v>
      </c>
      <c r="I782" s="97">
        <v>2</v>
      </c>
    </row>
    <row r="783" spans="1:9" ht="13.5">
      <c r="A783" s="91" t="s">
        <v>1031</v>
      </c>
      <c r="B783" s="92" t="s">
        <v>251</v>
      </c>
      <c r="C783" s="91" t="s">
        <v>1031</v>
      </c>
      <c r="D783" s="91" t="s">
        <v>256</v>
      </c>
      <c r="E783" s="93">
        <v>39074</v>
      </c>
      <c r="F783" s="94">
        <f t="shared" ca="1" si="31"/>
        <v>9</v>
      </c>
      <c r="G783" s="95" t="s">
        <v>257</v>
      </c>
      <c r="H783" s="96">
        <v>46680</v>
      </c>
      <c r="I783" s="97">
        <v>1</v>
      </c>
    </row>
    <row r="784" spans="1:9" ht="13.5">
      <c r="A784" s="91" t="s">
        <v>1031</v>
      </c>
      <c r="B784" s="92" t="s">
        <v>266</v>
      </c>
      <c r="C784" s="91" t="s">
        <v>1031</v>
      </c>
      <c r="D784" s="91" t="s">
        <v>252</v>
      </c>
      <c r="E784" s="93">
        <v>39233</v>
      </c>
      <c r="F784" s="94">
        <f t="shared" ca="1" si="31"/>
        <v>9</v>
      </c>
      <c r="G784" s="95"/>
      <c r="H784" s="96">
        <v>19044</v>
      </c>
      <c r="I784" s="97">
        <v>1</v>
      </c>
    </row>
    <row r="785" spans="1:9" ht="13.5">
      <c r="A785" s="98"/>
      <c r="B785" s="92"/>
      <c r="C785" s="98"/>
      <c r="D785" s="91"/>
      <c r="E785" s="93"/>
      <c r="F785" s="94"/>
      <c r="G785" s="95"/>
      <c r="H785" s="96"/>
      <c r="I785"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F745"/>
  <sheetViews>
    <sheetView topLeftCell="A636" zoomScale="85" zoomScaleNormal="85" zoomScaleSheetLayoutView="100" workbookViewId="0">
      <selection activeCell="D745" sqref="D745"/>
    </sheetView>
  </sheetViews>
  <sheetFormatPr defaultColWidth="19.85546875" defaultRowHeight="15"/>
  <cols>
    <col min="1" max="1" width="19.28515625" style="39" bestFit="1" customWidth="1"/>
    <col min="2" max="2" width="9.85546875" style="54" customWidth="1"/>
    <col min="3" max="3" width="26.85546875" style="39" bestFit="1" customWidth="1"/>
    <col min="4" max="4" width="12.42578125" style="79" bestFit="1" customWidth="1"/>
    <col min="5" max="5" width="9.7109375" style="39" bestFit="1" customWidth="1"/>
    <col min="6" max="6" width="11.140625" style="81" customWidth="1"/>
    <col min="7" max="7" width="10.7109375" style="81" customWidth="1"/>
    <col min="8" max="8" width="7.5703125" style="83" customWidth="1"/>
    <col min="9" max="9" width="10" style="39" customWidth="1"/>
    <col min="10" max="10" width="9.42578125" style="70" customWidth="1"/>
    <col min="11" max="11" width="11.85546875" style="39" customWidth="1"/>
    <col min="12" max="12" width="13.5703125" style="84" customWidth="1"/>
    <col min="13" max="13" width="10.28515625" style="56" customWidth="1"/>
    <col min="14" max="14" width="8.140625" style="39" customWidth="1"/>
    <col min="15" max="15" width="7.28515625" style="39" customWidth="1"/>
    <col min="16" max="16" width="9.85546875" style="39" customWidth="1"/>
    <col min="17" max="17" width="8.85546875" style="39" bestFit="1" customWidth="1"/>
    <col min="18" max="18" width="4.5703125" style="39" bestFit="1" customWidth="1"/>
    <col min="19" max="19" width="9.28515625" style="39" customWidth="1"/>
    <col min="20" max="20" width="5.5703125" style="39" bestFit="1" customWidth="1"/>
    <col min="21" max="25" width="4.42578125" style="39" bestFit="1" customWidth="1"/>
    <col min="26" max="26" width="5.42578125" style="39" customWidth="1"/>
    <col min="27" max="27" width="6" style="39" bestFit="1" customWidth="1"/>
    <col min="28" max="32" width="4.42578125" style="39" bestFit="1" customWidth="1"/>
    <col min="33" max="33" width="4.140625" style="39" bestFit="1" customWidth="1"/>
    <col min="34" max="16384" width="19.85546875" style="39"/>
  </cols>
  <sheetData>
    <row r="1" spans="1:32">
      <c r="A1" s="26" t="s">
        <v>229</v>
      </c>
      <c r="B1" s="27" t="s">
        <v>230</v>
      </c>
      <c r="C1" s="28" t="s">
        <v>231</v>
      </c>
      <c r="D1" s="144" t="s">
        <v>232</v>
      </c>
      <c r="E1" s="28" t="s">
        <v>234</v>
      </c>
      <c r="F1" s="31" t="s">
        <v>235</v>
      </c>
      <c r="G1" s="31" t="s">
        <v>236</v>
      </c>
      <c r="H1" s="33" t="s">
        <v>237</v>
      </c>
      <c r="I1" s="28" t="s">
        <v>238</v>
      </c>
      <c r="J1" s="34" t="s">
        <v>239</v>
      </c>
      <c r="K1" s="27" t="s">
        <v>240</v>
      </c>
      <c r="L1" s="35" t="s">
        <v>241</v>
      </c>
      <c r="M1" s="36" t="s">
        <v>242</v>
      </c>
      <c r="N1" s="37" t="s">
        <v>1587</v>
      </c>
      <c r="O1" s="37"/>
      <c r="P1" s="37"/>
      <c r="Q1" s="38" t="s">
        <v>243</v>
      </c>
      <c r="R1" s="38"/>
      <c r="T1" s="40"/>
      <c r="U1" s="41" t="s">
        <v>73</v>
      </c>
      <c r="V1" s="41" t="s">
        <v>107</v>
      </c>
      <c r="W1" s="41" t="s">
        <v>100</v>
      </c>
      <c r="X1" s="41" t="s">
        <v>65</v>
      </c>
      <c r="Y1" s="41" t="s">
        <v>83</v>
      </c>
      <c r="Z1" s="42"/>
      <c r="AA1" s="43"/>
      <c r="AB1" s="44" t="s">
        <v>73</v>
      </c>
      <c r="AC1" s="44" t="s">
        <v>107</v>
      </c>
      <c r="AD1" s="44" t="s">
        <v>100</v>
      </c>
      <c r="AE1" s="44" t="s">
        <v>65</v>
      </c>
      <c r="AF1" s="44" t="s">
        <v>83</v>
      </c>
    </row>
    <row r="2" spans="1:32" hidden="1">
      <c r="A2" s="45" t="s">
        <v>255</v>
      </c>
      <c r="B2" s="46" t="s">
        <v>245</v>
      </c>
      <c r="C2" s="45" t="s">
        <v>246</v>
      </c>
      <c r="D2" s="142">
        <v>908683147</v>
      </c>
      <c r="E2" s="45" t="s">
        <v>256</v>
      </c>
      <c r="F2" s="105">
        <v>36171</v>
      </c>
      <c r="G2" s="105" t="str">
        <f t="shared" ref="G2:G65" si="0">CHOOSE(MONTH(F2),"Jan","Feb","Mar","Apr","May","Jun","Jul","Aug","Sep","Oct","Nov","Dec")</f>
        <v>Jan</v>
      </c>
      <c r="H2" s="51">
        <f t="shared" ref="H2:H65" ca="1" si="1">DATEDIF(F2,TODAY(),"Y")</f>
        <v>17</v>
      </c>
      <c r="I2" s="52" t="s">
        <v>257</v>
      </c>
      <c r="J2" s="53">
        <v>24550</v>
      </c>
      <c r="K2" s="54">
        <v>1</v>
      </c>
      <c r="L2" s="143"/>
      <c r="M2" s="63"/>
      <c r="N2" s="56"/>
      <c r="Q2" s="57">
        <v>0</v>
      </c>
      <c r="R2" s="58">
        <v>0</v>
      </c>
      <c r="T2" s="40" t="s">
        <v>248</v>
      </c>
      <c r="U2" s="59">
        <v>33</v>
      </c>
      <c r="V2" s="59">
        <v>40</v>
      </c>
      <c r="W2" s="59">
        <v>37</v>
      </c>
      <c r="X2" s="59">
        <v>48</v>
      </c>
      <c r="Y2" s="59">
        <v>48</v>
      </c>
      <c r="Z2" s="59"/>
      <c r="AA2" s="60" t="s">
        <v>249</v>
      </c>
      <c r="AB2" s="59">
        <v>45</v>
      </c>
      <c r="AC2" s="59">
        <v>47</v>
      </c>
      <c r="AD2" s="59">
        <v>35</v>
      </c>
      <c r="AE2" s="59">
        <v>49</v>
      </c>
      <c r="AF2" s="59">
        <v>37</v>
      </c>
    </row>
    <row r="3" spans="1:32" hidden="1">
      <c r="A3" s="45" t="s">
        <v>260</v>
      </c>
      <c r="B3" s="46" t="s">
        <v>245</v>
      </c>
      <c r="C3" s="45" t="s">
        <v>246</v>
      </c>
      <c r="D3" s="142">
        <v>950455747</v>
      </c>
      <c r="E3" s="45" t="s">
        <v>261</v>
      </c>
      <c r="F3" s="105">
        <v>33290</v>
      </c>
      <c r="G3" s="105" t="str">
        <f t="shared" si="0"/>
        <v>Feb</v>
      </c>
      <c r="H3" s="51">
        <f t="shared" ca="1" si="1"/>
        <v>25</v>
      </c>
      <c r="I3" s="52" t="s">
        <v>262</v>
      </c>
      <c r="J3" s="53">
        <v>26795</v>
      </c>
      <c r="K3" s="54">
        <v>4</v>
      </c>
      <c r="M3" s="63"/>
      <c r="N3" s="56"/>
      <c r="Q3" s="61">
        <v>5000</v>
      </c>
      <c r="R3" s="62">
        <v>0.01</v>
      </c>
      <c r="T3" s="40" t="s">
        <v>253</v>
      </c>
      <c r="U3" s="59">
        <v>35</v>
      </c>
      <c r="V3" s="59">
        <v>38</v>
      </c>
      <c r="W3" s="59">
        <v>36</v>
      </c>
      <c r="X3" s="59">
        <v>48</v>
      </c>
      <c r="Y3" s="59">
        <v>41</v>
      </c>
      <c r="Z3" s="59"/>
      <c r="AA3" s="60" t="s">
        <v>254</v>
      </c>
      <c r="AB3" s="59">
        <v>39</v>
      </c>
      <c r="AC3" s="59">
        <v>35</v>
      </c>
      <c r="AD3" s="59">
        <v>45</v>
      </c>
      <c r="AE3" s="59">
        <v>34</v>
      </c>
      <c r="AF3" s="59">
        <v>37</v>
      </c>
    </row>
    <row r="4" spans="1:32" hidden="1">
      <c r="A4" s="45" t="s">
        <v>244</v>
      </c>
      <c r="B4" s="46" t="s">
        <v>245</v>
      </c>
      <c r="C4" s="45" t="s">
        <v>246</v>
      </c>
      <c r="D4" s="142">
        <v>775555190</v>
      </c>
      <c r="E4" s="45" t="s">
        <v>247</v>
      </c>
      <c r="F4" s="105">
        <v>39147</v>
      </c>
      <c r="G4" s="105" t="str">
        <f t="shared" si="0"/>
        <v>Mar</v>
      </c>
      <c r="H4" s="51">
        <f t="shared" ca="1" si="1"/>
        <v>9</v>
      </c>
      <c r="I4" s="52"/>
      <c r="J4" s="53">
        <v>42540</v>
      </c>
      <c r="K4" s="54">
        <v>5</v>
      </c>
      <c r="Q4" s="61">
        <v>25000</v>
      </c>
      <c r="R4" s="62">
        <v>0.05</v>
      </c>
      <c r="T4" s="40" t="s">
        <v>258</v>
      </c>
      <c r="U4" s="59">
        <v>49</v>
      </c>
      <c r="V4" s="59">
        <v>36</v>
      </c>
      <c r="W4" s="59">
        <v>40</v>
      </c>
      <c r="X4" s="59">
        <v>35</v>
      </c>
      <c r="Y4" s="59">
        <v>44</v>
      </c>
      <c r="Z4" s="59"/>
      <c r="AA4" s="60" t="s">
        <v>259</v>
      </c>
      <c r="AB4" s="59">
        <v>30</v>
      </c>
      <c r="AC4" s="59">
        <v>45</v>
      </c>
      <c r="AD4" s="59">
        <v>43</v>
      </c>
      <c r="AE4" s="59">
        <v>46</v>
      </c>
      <c r="AF4" s="59">
        <v>30</v>
      </c>
    </row>
    <row r="5" spans="1:32" hidden="1">
      <c r="A5" s="45" t="s">
        <v>250</v>
      </c>
      <c r="B5" s="46" t="s">
        <v>251</v>
      </c>
      <c r="C5" s="45" t="s">
        <v>246</v>
      </c>
      <c r="D5" s="142">
        <v>330102344</v>
      </c>
      <c r="E5" s="45" t="s">
        <v>252</v>
      </c>
      <c r="F5" s="105">
        <v>33846</v>
      </c>
      <c r="G5" s="105" t="str">
        <f t="shared" si="0"/>
        <v>Aug</v>
      </c>
      <c r="H5" s="51">
        <f t="shared" ca="1" si="1"/>
        <v>24</v>
      </c>
      <c r="I5" s="52"/>
      <c r="J5" s="53">
        <v>35680</v>
      </c>
      <c r="K5" s="54">
        <v>2</v>
      </c>
      <c r="L5" s="143"/>
      <c r="N5" s="56"/>
      <c r="Q5" s="61">
        <v>35000</v>
      </c>
      <c r="R5" s="62">
        <v>0.06</v>
      </c>
      <c r="T5" s="40" t="s">
        <v>263</v>
      </c>
      <c r="U5" s="59">
        <v>35</v>
      </c>
      <c r="V5" s="59">
        <v>46</v>
      </c>
      <c r="W5" s="59">
        <v>44</v>
      </c>
      <c r="X5" s="59">
        <v>48</v>
      </c>
      <c r="Y5" s="59">
        <v>47</v>
      </c>
      <c r="Z5" s="59"/>
      <c r="AA5" s="60" t="s">
        <v>264</v>
      </c>
      <c r="AB5" s="59">
        <v>46</v>
      </c>
      <c r="AC5" s="59">
        <v>40</v>
      </c>
      <c r="AD5" s="59">
        <v>45</v>
      </c>
      <c r="AE5" s="59">
        <v>45</v>
      </c>
      <c r="AF5" s="59">
        <v>37</v>
      </c>
    </row>
    <row r="6" spans="1:32" hidden="1">
      <c r="A6" s="45" t="s">
        <v>265</v>
      </c>
      <c r="B6" s="46" t="s">
        <v>266</v>
      </c>
      <c r="C6" s="45" t="s">
        <v>246</v>
      </c>
      <c r="D6" s="142">
        <v>982839221</v>
      </c>
      <c r="E6" s="45" t="s">
        <v>256</v>
      </c>
      <c r="F6" s="105">
        <v>39447</v>
      </c>
      <c r="G6" s="105" t="str">
        <f t="shared" si="0"/>
        <v>Dec</v>
      </c>
      <c r="H6" s="51">
        <f t="shared" ca="1" si="1"/>
        <v>8</v>
      </c>
      <c r="I6" s="52" t="s">
        <v>267</v>
      </c>
      <c r="J6" s="53">
        <v>72830</v>
      </c>
      <c r="K6" s="54">
        <v>2</v>
      </c>
      <c r="N6" s="56"/>
      <c r="Q6" s="61">
        <v>45000</v>
      </c>
      <c r="R6" s="62">
        <v>7.0000000000000007E-2</v>
      </c>
      <c r="T6" s="40" t="s">
        <v>268</v>
      </c>
      <c r="U6" s="59">
        <v>31</v>
      </c>
      <c r="V6" s="59">
        <v>49</v>
      </c>
      <c r="W6" s="59">
        <v>43</v>
      </c>
      <c r="X6" s="59">
        <v>42</v>
      </c>
      <c r="Y6" s="59">
        <v>34</v>
      </c>
      <c r="Z6" s="59"/>
      <c r="AA6" s="60" t="s">
        <v>269</v>
      </c>
      <c r="AB6" s="59">
        <v>38</v>
      </c>
      <c r="AC6" s="59">
        <v>39</v>
      </c>
      <c r="AD6" s="59">
        <v>42</v>
      </c>
      <c r="AE6" s="59">
        <v>40</v>
      </c>
      <c r="AF6" s="59">
        <v>43</v>
      </c>
    </row>
    <row r="7" spans="1:32" hidden="1">
      <c r="A7" s="39" t="s">
        <v>284</v>
      </c>
      <c r="B7" s="46" t="s">
        <v>285</v>
      </c>
      <c r="C7" s="39" t="s">
        <v>272</v>
      </c>
      <c r="D7" s="142">
        <v>125553986</v>
      </c>
      <c r="E7" s="39" t="s">
        <v>256</v>
      </c>
      <c r="F7" s="81">
        <v>35464</v>
      </c>
      <c r="G7" s="105" t="str">
        <f t="shared" si="0"/>
        <v>Feb</v>
      </c>
      <c r="H7" s="51">
        <f t="shared" ca="1" si="1"/>
        <v>19</v>
      </c>
      <c r="I7" s="52" t="s">
        <v>257</v>
      </c>
      <c r="J7" s="53">
        <v>60830</v>
      </c>
      <c r="K7" s="54">
        <v>2</v>
      </c>
      <c r="N7" s="56"/>
      <c r="Q7" s="61">
        <v>55000</v>
      </c>
      <c r="R7" s="62">
        <v>0.08</v>
      </c>
      <c r="T7" s="40" t="s">
        <v>273</v>
      </c>
      <c r="U7" s="59">
        <v>43</v>
      </c>
      <c r="V7" s="59">
        <v>38</v>
      </c>
      <c r="W7" s="59">
        <v>44</v>
      </c>
      <c r="X7" s="59">
        <v>44</v>
      </c>
      <c r="Y7" s="59">
        <v>39</v>
      </c>
      <c r="Z7" s="59"/>
      <c r="AA7" s="60" t="s">
        <v>274</v>
      </c>
      <c r="AB7" s="59">
        <v>30</v>
      </c>
      <c r="AC7" s="59">
        <v>47</v>
      </c>
      <c r="AD7" s="59">
        <v>46</v>
      </c>
      <c r="AE7" s="59">
        <v>42</v>
      </c>
      <c r="AF7" s="59">
        <v>34</v>
      </c>
    </row>
    <row r="8" spans="1:32" hidden="1">
      <c r="A8" s="45" t="s">
        <v>281</v>
      </c>
      <c r="B8" s="46" t="s">
        <v>251</v>
      </c>
      <c r="C8" s="45" t="s">
        <v>272</v>
      </c>
      <c r="D8" s="142">
        <v>773563445</v>
      </c>
      <c r="E8" s="45" t="s">
        <v>261</v>
      </c>
      <c r="F8" s="105">
        <v>36217</v>
      </c>
      <c r="G8" s="105" t="str">
        <f t="shared" si="0"/>
        <v>Feb</v>
      </c>
      <c r="H8" s="51">
        <f t="shared" ca="1" si="1"/>
        <v>17</v>
      </c>
      <c r="I8" s="52" t="s">
        <v>257</v>
      </c>
      <c r="J8" s="53">
        <v>15240</v>
      </c>
      <c r="K8" s="54">
        <v>1</v>
      </c>
      <c r="N8" s="56"/>
      <c r="Q8" s="61">
        <v>65000</v>
      </c>
      <c r="R8" s="62">
        <v>0.1</v>
      </c>
    </row>
    <row r="9" spans="1:32">
      <c r="A9" s="39" t="s">
        <v>287</v>
      </c>
      <c r="B9" s="46" t="s">
        <v>271</v>
      </c>
      <c r="C9" s="39" t="s">
        <v>272</v>
      </c>
      <c r="D9" s="142">
        <v>443960950</v>
      </c>
      <c r="E9" s="39" t="s">
        <v>247</v>
      </c>
      <c r="F9" s="81">
        <v>34076</v>
      </c>
      <c r="G9" s="105" t="str">
        <f t="shared" si="0"/>
        <v>Apr</v>
      </c>
      <c r="H9" s="51">
        <f t="shared" ca="1" si="1"/>
        <v>23</v>
      </c>
      <c r="I9" s="52"/>
      <c r="J9" s="53">
        <v>66580</v>
      </c>
      <c r="K9" s="54">
        <v>5</v>
      </c>
      <c r="M9" s="63"/>
      <c r="N9" s="56"/>
      <c r="Q9" s="61">
        <v>75000</v>
      </c>
      <c r="R9" s="62">
        <v>0.11</v>
      </c>
      <c r="T9" s="64"/>
      <c r="U9" s="65"/>
      <c r="V9" s="65"/>
      <c r="W9" s="65"/>
      <c r="X9" s="65"/>
      <c r="Y9" s="65"/>
      <c r="AA9" s="66"/>
      <c r="AB9" s="67"/>
      <c r="AC9" s="67"/>
      <c r="AD9" s="67"/>
      <c r="AE9" s="67"/>
    </row>
    <row r="10" spans="1:32" hidden="1">
      <c r="A10" s="39" t="s">
        <v>292</v>
      </c>
      <c r="B10" s="46" t="s">
        <v>285</v>
      </c>
      <c r="C10" s="39" t="s">
        <v>272</v>
      </c>
      <c r="D10" s="142">
        <v>614756893</v>
      </c>
      <c r="E10" s="39" t="s">
        <v>256</v>
      </c>
      <c r="F10" s="81">
        <v>36260</v>
      </c>
      <c r="G10" s="105" t="str">
        <f t="shared" si="0"/>
        <v>Apr</v>
      </c>
      <c r="H10" s="51">
        <f t="shared" ca="1" si="1"/>
        <v>17</v>
      </c>
      <c r="I10" s="52" t="s">
        <v>257</v>
      </c>
      <c r="J10" s="53">
        <v>75150</v>
      </c>
      <c r="K10" s="54">
        <v>1</v>
      </c>
      <c r="Q10" s="61">
        <v>85000</v>
      </c>
      <c r="R10" s="62">
        <v>0.12</v>
      </c>
      <c r="T10" s="64"/>
      <c r="U10" s="68"/>
      <c r="V10" s="68"/>
      <c r="W10" s="68"/>
      <c r="X10" s="68"/>
      <c r="Y10" s="68"/>
      <c r="Z10" s="69"/>
      <c r="AA10" s="70"/>
      <c r="AB10" s="52"/>
      <c r="AC10" s="52"/>
      <c r="AD10" s="52"/>
      <c r="AE10" s="52"/>
    </row>
    <row r="11" spans="1:32" hidden="1">
      <c r="A11" s="39" t="s">
        <v>289</v>
      </c>
      <c r="B11" s="46" t="s">
        <v>251</v>
      </c>
      <c r="C11" s="39" t="s">
        <v>272</v>
      </c>
      <c r="D11" s="142">
        <v>524603364</v>
      </c>
      <c r="E11" s="39" t="s">
        <v>256</v>
      </c>
      <c r="F11" s="81">
        <v>37404</v>
      </c>
      <c r="G11" s="105" t="str">
        <f t="shared" si="0"/>
        <v>May</v>
      </c>
      <c r="H11" s="51">
        <f t="shared" ca="1" si="1"/>
        <v>14</v>
      </c>
      <c r="I11" s="52" t="s">
        <v>257</v>
      </c>
      <c r="J11" s="53">
        <v>30780</v>
      </c>
      <c r="K11" s="54">
        <v>4</v>
      </c>
      <c r="Q11" s="61">
        <v>95000</v>
      </c>
      <c r="R11" s="62">
        <v>0.13</v>
      </c>
      <c r="T11" s="64"/>
      <c r="U11" s="68"/>
      <c r="V11" s="68"/>
      <c r="W11" s="68"/>
      <c r="X11" s="68"/>
      <c r="Y11" s="68"/>
      <c r="Z11" s="52"/>
      <c r="AA11" s="70"/>
      <c r="AB11" s="52"/>
      <c r="AC11" s="52"/>
      <c r="AD11" s="52"/>
      <c r="AE11" s="52"/>
    </row>
    <row r="12" spans="1:32">
      <c r="A12" s="39" t="s">
        <v>288</v>
      </c>
      <c r="B12" s="46" t="s">
        <v>271</v>
      </c>
      <c r="C12" s="39" t="s">
        <v>272</v>
      </c>
      <c r="D12" s="142">
        <v>949476793</v>
      </c>
      <c r="E12" s="39" t="s">
        <v>261</v>
      </c>
      <c r="F12" s="81">
        <v>37782</v>
      </c>
      <c r="G12" s="105" t="str">
        <f t="shared" si="0"/>
        <v>Jun</v>
      </c>
      <c r="H12" s="51">
        <f t="shared" ca="1" si="1"/>
        <v>13</v>
      </c>
      <c r="I12" s="52" t="s">
        <v>276</v>
      </c>
      <c r="J12" s="53">
        <v>17735</v>
      </c>
      <c r="K12" s="54">
        <v>3</v>
      </c>
      <c r="Q12" s="71"/>
      <c r="T12" s="64"/>
      <c r="U12" s="68"/>
      <c r="V12" s="68"/>
      <c r="W12" s="68"/>
      <c r="X12" s="68"/>
      <c r="Y12" s="68"/>
      <c r="Z12" s="52"/>
      <c r="AA12" s="70"/>
      <c r="AB12" s="52"/>
      <c r="AC12" s="52"/>
      <c r="AD12" s="52"/>
      <c r="AE12" s="52"/>
    </row>
    <row r="13" spans="1:32">
      <c r="A13" s="45" t="s">
        <v>277</v>
      </c>
      <c r="B13" s="46" t="s">
        <v>271</v>
      </c>
      <c r="C13" s="45" t="s">
        <v>272</v>
      </c>
      <c r="D13" s="142">
        <v>743567419</v>
      </c>
      <c r="E13" s="45" t="s">
        <v>256</v>
      </c>
      <c r="F13" s="105">
        <v>38142</v>
      </c>
      <c r="G13" s="105" t="str">
        <f t="shared" si="0"/>
        <v>Jun</v>
      </c>
      <c r="H13" s="51">
        <f t="shared" ca="1" si="1"/>
        <v>12</v>
      </c>
      <c r="I13" s="52" t="s">
        <v>257</v>
      </c>
      <c r="J13" s="53">
        <v>49350</v>
      </c>
      <c r="K13" s="54">
        <v>4</v>
      </c>
      <c r="N13" s="56"/>
      <c r="Q13" s="71"/>
      <c r="T13" s="64"/>
      <c r="U13" s="68"/>
      <c r="V13" s="68"/>
      <c r="W13" s="68"/>
      <c r="X13" s="68"/>
      <c r="Y13" s="68"/>
      <c r="Z13" s="52"/>
      <c r="AA13" s="70"/>
      <c r="AB13" s="52"/>
      <c r="AC13" s="52"/>
      <c r="AD13" s="52"/>
      <c r="AE13" s="52"/>
    </row>
    <row r="14" spans="1:32">
      <c r="A14" s="45" t="s">
        <v>1060</v>
      </c>
      <c r="B14" s="46" t="s">
        <v>271</v>
      </c>
      <c r="C14" s="45" t="s">
        <v>272</v>
      </c>
      <c r="D14" s="142">
        <v>913964921</v>
      </c>
      <c r="E14" s="45" t="s">
        <v>261</v>
      </c>
      <c r="F14" s="105">
        <v>33474</v>
      </c>
      <c r="G14" s="105" t="str">
        <f t="shared" si="0"/>
        <v>Aug</v>
      </c>
      <c r="H14" s="51">
        <f t="shared" ca="1" si="1"/>
        <v>25</v>
      </c>
      <c r="I14" s="52" t="s">
        <v>262</v>
      </c>
      <c r="J14" s="53">
        <v>30445</v>
      </c>
      <c r="K14" s="54">
        <v>1</v>
      </c>
      <c r="N14" s="56"/>
      <c r="T14" s="64"/>
      <c r="U14" s="68"/>
      <c r="V14" s="68"/>
      <c r="W14" s="68"/>
      <c r="X14" s="68"/>
      <c r="Y14" s="68"/>
      <c r="Z14" s="52"/>
      <c r="AA14" s="70"/>
      <c r="AB14" s="52"/>
      <c r="AC14" s="52"/>
      <c r="AD14" s="52"/>
      <c r="AE14" s="52"/>
    </row>
    <row r="15" spans="1:32" hidden="1">
      <c r="A15" s="39" t="s">
        <v>293</v>
      </c>
      <c r="B15" s="46" t="s">
        <v>285</v>
      </c>
      <c r="C15" s="39" t="s">
        <v>272</v>
      </c>
      <c r="D15" s="142">
        <v>738732261</v>
      </c>
      <c r="E15" s="39" t="s">
        <v>256</v>
      </c>
      <c r="F15" s="81">
        <v>33831</v>
      </c>
      <c r="G15" s="105" t="str">
        <f t="shared" si="0"/>
        <v>Aug</v>
      </c>
      <c r="H15" s="51">
        <f t="shared" ca="1" si="1"/>
        <v>24</v>
      </c>
      <c r="I15" s="52" t="s">
        <v>257</v>
      </c>
      <c r="J15" s="53">
        <v>79760</v>
      </c>
      <c r="K15" s="54">
        <v>5</v>
      </c>
      <c r="T15" s="64"/>
      <c r="U15" s="68"/>
      <c r="V15" s="68"/>
      <c r="W15" s="68"/>
      <c r="X15" s="68"/>
      <c r="Y15" s="68"/>
      <c r="Z15" s="52"/>
      <c r="AA15" s="70"/>
      <c r="AB15" s="52"/>
      <c r="AC15" s="52"/>
      <c r="AD15" s="52"/>
      <c r="AE15" s="52"/>
    </row>
    <row r="16" spans="1:32" hidden="1">
      <c r="A16" s="39" t="s">
        <v>291</v>
      </c>
      <c r="B16" s="46" t="s">
        <v>266</v>
      </c>
      <c r="C16" s="39" t="s">
        <v>272</v>
      </c>
      <c r="D16" s="142">
        <v>875826544</v>
      </c>
      <c r="E16" s="39" t="s">
        <v>256</v>
      </c>
      <c r="F16" s="81">
        <v>36764</v>
      </c>
      <c r="G16" s="105" t="str">
        <f t="shared" si="0"/>
        <v>Aug</v>
      </c>
      <c r="H16" s="51">
        <f t="shared" ca="1" si="1"/>
        <v>16</v>
      </c>
      <c r="I16" s="52" t="s">
        <v>276</v>
      </c>
      <c r="J16" s="53">
        <v>74840</v>
      </c>
      <c r="K16" s="54">
        <v>4</v>
      </c>
      <c r="U16" s="74"/>
      <c r="V16" s="74"/>
      <c r="W16" s="74"/>
      <c r="X16" s="74"/>
      <c r="Y16" s="52"/>
      <c r="Z16" s="52"/>
      <c r="AA16" s="52"/>
      <c r="AB16" s="52"/>
      <c r="AC16" s="52"/>
      <c r="AD16" s="52"/>
      <c r="AE16" s="52"/>
    </row>
    <row r="17" spans="1:14" hidden="1">
      <c r="A17" s="45" t="s">
        <v>279</v>
      </c>
      <c r="B17" s="46" t="s">
        <v>280</v>
      </c>
      <c r="C17" s="45" t="s">
        <v>272</v>
      </c>
      <c r="D17" s="142">
        <v>648099824</v>
      </c>
      <c r="E17" s="45" t="s">
        <v>252</v>
      </c>
      <c r="F17" s="105">
        <v>33482</v>
      </c>
      <c r="G17" s="105" t="str">
        <f t="shared" si="0"/>
        <v>Sep</v>
      </c>
      <c r="H17" s="51">
        <f t="shared" ca="1" si="1"/>
        <v>25</v>
      </c>
      <c r="I17" s="52" t="s">
        <v>257</v>
      </c>
      <c r="J17" s="53">
        <v>29070</v>
      </c>
      <c r="K17" s="54">
        <v>3</v>
      </c>
      <c r="N17" s="56"/>
    </row>
    <row r="18" spans="1:14" hidden="1">
      <c r="A18" s="39" t="s">
        <v>286</v>
      </c>
      <c r="B18" s="46" t="s">
        <v>245</v>
      </c>
      <c r="C18" s="39" t="s">
        <v>272</v>
      </c>
      <c r="D18" s="142">
        <v>449757915</v>
      </c>
      <c r="E18" s="39" t="s">
        <v>247</v>
      </c>
      <c r="F18" s="81">
        <v>36777</v>
      </c>
      <c r="G18" s="105" t="str">
        <f t="shared" si="0"/>
        <v>Sep</v>
      </c>
      <c r="H18" s="51">
        <f t="shared" ca="1" si="1"/>
        <v>16</v>
      </c>
      <c r="I18" s="52"/>
      <c r="J18" s="53">
        <v>76690</v>
      </c>
      <c r="K18" s="54">
        <v>3</v>
      </c>
      <c r="N18" s="56"/>
    </row>
    <row r="19" spans="1:14" hidden="1">
      <c r="A19" s="45" t="s">
        <v>275</v>
      </c>
      <c r="B19" s="46" t="s">
        <v>245</v>
      </c>
      <c r="C19" s="45" t="s">
        <v>272</v>
      </c>
      <c r="D19" s="142">
        <v>408295902</v>
      </c>
      <c r="E19" s="45" t="s">
        <v>256</v>
      </c>
      <c r="F19" s="105">
        <v>39704</v>
      </c>
      <c r="G19" s="105" t="str">
        <f t="shared" si="0"/>
        <v>Sep</v>
      </c>
      <c r="H19" s="51">
        <f t="shared" ca="1" si="1"/>
        <v>8</v>
      </c>
      <c r="I19" s="52" t="s">
        <v>276</v>
      </c>
      <c r="J19" s="53">
        <v>58290</v>
      </c>
      <c r="K19" s="54">
        <v>5</v>
      </c>
      <c r="N19" s="56"/>
    </row>
    <row r="20" spans="1:14" hidden="1">
      <c r="A20" s="45" t="s">
        <v>282</v>
      </c>
      <c r="B20" s="46" t="s">
        <v>280</v>
      </c>
      <c r="C20" s="45" t="s">
        <v>272</v>
      </c>
      <c r="D20" s="142">
        <v>976890727</v>
      </c>
      <c r="E20" s="45" t="s">
        <v>256</v>
      </c>
      <c r="F20" s="105">
        <v>35742</v>
      </c>
      <c r="G20" s="105" t="str">
        <f t="shared" si="0"/>
        <v>Nov</v>
      </c>
      <c r="H20" s="51">
        <f t="shared" ca="1" si="1"/>
        <v>19</v>
      </c>
      <c r="I20" s="52" t="s">
        <v>283</v>
      </c>
      <c r="J20" s="53">
        <v>85300</v>
      </c>
      <c r="K20" s="54">
        <v>2</v>
      </c>
      <c r="N20" s="56"/>
    </row>
    <row r="21" spans="1:14" hidden="1">
      <c r="A21" s="45" t="s">
        <v>278</v>
      </c>
      <c r="B21" s="46" t="s">
        <v>245</v>
      </c>
      <c r="C21" s="45" t="s">
        <v>272</v>
      </c>
      <c r="D21" s="142">
        <v>296590972</v>
      </c>
      <c r="E21" s="45" t="s">
        <v>252</v>
      </c>
      <c r="F21" s="105">
        <v>40126</v>
      </c>
      <c r="G21" s="105" t="str">
        <f t="shared" si="0"/>
        <v>Nov</v>
      </c>
      <c r="H21" s="51">
        <f t="shared" ca="1" si="1"/>
        <v>7</v>
      </c>
      <c r="I21" s="52"/>
      <c r="J21" s="53">
        <v>10636</v>
      </c>
      <c r="K21" s="54">
        <v>4</v>
      </c>
      <c r="N21" s="56"/>
    </row>
    <row r="22" spans="1:14" hidden="1">
      <c r="A22" s="39" t="s">
        <v>294</v>
      </c>
      <c r="B22" s="46" t="s">
        <v>251</v>
      </c>
      <c r="C22" s="39" t="s">
        <v>272</v>
      </c>
      <c r="D22" s="142">
        <v>869619136</v>
      </c>
      <c r="E22" s="39" t="s">
        <v>256</v>
      </c>
      <c r="F22" s="81">
        <v>36143</v>
      </c>
      <c r="G22" s="105" t="str">
        <f t="shared" si="0"/>
        <v>Dec</v>
      </c>
      <c r="H22" s="51">
        <f t="shared" ca="1" si="1"/>
        <v>17</v>
      </c>
      <c r="I22" s="52" t="s">
        <v>283</v>
      </c>
      <c r="J22" s="53">
        <v>72090</v>
      </c>
      <c r="K22" s="54">
        <v>5</v>
      </c>
    </row>
    <row r="23" spans="1:14" hidden="1">
      <c r="A23" s="39" t="s">
        <v>290</v>
      </c>
      <c r="B23" s="46" t="s">
        <v>266</v>
      </c>
      <c r="C23" s="39" t="s">
        <v>272</v>
      </c>
      <c r="D23" s="142">
        <v>173338460</v>
      </c>
      <c r="E23" s="39" t="s">
        <v>256</v>
      </c>
      <c r="F23" s="81">
        <v>39069</v>
      </c>
      <c r="G23" s="105" t="str">
        <f t="shared" si="0"/>
        <v>Dec</v>
      </c>
      <c r="H23" s="51">
        <f t="shared" ca="1" si="1"/>
        <v>9</v>
      </c>
      <c r="I23" s="52" t="s">
        <v>267</v>
      </c>
      <c r="J23" s="53">
        <v>37670</v>
      </c>
      <c r="K23" s="54">
        <v>3</v>
      </c>
    </row>
    <row r="24" spans="1:14">
      <c r="A24" s="39" t="s">
        <v>300</v>
      </c>
      <c r="B24" s="46" t="s">
        <v>271</v>
      </c>
      <c r="C24" s="39" t="s">
        <v>296</v>
      </c>
      <c r="D24" s="142">
        <v>997694951</v>
      </c>
      <c r="E24" s="39" t="s">
        <v>256</v>
      </c>
      <c r="F24" s="81">
        <v>35459</v>
      </c>
      <c r="G24" s="105" t="str">
        <f t="shared" si="0"/>
        <v>Jan</v>
      </c>
      <c r="H24" s="51">
        <f t="shared" ca="1" si="1"/>
        <v>19</v>
      </c>
      <c r="I24" s="52" t="s">
        <v>283</v>
      </c>
      <c r="J24" s="53">
        <v>49360</v>
      </c>
      <c r="K24" s="54">
        <v>2</v>
      </c>
    </row>
    <row r="25" spans="1:14" hidden="1">
      <c r="A25" s="39" t="s">
        <v>303</v>
      </c>
      <c r="B25" s="46" t="s">
        <v>245</v>
      </c>
      <c r="C25" s="39" t="s">
        <v>296</v>
      </c>
      <c r="D25" s="142">
        <v>435936680</v>
      </c>
      <c r="E25" s="39" t="s">
        <v>256</v>
      </c>
      <c r="F25" s="81">
        <v>36893</v>
      </c>
      <c r="G25" s="105" t="str">
        <f t="shared" si="0"/>
        <v>Jan</v>
      </c>
      <c r="H25" s="51">
        <f t="shared" ca="1" si="1"/>
        <v>15</v>
      </c>
      <c r="I25" s="52" t="s">
        <v>283</v>
      </c>
      <c r="J25" s="53">
        <v>33640</v>
      </c>
      <c r="K25" s="54">
        <v>3</v>
      </c>
    </row>
    <row r="26" spans="1:14" hidden="1">
      <c r="A26" s="39" t="s">
        <v>298</v>
      </c>
      <c r="B26" s="46" t="s">
        <v>285</v>
      </c>
      <c r="C26" s="39" t="s">
        <v>296</v>
      </c>
      <c r="D26" s="142">
        <v>977547255</v>
      </c>
      <c r="E26" s="39" t="s">
        <v>256</v>
      </c>
      <c r="F26" s="81">
        <v>36214</v>
      </c>
      <c r="G26" s="105" t="str">
        <f t="shared" si="0"/>
        <v>Feb</v>
      </c>
      <c r="H26" s="51">
        <f t="shared" ca="1" si="1"/>
        <v>17</v>
      </c>
      <c r="I26" s="52" t="s">
        <v>276</v>
      </c>
      <c r="J26" s="53">
        <v>47850</v>
      </c>
      <c r="K26" s="54">
        <v>1</v>
      </c>
    </row>
    <row r="27" spans="1:14" hidden="1">
      <c r="A27" s="39" t="s">
        <v>302</v>
      </c>
      <c r="B27" s="46" t="s">
        <v>251</v>
      </c>
      <c r="C27" s="39" t="s">
        <v>296</v>
      </c>
      <c r="D27" s="142">
        <v>506579942</v>
      </c>
      <c r="E27" s="39" t="s">
        <v>256</v>
      </c>
      <c r="F27" s="81">
        <v>38051</v>
      </c>
      <c r="G27" s="105" t="str">
        <f t="shared" si="0"/>
        <v>Mar</v>
      </c>
      <c r="H27" s="51">
        <f t="shared" ca="1" si="1"/>
        <v>12</v>
      </c>
      <c r="I27" s="52" t="s">
        <v>257</v>
      </c>
      <c r="J27" s="53">
        <v>30350</v>
      </c>
      <c r="K27" s="54">
        <v>1</v>
      </c>
    </row>
    <row r="28" spans="1:14" hidden="1">
      <c r="A28" s="39" t="s">
        <v>297</v>
      </c>
      <c r="B28" s="46" t="s">
        <v>245</v>
      </c>
      <c r="C28" s="39" t="s">
        <v>296</v>
      </c>
      <c r="D28" s="142">
        <v>701949801</v>
      </c>
      <c r="E28" s="39" t="s">
        <v>256</v>
      </c>
      <c r="F28" s="81">
        <v>36619</v>
      </c>
      <c r="G28" s="105" t="str">
        <f t="shared" si="0"/>
        <v>Apr</v>
      </c>
      <c r="H28" s="51">
        <f t="shared" ca="1" si="1"/>
        <v>16</v>
      </c>
      <c r="I28" s="52" t="s">
        <v>267</v>
      </c>
      <c r="J28" s="53">
        <v>56440</v>
      </c>
      <c r="K28" s="54">
        <v>1</v>
      </c>
    </row>
    <row r="29" spans="1:14" hidden="1">
      <c r="A29" s="39" t="s">
        <v>299</v>
      </c>
      <c r="B29" s="46" t="s">
        <v>245</v>
      </c>
      <c r="C29" s="39" t="s">
        <v>296</v>
      </c>
      <c r="D29" s="142">
        <v>221738049</v>
      </c>
      <c r="E29" s="39" t="s">
        <v>261</v>
      </c>
      <c r="F29" s="81">
        <v>35564</v>
      </c>
      <c r="G29" s="105" t="str">
        <f t="shared" si="0"/>
        <v>May</v>
      </c>
      <c r="H29" s="51">
        <f t="shared" ca="1" si="1"/>
        <v>19</v>
      </c>
      <c r="I29" s="52" t="s">
        <v>257</v>
      </c>
      <c r="J29" s="53">
        <v>11025</v>
      </c>
      <c r="K29" s="54">
        <v>1</v>
      </c>
    </row>
    <row r="30" spans="1:14">
      <c r="A30" s="39" t="s">
        <v>301</v>
      </c>
      <c r="B30" s="46" t="s">
        <v>271</v>
      </c>
      <c r="C30" s="39" t="s">
        <v>296</v>
      </c>
      <c r="D30" s="142">
        <v>301176418</v>
      </c>
      <c r="E30" s="39" t="s">
        <v>252</v>
      </c>
      <c r="F30" s="81">
        <v>35674</v>
      </c>
      <c r="G30" s="105" t="str">
        <f t="shared" si="0"/>
        <v>Sep</v>
      </c>
      <c r="H30" s="51">
        <f t="shared" ca="1" si="1"/>
        <v>19</v>
      </c>
      <c r="I30" s="52"/>
      <c r="J30" s="53">
        <v>20028</v>
      </c>
      <c r="K30" s="54">
        <v>4</v>
      </c>
    </row>
    <row r="31" spans="1:14" hidden="1">
      <c r="A31" s="39" t="s">
        <v>295</v>
      </c>
      <c r="B31" s="46" t="s">
        <v>245</v>
      </c>
      <c r="C31" s="39" t="s">
        <v>296</v>
      </c>
      <c r="D31" s="142">
        <v>922702781</v>
      </c>
      <c r="E31" s="39" t="s">
        <v>256</v>
      </c>
      <c r="F31" s="81">
        <v>40106</v>
      </c>
      <c r="G31" s="105" t="str">
        <f t="shared" si="0"/>
        <v>Oct</v>
      </c>
      <c r="H31" s="51">
        <f t="shared" ca="1" si="1"/>
        <v>7</v>
      </c>
      <c r="I31" s="52" t="s">
        <v>262</v>
      </c>
      <c r="J31" s="53">
        <v>51180</v>
      </c>
      <c r="K31" s="54">
        <v>3</v>
      </c>
      <c r="M31" s="63"/>
    </row>
    <row r="32" spans="1:14" hidden="1">
      <c r="A32" s="39" t="s">
        <v>305</v>
      </c>
      <c r="B32" s="46" t="s">
        <v>245</v>
      </c>
      <c r="C32" s="39" t="s">
        <v>296</v>
      </c>
      <c r="D32" s="142">
        <v>918780574</v>
      </c>
      <c r="E32" s="39" t="s">
        <v>256</v>
      </c>
      <c r="F32" s="81">
        <v>33551</v>
      </c>
      <c r="G32" s="105" t="str">
        <f t="shared" si="0"/>
        <v>Nov</v>
      </c>
      <c r="H32" s="51">
        <f t="shared" ca="1" si="1"/>
        <v>25</v>
      </c>
      <c r="I32" s="52" t="s">
        <v>262</v>
      </c>
      <c r="J32" s="53">
        <v>41350</v>
      </c>
      <c r="K32" s="54">
        <v>2</v>
      </c>
    </row>
    <row r="33" spans="1:16" hidden="1">
      <c r="A33" s="39" t="s">
        <v>304</v>
      </c>
      <c r="B33" s="46" t="s">
        <v>285</v>
      </c>
      <c r="C33" s="39" t="s">
        <v>296</v>
      </c>
      <c r="D33" s="142">
        <v>283798481</v>
      </c>
      <c r="E33" s="39" t="s">
        <v>256</v>
      </c>
      <c r="F33" s="81">
        <v>34301</v>
      </c>
      <c r="G33" s="105" t="str">
        <f t="shared" si="0"/>
        <v>Nov</v>
      </c>
      <c r="H33" s="51">
        <f t="shared" ca="1" si="1"/>
        <v>22</v>
      </c>
      <c r="I33" s="52" t="s">
        <v>257</v>
      </c>
      <c r="J33" s="53">
        <v>73440</v>
      </c>
      <c r="K33" s="54">
        <v>1</v>
      </c>
    </row>
    <row r="34" spans="1:16" hidden="1">
      <c r="A34" s="39" t="s">
        <v>306</v>
      </c>
      <c r="B34" s="46" t="s">
        <v>285</v>
      </c>
      <c r="C34" s="39" t="s">
        <v>307</v>
      </c>
      <c r="D34" s="142">
        <v>514668289</v>
      </c>
      <c r="E34" s="39" t="s">
        <v>256</v>
      </c>
      <c r="F34" s="81">
        <v>33713</v>
      </c>
      <c r="G34" s="105" t="str">
        <f t="shared" si="0"/>
        <v>Apr</v>
      </c>
      <c r="H34" s="51">
        <f t="shared" ca="1" si="1"/>
        <v>24</v>
      </c>
      <c r="I34" s="52" t="s">
        <v>257</v>
      </c>
      <c r="J34" s="53">
        <v>46220</v>
      </c>
      <c r="K34" s="54">
        <v>3</v>
      </c>
      <c r="M34" s="63"/>
      <c r="N34" s="75"/>
    </row>
    <row r="35" spans="1:16" hidden="1">
      <c r="A35" s="39" t="s">
        <v>310</v>
      </c>
      <c r="B35" s="46" t="s">
        <v>280</v>
      </c>
      <c r="C35" s="39" t="s">
        <v>307</v>
      </c>
      <c r="D35" s="142">
        <v>845854028</v>
      </c>
      <c r="E35" s="39" t="s">
        <v>247</v>
      </c>
      <c r="F35" s="81">
        <v>35395</v>
      </c>
      <c r="G35" s="105" t="str">
        <f t="shared" si="0"/>
        <v>Nov</v>
      </c>
      <c r="H35" s="51">
        <f t="shared" ca="1" si="1"/>
        <v>19</v>
      </c>
      <c r="I35" s="52"/>
      <c r="J35" s="53">
        <v>58130</v>
      </c>
      <c r="K35" s="54">
        <v>2</v>
      </c>
    </row>
    <row r="36" spans="1:16" hidden="1">
      <c r="A36" s="39" t="s">
        <v>308</v>
      </c>
      <c r="B36" s="46" t="s">
        <v>285</v>
      </c>
      <c r="C36" s="39" t="s">
        <v>307</v>
      </c>
      <c r="D36" s="142">
        <v>869355642</v>
      </c>
      <c r="E36" s="39" t="s">
        <v>261</v>
      </c>
      <c r="F36" s="81">
        <v>39417</v>
      </c>
      <c r="G36" s="105" t="str">
        <f t="shared" si="0"/>
        <v>Dec</v>
      </c>
      <c r="H36" s="51">
        <f t="shared" ca="1" si="1"/>
        <v>8</v>
      </c>
      <c r="I36" s="52" t="s">
        <v>267</v>
      </c>
      <c r="J36" s="53">
        <v>46095</v>
      </c>
      <c r="K36" s="54">
        <v>3</v>
      </c>
    </row>
    <row r="37" spans="1:16">
      <c r="A37" s="39" t="s">
        <v>309</v>
      </c>
      <c r="B37" s="46" t="s">
        <v>271</v>
      </c>
      <c r="C37" s="39" t="s">
        <v>307</v>
      </c>
      <c r="D37" s="142">
        <v>315679067</v>
      </c>
      <c r="E37" s="39" t="s">
        <v>261</v>
      </c>
      <c r="F37" s="81">
        <v>40152</v>
      </c>
      <c r="G37" s="105" t="str">
        <f t="shared" si="0"/>
        <v>Dec</v>
      </c>
      <c r="H37" s="51">
        <f t="shared" ca="1" si="1"/>
        <v>6</v>
      </c>
      <c r="I37" s="52" t="s">
        <v>283</v>
      </c>
      <c r="J37" s="53">
        <v>28680</v>
      </c>
      <c r="K37" s="54">
        <v>1</v>
      </c>
      <c r="O37" s="75"/>
      <c r="P37" s="75"/>
    </row>
    <row r="38" spans="1:16" hidden="1">
      <c r="A38" s="39" t="s">
        <v>315</v>
      </c>
      <c r="B38" s="46" t="s">
        <v>285</v>
      </c>
      <c r="C38" s="39" t="s">
        <v>312</v>
      </c>
      <c r="D38" s="142">
        <v>802202338</v>
      </c>
      <c r="E38" s="39" t="s">
        <v>252</v>
      </c>
      <c r="F38" s="81">
        <v>33620</v>
      </c>
      <c r="G38" s="105" t="str">
        <f t="shared" si="0"/>
        <v>Jan</v>
      </c>
      <c r="H38" s="51">
        <f t="shared" ca="1" si="1"/>
        <v>24</v>
      </c>
      <c r="I38" s="52"/>
      <c r="J38" s="53">
        <v>14568</v>
      </c>
      <c r="K38" s="54">
        <v>3</v>
      </c>
      <c r="N38" s="75"/>
    </row>
    <row r="39" spans="1:16" hidden="1">
      <c r="A39" s="39" t="s">
        <v>367</v>
      </c>
      <c r="B39" s="46" t="s">
        <v>245</v>
      </c>
      <c r="C39" s="39" t="s">
        <v>312</v>
      </c>
      <c r="D39" s="142">
        <v>287243247</v>
      </c>
      <c r="E39" s="39" t="s">
        <v>247</v>
      </c>
      <c r="F39" s="81">
        <v>33981</v>
      </c>
      <c r="G39" s="105" t="str">
        <f t="shared" si="0"/>
        <v>Jan</v>
      </c>
      <c r="H39" s="51">
        <f t="shared" ca="1" si="1"/>
        <v>23</v>
      </c>
      <c r="I39" s="52"/>
      <c r="J39" s="53">
        <v>83020</v>
      </c>
      <c r="K39" s="54">
        <v>4</v>
      </c>
    </row>
    <row r="40" spans="1:16">
      <c r="A40" s="39" t="s">
        <v>318</v>
      </c>
      <c r="B40" s="46" t="s">
        <v>271</v>
      </c>
      <c r="C40" s="39" t="s">
        <v>312</v>
      </c>
      <c r="D40" s="142">
        <v>609941729</v>
      </c>
      <c r="E40" s="39" t="s">
        <v>256</v>
      </c>
      <c r="F40" s="81">
        <v>35086</v>
      </c>
      <c r="G40" s="105" t="str">
        <f t="shared" si="0"/>
        <v>Jan</v>
      </c>
      <c r="H40" s="51">
        <f t="shared" ca="1" si="1"/>
        <v>20</v>
      </c>
      <c r="I40" s="52" t="s">
        <v>267</v>
      </c>
      <c r="J40" s="53">
        <v>77350</v>
      </c>
      <c r="K40" s="54">
        <v>5</v>
      </c>
      <c r="M40" s="63"/>
    </row>
    <row r="41" spans="1:16" hidden="1">
      <c r="A41" s="39" t="s">
        <v>358</v>
      </c>
      <c r="B41" s="46" t="s">
        <v>266</v>
      </c>
      <c r="C41" s="39" t="s">
        <v>312</v>
      </c>
      <c r="D41" s="142">
        <v>154212172</v>
      </c>
      <c r="E41" s="39" t="s">
        <v>261</v>
      </c>
      <c r="F41" s="81">
        <v>36896</v>
      </c>
      <c r="G41" s="105" t="str">
        <f t="shared" si="0"/>
        <v>Jan</v>
      </c>
      <c r="H41" s="51">
        <f t="shared" ca="1" si="1"/>
        <v>15</v>
      </c>
      <c r="I41" s="52" t="s">
        <v>257</v>
      </c>
      <c r="J41" s="53">
        <v>35280</v>
      </c>
      <c r="K41" s="54">
        <v>3</v>
      </c>
    </row>
    <row r="42" spans="1:16" hidden="1">
      <c r="A42" s="39" t="s">
        <v>326</v>
      </c>
      <c r="B42" s="46" t="s">
        <v>280</v>
      </c>
      <c r="C42" s="39" t="s">
        <v>312</v>
      </c>
      <c r="D42" s="142">
        <v>646627249</v>
      </c>
      <c r="E42" s="39" t="s">
        <v>247</v>
      </c>
      <c r="F42" s="81">
        <v>35119</v>
      </c>
      <c r="G42" s="105" t="str">
        <f t="shared" si="0"/>
        <v>Feb</v>
      </c>
      <c r="H42" s="51">
        <f t="shared" ca="1" si="1"/>
        <v>20</v>
      </c>
      <c r="I42" s="52"/>
      <c r="J42" s="53">
        <v>64390</v>
      </c>
      <c r="K42" s="54">
        <v>2</v>
      </c>
    </row>
    <row r="43" spans="1:16" hidden="1">
      <c r="A43" s="39" t="s">
        <v>352</v>
      </c>
      <c r="B43" s="46" t="s">
        <v>285</v>
      </c>
      <c r="C43" s="39" t="s">
        <v>312</v>
      </c>
      <c r="D43" s="142">
        <v>709375309</v>
      </c>
      <c r="E43" s="39" t="s">
        <v>256</v>
      </c>
      <c r="F43" s="81">
        <v>35829</v>
      </c>
      <c r="G43" s="105" t="str">
        <f t="shared" si="0"/>
        <v>Feb</v>
      </c>
      <c r="H43" s="51">
        <f t="shared" ca="1" si="1"/>
        <v>18</v>
      </c>
      <c r="I43" s="52" t="s">
        <v>257</v>
      </c>
      <c r="J43" s="53">
        <v>61030</v>
      </c>
      <c r="K43" s="54">
        <v>3</v>
      </c>
      <c r="M43" s="63"/>
      <c r="N43" s="75"/>
    </row>
    <row r="44" spans="1:16">
      <c r="A44" s="39" t="s">
        <v>344</v>
      </c>
      <c r="B44" s="46" t="s">
        <v>271</v>
      </c>
      <c r="C44" s="39" t="s">
        <v>312</v>
      </c>
      <c r="D44" s="142">
        <v>402771527</v>
      </c>
      <c r="E44" s="39" t="s">
        <v>261</v>
      </c>
      <c r="F44" s="81">
        <v>35842</v>
      </c>
      <c r="G44" s="105" t="str">
        <f t="shared" si="0"/>
        <v>Feb</v>
      </c>
      <c r="H44" s="51">
        <f t="shared" ca="1" si="1"/>
        <v>18</v>
      </c>
      <c r="I44" s="52" t="s">
        <v>276</v>
      </c>
      <c r="J44" s="53">
        <v>23380</v>
      </c>
      <c r="K44" s="54">
        <v>4</v>
      </c>
    </row>
    <row r="45" spans="1:16">
      <c r="A45" s="39" t="s">
        <v>314</v>
      </c>
      <c r="B45" s="46" t="s">
        <v>271</v>
      </c>
      <c r="C45" s="39" t="s">
        <v>312</v>
      </c>
      <c r="D45" s="142">
        <v>441441239</v>
      </c>
      <c r="E45" s="39" t="s">
        <v>247</v>
      </c>
      <c r="F45" s="81">
        <v>35848</v>
      </c>
      <c r="G45" s="105" t="str">
        <f t="shared" si="0"/>
        <v>Feb</v>
      </c>
      <c r="H45" s="51">
        <f t="shared" ca="1" si="1"/>
        <v>18</v>
      </c>
      <c r="I45" s="52"/>
      <c r="J45" s="53">
        <v>85480</v>
      </c>
      <c r="K45" s="54">
        <v>5</v>
      </c>
    </row>
    <row r="46" spans="1:16" hidden="1">
      <c r="A46" s="39" t="s">
        <v>365</v>
      </c>
      <c r="B46" s="46" t="s">
        <v>251</v>
      </c>
      <c r="C46" s="39" t="s">
        <v>312</v>
      </c>
      <c r="D46" s="142">
        <v>656257481</v>
      </c>
      <c r="E46" s="39" t="s">
        <v>256</v>
      </c>
      <c r="F46" s="81">
        <v>40575</v>
      </c>
      <c r="G46" s="105" t="str">
        <f t="shared" si="0"/>
        <v>Feb</v>
      </c>
      <c r="H46" s="51">
        <f t="shared" ca="1" si="1"/>
        <v>5</v>
      </c>
      <c r="I46" s="52" t="s">
        <v>276</v>
      </c>
      <c r="J46" s="53">
        <v>74710</v>
      </c>
      <c r="K46" s="54">
        <v>2</v>
      </c>
    </row>
    <row r="47" spans="1:16" hidden="1">
      <c r="A47" s="39" t="s">
        <v>340</v>
      </c>
      <c r="B47" s="46" t="s">
        <v>285</v>
      </c>
      <c r="C47" s="39" t="s">
        <v>312</v>
      </c>
      <c r="D47" s="142">
        <v>939109663</v>
      </c>
      <c r="E47" s="39" t="s">
        <v>256</v>
      </c>
      <c r="F47" s="81">
        <v>40596</v>
      </c>
      <c r="G47" s="105" t="str">
        <f t="shared" si="0"/>
        <v>Feb</v>
      </c>
      <c r="H47" s="51">
        <f t="shared" ca="1" si="1"/>
        <v>5</v>
      </c>
      <c r="I47" s="52" t="s">
        <v>267</v>
      </c>
      <c r="J47" s="53">
        <v>68910</v>
      </c>
      <c r="K47" s="54">
        <v>5</v>
      </c>
    </row>
    <row r="48" spans="1:16" hidden="1">
      <c r="A48" s="39" t="s">
        <v>349</v>
      </c>
      <c r="B48" s="46" t="s">
        <v>251</v>
      </c>
      <c r="C48" s="39" t="s">
        <v>312</v>
      </c>
      <c r="D48" s="142">
        <v>733538081</v>
      </c>
      <c r="E48" s="39" t="s">
        <v>247</v>
      </c>
      <c r="F48" s="81">
        <v>33678</v>
      </c>
      <c r="G48" s="105" t="str">
        <f t="shared" si="0"/>
        <v>Mar</v>
      </c>
      <c r="H48" s="51">
        <f t="shared" ca="1" si="1"/>
        <v>24</v>
      </c>
      <c r="I48" s="52"/>
      <c r="J48" s="53">
        <v>64460</v>
      </c>
      <c r="K48" s="54">
        <v>1</v>
      </c>
    </row>
    <row r="49" spans="1:16">
      <c r="A49" s="39" t="s">
        <v>353</v>
      </c>
      <c r="B49" s="46" t="s">
        <v>271</v>
      </c>
      <c r="C49" s="39" t="s">
        <v>312</v>
      </c>
      <c r="D49" s="142">
        <v>556904079</v>
      </c>
      <c r="E49" s="39" t="s">
        <v>247</v>
      </c>
      <c r="F49" s="81">
        <v>35505</v>
      </c>
      <c r="G49" s="105" t="str">
        <f t="shared" si="0"/>
        <v>Mar</v>
      </c>
      <c r="H49" s="51">
        <f t="shared" ca="1" si="1"/>
        <v>19</v>
      </c>
      <c r="I49" s="52"/>
      <c r="J49" s="53">
        <v>74740</v>
      </c>
      <c r="K49" s="54">
        <v>5</v>
      </c>
    </row>
    <row r="50" spans="1:16" hidden="1">
      <c r="A50" s="39" t="s">
        <v>346</v>
      </c>
      <c r="B50" s="46" t="s">
        <v>245</v>
      </c>
      <c r="C50" s="39" t="s">
        <v>312</v>
      </c>
      <c r="D50" s="142">
        <v>305677673</v>
      </c>
      <c r="E50" s="39" t="s">
        <v>261</v>
      </c>
      <c r="F50" s="81">
        <v>35517</v>
      </c>
      <c r="G50" s="105" t="str">
        <f t="shared" si="0"/>
        <v>Mar</v>
      </c>
      <c r="H50" s="51">
        <f t="shared" ca="1" si="1"/>
        <v>19</v>
      </c>
      <c r="I50" s="52" t="s">
        <v>267</v>
      </c>
      <c r="J50" s="53">
        <v>48415</v>
      </c>
      <c r="K50" s="54">
        <v>4</v>
      </c>
    </row>
    <row r="51" spans="1:16" hidden="1">
      <c r="A51" s="39" t="s">
        <v>338</v>
      </c>
      <c r="B51" s="46" t="s">
        <v>285</v>
      </c>
      <c r="C51" s="39" t="s">
        <v>312</v>
      </c>
      <c r="D51" s="142">
        <v>385614161</v>
      </c>
      <c r="E51" s="39" t="s">
        <v>252</v>
      </c>
      <c r="F51" s="81">
        <v>36602</v>
      </c>
      <c r="G51" s="105" t="str">
        <f t="shared" si="0"/>
        <v>Mar</v>
      </c>
      <c r="H51" s="51">
        <f t="shared" ca="1" si="1"/>
        <v>16</v>
      </c>
      <c r="I51" s="52"/>
      <c r="J51" s="53">
        <v>30080</v>
      </c>
      <c r="K51" s="54">
        <v>3</v>
      </c>
    </row>
    <row r="52" spans="1:16" hidden="1">
      <c r="A52" s="39" t="s">
        <v>347</v>
      </c>
      <c r="B52" s="46" t="s">
        <v>245</v>
      </c>
      <c r="C52" s="39" t="s">
        <v>312</v>
      </c>
      <c r="D52" s="142">
        <v>385730003</v>
      </c>
      <c r="E52" s="39" t="s">
        <v>256</v>
      </c>
      <c r="F52" s="81">
        <v>33348</v>
      </c>
      <c r="G52" s="105" t="str">
        <f t="shared" si="0"/>
        <v>Apr</v>
      </c>
      <c r="H52" s="51">
        <f t="shared" ca="1" si="1"/>
        <v>25</v>
      </c>
      <c r="I52" s="52" t="s">
        <v>276</v>
      </c>
      <c r="J52" s="53">
        <v>49810</v>
      </c>
      <c r="K52" s="54">
        <v>2</v>
      </c>
      <c r="O52" s="75"/>
      <c r="P52" s="75"/>
    </row>
    <row r="53" spans="1:16" hidden="1">
      <c r="A53" s="39" t="s">
        <v>366</v>
      </c>
      <c r="B53" s="46" t="s">
        <v>245</v>
      </c>
      <c r="C53" s="39" t="s">
        <v>312</v>
      </c>
      <c r="D53" s="142">
        <v>614068458</v>
      </c>
      <c r="E53" s="39" t="s">
        <v>247</v>
      </c>
      <c r="F53" s="81">
        <v>35160</v>
      </c>
      <c r="G53" s="105" t="str">
        <f t="shared" si="0"/>
        <v>Apr</v>
      </c>
      <c r="H53" s="51">
        <f t="shared" ca="1" si="1"/>
        <v>20</v>
      </c>
      <c r="I53" s="52"/>
      <c r="J53" s="53">
        <v>50550</v>
      </c>
      <c r="K53" s="54">
        <v>2</v>
      </c>
    </row>
    <row r="54" spans="1:16">
      <c r="A54" s="39" t="s">
        <v>336</v>
      </c>
      <c r="B54" s="46" t="s">
        <v>271</v>
      </c>
      <c r="C54" s="39" t="s">
        <v>312</v>
      </c>
      <c r="D54" s="142">
        <v>793197298</v>
      </c>
      <c r="E54" s="39" t="s">
        <v>247</v>
      </c>
      <c r="F54" s="81">
        <v>35902</v>
      </c>
      <c r="G54" s="105" t="str">
        <f t="shared" si="0"/>
        <v>Apr</v>
      </c>
      <c r="H54" s="51">
        <f t="shared" ca="1" si="1"/>
        <v>18</v>
      </c>
      <c r="I54" s="52"/>
      <c r="J54" s="53">
        <v>63340</v>
      </c>
      <c r="K54" s="54">
        <v>3</v>
      </c>
    </row>
    <row r="55" spans="1:16" hidden="1">
      <c r="A55" s="39" t="s">
        <v>356</v>
      </c>
      <c r="B55" s="46" t="s">
        <v>285</v>
      </c>
      <c r="C55" s="39" t="s">
        <v>312</v>
      </c>
      <c r="D55" s="142">
        <v>987347037</v>
      </c>
      <c r="E55" s="39" t="s">
        <v>256</v>
      </c>
      <c r="F55" s="81">
        <v>37008</v>
      </c>
      <c r="G55" s="105" t="str">
        <f t="shared" si="0"/>
        <v>Apr</v>
      </c>
      <c r="H55" s="51">
        <f t="shared" ca="1" si="1"/>
        <v>15</v>
      </c>
      <c r="I55" s="52" t="s">
        <v>257</v>
      </c>
      <c r="J55" s="53">
        <v>27180</v>
      </c>
      <c r="K55" s="54">
        <v>4</v>
      </c>
    </row>
    <row r="56" spans="1:16" hidden="1">
      <c r="A56" s="39" t="s">
        <v>329</v>
      </c>
      <c r="B56" s="46" t="s">
        <v>285</v>
      </c>
      <c r="C56" s="39" t="s">
        <v>312</v>
      </c>
      <c r="D56" s="142">
        <v>491631053</v>
      </c>
      <c r="E56" s="39" t="s">
        <v>256</v>
      </c>
      <c r="F56" s="81">
        <v>37348</v>
      </c>
      <c r="G56" s="105" t="str">
        <f t="shared" si="0"/>
        <v>Apr</v>
      </c>
      <c r="H56" s="51">
        <f t="shared" ca="1" si="1"/>
        <v>14</v>
      </c>
      <c r="I56" s="52" t="s">
        <v>262</v>
      </c>
      <c r="J56" s="53">
        <v>85880</v>
      </c>
      <c r="K56" s="54">
        <v>3</v>
      </c>
    </row>
    <row r="57" spans="1:16" hidden="1">
      <c r="A57" s="39" t="s">
        <v>363</v>
      </c>
      <c r="B57" s="46" t="s">
        <v>280</v>
      </c>
      <c r="C57" s="39" t="s">
        <v>312</v>
      </c>
      <c r="D57" s="142">
        <v>688738708</v>
      </c>
      <c r="E57" s="39" t="s">
        <v>247</v>
      </c>
      <c r="F57" s="81">
        <v>39922</v>
      </c>
      <c r="G57" s="105" t="str">
        <f t="shared" si="0"/>
        <v>Apr</v>
      </c>
      <c r="H57" s="51">
        <f t="shared" ca="1" si="1"/>
        <v>7</v>
      </c>
      <c r="I57" s="52"/>
      <c r="J57" s="53">
        <v>25790</v>
      </c>
      <c r="K57" s="54">
        <v>3</v>
      </c>
      <c r="O57" s="75"/>
      <c r="P57" s="75"/>
    </row>
    <row r="58" spans="1:16">
      <c r="A58" s="39" t="s">
        <v>361</v>
      </c>
      <c r="B58" s="46" t="s">
        <v>271</v>
      </c>
      <c r="C58" s="39" t="s">
        <v>312</v>
      </c>
      <c r="D58" s="142">
        <v>375997483</v>
      </c>
      <c r="E58" s="39" t="s">
        <v>256</v>
      </c>
      <c r="F58" s="81">
        <v>40274</v>
      </c>
      <c r="G58" s="105" t="str">
        <f t="shared" si="0"/>
        <v>Apr</v>
      </c>
      <c r="H58" s="51">
        <f t="shared" ca="1" si="1"/>
        <v>6</v>
      </c>
      <c r="I58" s="52" t="s">
        <v>262</v>
      </c>
      <c r="J58" s="53">
        <v>38730</v>
      </c>
      <c r="K58" s="54">
        <v>1</v>
      </c>
    </row>
    <row r="59" spans="1:16" hidden="1">
      <c r="A59" s="39" t="s">
        <v>359</v>
      </c>
      <c r="B59" s="46" t="s">
        <v>245</v>
      </c>
      <c r="C59" s="39" t="s">
        <v>312</v>
      </c>
      <c r="D59" s="142">
        <v>745828638</v>
      </c>
      <c r="E59" s="39" t="s">
        <v>256</v>
      </c>
      <c r="F59" s="103">
        <v>40292</v>
      </c>
      <c r="G59" s="105" t="str">
        <f t="shared" si="0"/>
        <v>Apr</v>
      </c>
      <c r="H59" s="51">
        <f t="shared" ca="1" si="1"/>
        <v>6</v>
      </c>
      <c r="I59" s="52" t="s">
        <v>257</v>
      </c>
      <c r="J59" s="53">
        <v>23280</v>
      </c>
      <c r="K59" s="54">
        <v>1</v>
      </c>
      <c r="O59" s="75"/>
      <c r="P59" s="75"/>
    </row>
    <row r="60" spans="1:16" hidden="1">
      <c r="A60" s="39" t="s">
        <v>354</v>
      </c>
      <c r="B60" s="46" t="s">
        <v>285</v>
      </c>
      <c r="C60" s="39" t="s">
        <v>312</v>
      </c>
      <c r="D60" s="142">
        <v>536037298</v>
      </c>
      <c r="E60" s="39" t="s">
        <v>256</v>
      </c>
      <c r="F60" s="81">
        <v>33746</v>
      </c>
      <c r="G60" s="105" t="str">
        <f t="shared" si="0"/>
        <v>May</v>
      </c>
      <c r="H60" s="51">
        <f t="shared" ca="1" si="1"/>
        <v>24</v>
      </c>
      <c r="I60" s="52" t="s">
        <v>262</v>
      </c>
      <c r="J60" s="53">
        <v>31830</v>
      </c>
      <c r="K60" s="54">
        <v>3</v>
      </c>
    </row>
    <row r="61" spans="1:16" hidden="1">
      <c r="A61" s="39" t="s">
        <v>368</v>
      </c>
      <c r="B61" s="46" t="s">
        <v>285</v>
      </c>
      <c r="C61" s="39" t="s">
        <v>312</v>
      </c>
      <c r="D61" s="142">
        <v>808619993</v>
      </c>
      <c r="E61" s="39" t="s">
        <v>256</v>
      </c>
      <c r="F61" s="81">
        <v>34474</v>
      </c>
      <c r="G61" s="105" t="str">
        <f t="shared" si="0"/>
        <v>May</v>
      </c>
      <c r="H61" s="51">
        <f t="shared" ca="1" si="1"/>
        <v>22</v>
      </c>
      <c r="I61" s="52" t="s">
        <v>262</v>
      </c>
      <c r="J61" s="53">
        <v>74670</v>
      </c>
      <c r="K61" s="54">
        <v>5</v>
      </c>
    </row>
    <row r="62" spans="1:16">
      <c r="A62" s="39" t="s">
        <v>323</v>
      </c>
      <c r="B62" s="46" t="s">
        <v>271</v>
      </c>
      <c r="C62" s="39" t="s">
        <v>312</v>
      </c>
      <c r="D62" s="142">
        <v>821425651</v>
      </c>
      <c r="E62" s="39" t="s">
        <v>256</v>
      </c>
      <c r="F62" s="81">
        <v>34832</v>
      </c>
      <c r="G62" s="105" t="str">
        <f t="shared" si="0"/>
        <v>May</v>
      </c>
      <c r="H62" s="51">
        <f t="shared" ca="1" si="1"/>
        <v>21</v>
      </c>
      <c r="I62" s="52" t="s">
        <v>257</v>
      </c>
      <c r="J62" s="53">
        <v>31910</v>
      </c>
      <c r="K62" s="54">
        <v>5</v>
      </c>
    </row>
    <row r="63" spans="1:16" hidden="1">
      <c r="A63" s="39" t="s">
        <v>333</v>
      </c>
      <c r="B63" s="46" t="s">
        <v>251</v>
      </c>
      <c r="C63" s="39" t="s">
        <v>312</v>
      </c>
      <c r="D63" s="142">
        <v>286138219</v>
      </c>
      <c r="E63" s="39" t="s">
        <v>256</v>
      </c>
      <c r="F63" s="81">
        <v>35197</v>
      </c>
      <c r="G63" s="105" t="str">
        <f t="shared" si="0"/>
        <v>May</v>
      </c>
      <c r="H63" s="51">
        <f t="shared" ca="1" si="1"/>
        <v>20</v>
      </c>
      <c r="I63" s="52" t="s">
        <v>276</v>
      </c>
      <c r="J63" s="53">
        <v>82120</v>
      </c>
      <c r="K63" s="54">
        <v>5</v>
      </c>
    </row>
    <row r="64" spans="1:16" hidden="1">
      <c r="A64" s="39" t="s">
        <v>319</v>
      </c>
      <c r="B64" s="46" t="s">
        <v>285</v>
      </c>
      <c r="C64" s="39" t="s">
        <v>312</v>
      </c>
      <c r="D64" s="142">
        <v>549561117</v>
      </c>
      <c r="E64" s="39" t="s">
        <v>256</v>
      </c>
      <c r="F64" s="81">
        <v>35207</v>
      </c>
      <c r="G64" s="105" t="str">
        <f t="shared" si="0"/>
        <v>May</v>
      </c>
      <c r="H64" s="51">
        <f t="shared" ca="1" si="1"/>
        <v>20</v>
      </c>
      <c r="I64" s="52" t="s">
        <v>267</v>
      </c>
      <c r="J64" s="53">
        <v>77580</v>
      </c>
      <c r="K64" s="54">
        <v>3</v>
      </c>
    </row>
    <row r="65" spans="1:14" hidden="1">
      <c r="A65" s="39" t="s">
        <v>335</v>
      </c>
      <c r="B65" s="46" t="s">
        <v>285</v>
      </c>
      <c r="C65" s="39" t="s">
        <v>312</v>
      </c>
      <c r="D65" s="142">
        <v>920342399</v>
      </c>
      <c r="E65" s="39" t="s">
        <v>247</v>
      </c>
      <c r="F65" s="81">
        <v>35569</v>
      </c>
      <c r="G65" s="105" t="str">
        <f t="shared" si="0"/>
        <v>May</v>
      </c>
      <c r="H65" s="51">
        <f t="shared" ca="1" si="1"/>
        <v>19</v>
      </c>
      <c r="I65" s="52"/>
      <c r="J65" s="53">
        <v>84200</v>
      </c>
      <c r="K65" s="54">
        <v>2</v>
      </c>
      <c r="M65" s="63"/>
      <c r="N65" s="75"/>
    </row>
    <row r="66" spans="1:14" hidden="1">
      <c r="A66" s="39" t="s">
        <v>364</v>
      </c>
      <c r="B66" s="46" t="s">
        <v>266</v>
      </c>
      <c r="C66" s="39" t="s">
        <v>312</v>
      </c>
      <c r="D66" s="142">
        <v>545777239</v>
      </c>
      <c r="E66" s="39" t="s">
        <v>247</v>
      </c>
      <c r="F66" s="81">
        <v>35940</v>
      </c>
      <c r="G66" s="105" t="str">
        <f t="shared" ref="G66:G129" si="2">CHOOSE(MONTH(F66),"Jan","Feb","Mar","Apr","May","Jun","Jul","Aug","Sep","Oct","Nov","Dec")</f>
        <v>May</v>
      </c>
      <c r="H66" s="51">
        <f t="shared" ref="H66:H129" ca="1" si="3">DATEDIF(F66,TODAY(),"Y")</f>
        <v>18</v>
      </c>
      <c r="I66" s="52"/>
      <c r="J66" s="53">
        <v>88000</v>
      </c>
      <c r="K66" s="54">
        <v>5</v>
      </c>
    </row>
    <row r="67" spans="1:14" hidden="1">
      <c r="A67" s="39" t="s">
        <v>345</v>
      </c>
      <c r="B67" s="46" t="s">
        <v>285</v>
      </c>
      <c r="C67" s="39" t="s">
        <v>312</v>
      </c>
      <c r="D67" s="142">
        <v>853206631</v>
      </c>
      <c r="E67" s="39" t="s">
        <v>256</v>
      </c>
      <c r="F67" s="81">
        <v>37018</v>
      </c>
      <c r="G67" s="105" t="str">
        <f t="shared" si="2"/>
        <v>May</v>
      </c>
      <c r="H67" s="51">
        <f t="shared" ca="1" si="3"/>
        <v>15</v>
      </c>
      <c r="I67" s="52" t="s">
        <v>283</v>
      </c>
      <c r="J67" s="53">
        <v>28650</v>
      </c>
      <c r="K67" s="54">
        <v>4</v>
      </c>
    </row>
    <row r="68" spans="1:14" hidden="1">
      <c r="A68" s="39" t="s">
        <v>342</v>
      </c>
      <c r="B68" s="46" t="s">
        <v>285</v>
      </c>
      <c r="C68" s="39" t="s">
        <v>312</v>
      </c>
      <c r="D68" s="142">
        <v>296746447</v>
      </c>
      <c r="E68" s="39" t="s">
        <v>247</v>
      </c>
      <c r="F68" s="81">
        <v>39959</v>
      </c>
      <c r="G68" s="105" t="str">
        <f t="shared" si="2"/>
        <v>May</v>
      </c>
      <c r="H68" s="51">
        <f t="shared" ca="1" si="3"/>
        <v>7</v>
      </c>
      <c r="I68" s="52"/>
      <c r="J68" s="53">
        <v>79460</v>
      </c>
      <c r="K68" s="54">
        <v>5</v>
      </c>
    </row>
    <row r="69" spans="1:14" hidden="1">
      <c r="A69" s="39" t="s">
        <v>328</v>
      </c>
      <c r="B69" s="46" t="s">
        <v>245</v>
      </c>
      <c r="C69" s="39" t="s">
        <v>312</v>
      </c>
      <c r="D69" s="142">
        <v>895259368</v>
      </c>
      <c r="E69" s="39" t="s">
        <v>256</v>
      </c>
      <c r="F69" s="81">
        <v>35965</v>
      </c>
      <c r="G69" s="105" t="str">
        <f t="shared" si="2"/>
        <v>Jun</v>
      </c>
      <c r="H69" s="76">
        <f t="shared" ca="1" si="3"/>
        <v>18</v>
      </c>
      <c r="I69" s="77" t="s">
        <v>267</v>
      </c>
      <c r="J69" s="53">
        <v>34780</v>
      </c>
      <c r="K69" s="54">
        <v>4</v>
      </c>
    </row>
    <row r="70" spans="1:14" hidden="1">
      <c r="A70" s="39" t="s">
        <v>331</v>
      </c>
      <c r="B70" s="46" t="s">
        <v>285</v>
      </c>
      <c r="C70" s="39" t="s">
        <v>312</v>
      </c>
      <c r="D70" s="142">
        <v>442290283</v>
      </c>
      <c r="E70" s="39" t="s">
        <v>256</v>
      </c>
      <c r="F70" s="81">
        <v>37785</v>
      </c>
      <c r="G70" s="105" t="str">
        <f t="shared" si="2"/>
        <v>Jun</v>
      </c>
      <c r="H70" s="51">
        <f t="shared" ca="1" si="3"/>
        <v>13</v>
      </c>
      <c r="I70" s="52" t="s">
        <v>283</v>
      </c>
      <c r="J70" s="53">
        <v>87280</v>
      </c>
      <c r="K70" s="54">
        <v>4</v>
      </c>
    </row>
    <row r="71" spans="1:14" hidden="1">
      <c r="A71" s="39" t="s">
        <v>330</v>
      </c>
      <c r="B71" s="46" t="s">
        <v>245</v>
      </c>
      <c r="C71" s="39" t="s">
        <v>312</v>
      </c>
      <c r="D71" s="142">
        <v>159410881</v>
      </c>
      <c r="E71" s="39" t="s">
        <v>256</v>
      </c>
      <c r="F71" s="81">
        <v>33786</v>
      </c>
      <c r="G71" s="105" t="str">
        <f t="shared" si="2"/>
        <v>Jul</v>
      </c>
      <c r="H71" s="51">
        <f t="shared" ca="1" si="3"/>
        <v>24</v>
      </c>
      <c r="I71" s="52" t="s">
        <v>257</v>
      </c>
      <c r="J71" s="53">
        <v>71150</v>
      </c>
      <c r="K71" s="54">
        <v>2</v>
      </c>
    </row>
    <row r="72" spans="1:14">
      <c r="A72" s="39" t="s">
        <v>355</v>
      </c>
      <c r="B72" s="46" t="s">
        <v>271</v>
      </c>
      <c r="C72" s="39" t="s">
        <v>312</v>
      </c>
      <c r="D72" s="142">
        <v>630441083</v>
      </c>
      <c r="E72" s="39" t="s">
        <v>261</v>
      </c>
      <c r="F72" s="81">
        <v>34166</v>
      </c>
      <c r="G72" s="105" t="str">
        <f t="shared" si="2"/>
        <v>Jul</v>
      </c>
      <c r="H72" s="51">
        <f t="shared" ca="1" si="3"/>
        <v>23</v>
      </c>
      <c r="I72" s="52" t="s">
        <v>257</v>
      </c>
      <c r="J72" s="53">
        <v>26890</v>
      </c>
      <c r="K72" s="54">
        <v>3</v>
      </c>
    </row>
    <row r="73" spans="1:14" hidden="1">
      <c r="A73" s="39" t="s">
        <v>360</v>
      </c>
      <c r="B73" s="46" t="s">
        <v>285</v>
      </c>
      <c r="C73" s="39" t="s">
        <v>312</v>
      </c>
      <c r="D73" s="142">
        <v>616657435</v>
      </c>
      <c r="E73" s="39" t="s">
        <v>247</v>
      </c>
      <c r="F73" s="81">
        <v>35255</v>
      </c>
      <c r="G73" s="105" t="str">
        <f t="shared" si="2"/>
        <v>Jul</v>
      </c>
      <c r="H73" s="51">
        <f t="shared" ca="1" si="3"/>
        <v>20</v>
      </c>
      <c r="I73" s="52"/>
      <c r="J73" s="53">
        <v>89310</v>
      </c>
      <c r="K73" s="54">
        <v>5</v>
      </c>
    </row>
    <row r="74" spans="1:14" hidden="1">
      <c r="A74" s="39" t="s">
        <v>325</v>
      </c>
      <c r="B74" s="46" t="s">
        <v>285</v>
      </c>
      <c r="C74" s="39" t="s">
        <v>312</v>
      </c>
      <c r="D74" s="142">
        <v>847432317</v>
      </c>
      <c r="E74" s="39" t="s">
        <v>261</v>
      </c>
      <c r="F74" s="81">
        <v>33472</v>
      </c>
      <c r="G74" s="105" t="str">
        <f t="shared" si="2"/>
        <v>Aug</v>
      </c>
      <c r="H74" s="51">
        <f t="shared" ca="1" si="3"/>
        <v>25</v>
      </c>
      <c r="I74" s="52" t="s">
        <v>262</v>
      </c>
      <c r="J74" s="53">
        <v>13800</v>
      </c>
      <c r="K74" s="54">
        <v>3</v>
      </c>
    </row>
    <row r="75" spans="1:14" hidden="1">
      <c r="A75" s="39" t="s">
        <v>357</v>
      </c>
      <c r="B75" s="46" t="s">
        <v>285</v>
      </c>
      <c r="C75" s="39" t="s">
        <v>312</v>
      </c>
      <c r="D75" s="142">
        <v>252960359</v>
      </c>
      <c r="E75" s="39" t="s">
        <v>261</v>
      </c>
      <c r="F75" s="81">
        <v>34548</v>
      </c>
      <c r="G75" s="105" t="str">
        <f t="shared" si="2"/>
        <v>Aug</v>
      </c>
      <c r="H75" s="51">
        <f t="shared" ca="1" si="3"/>
        <v>22</v>
      </c>
      <c r="I75" s="52" t="s">
        <v>276</v>
      </c>
      <c r="J75" s="53">
        <v>38920</v>
      </c>
      <c r="K75" s="54">
        <v>4</v>
      </c>
    </row>
    <row r="76" spans="1:14" hidden="1">
      <c r="A76" s="39" t="s">
        <v>369</v>
      </c>
      <c r="B76" s="46" t="s">
        <v>245</v>
      </c>
      <c r="C76" s="39" t="s">
        <v>312</v>
      </c>
      <c r="D76" s="142">
        <v>965150785</v>
      </c>
      <c r="E76" s="39" t="s">
        <v>256</v>
      </c>
      <c r="F76" s="81">
        <v>35667</v>
      </c>
      <c r="G76" s="105" t="str">
        <f t="shared" si="2"/>
        <v>Aug</v>
      </c>
      <c r="H76" s="51">
        <f t="shared" ca="1" si="3"/>
        <v>19</v>
      </c>
      <c r="I76" s="52" t="s">
        <v>257</v>
      </c>
      <c r="J76" s="53">
        <v>40920</v>
      </c>
      <c r="K76" s="54">
        <v>4</v>
      </c>
    </row>
    <row r="77" spans="1:14" hidden="1">
      <c r="A77" s="39" t="s">
        <v>317</v>
      </c>
      <c r="B77" s="46" t="s">
        <v>280</v>
      </c>
      <c r="C77" s="39" t="s">
        <v>312</v>
      </c>
      <c r="D77" s="142">
        <v>871044916</v>
      </c>
      <c r="E77" s="39" t="s">
        <v>247</v>
      </c>
      <c r="F77" s="81">
        <v>36038</v>
      </c>
      <c r="G77" s="105" t="str">
        <f t="shared" si="2"/>
        <v>Aug</v>
      </c>
      <c r="H77" s="51">
        <f t="shared" ca="1" si="3"/>
        <v>18</v>
      </c>
      <c r="I77" s="52"/>
      <c r="J77" s="53">
        <v>30340</v>
      </c>
      <c r="K77" s="54">
        <v>3</v>
      </c>
    </row>
    <row r="78" spans="1:14" hidden="1">
      <c r="A78" s="39" t="s">
        <v>341</v>
      </c>
      <c r="B78" s="46" t="s">
        <v>245</v>
      </c>
      <c r="C78" s="39" t="s">
        <v>312</v>
      </c>
      <c r="D78" s="142">
        <v>938922185</v>
      </c>
      <c r="E78" s="39" t="s">
        <v>252</v>
      </c>
      <c r="F78" s="81">
        <v>36059</v>
      </c>
      <c r="G78" s="105" t="str">
        <f t="shared" si="2"/>
        <v>Sep</v>
      </c>
      <c r="H78" s="51">
        <f t="shared" ca="1" si="3"/>
        <v>18</v>
      </c>
      <c r="I78" s="52"/>
      <c r="J78" s="53">
        <v>18500</v>
      </c>
      <c r="K78" s="54">
        <v>5</v>
      </c>
    </row>
    <row r="79" spans="1:14" hidden="1">
      <c r="A79" s="39" t="s">
        <v>334</v>
      </c>
      <c r="B79" s="46" t="s">
        <v>245</v>
      </c>
      <c r="C79" s="39" t="s">
        <v>312</v>
      </c>
      <c r="D79" s="142">
        <v>688525288</v>
      </c>
      <c r="E79" s="39" t="s">
        <v>247</v>
      </c>
      <c r="F79" s="81">
        <v>38970</v>
      </c>
      <c r="G79" s="105" t="str">
        <f t="shared" si="2"/>
        <v>Sep</v>
      </c>
      <c r="H79" s="51">
        <f t="shared" ca="1" si="3"/>
        <v>10</v>
      </c>
      <c r="I79" s="52"/>
      <c r="J79" s="53">
        <v>83070</v>
      </c>
      <c r="K79" s="54">
        <v>3</v>
      </c>
    </row>
    <row r="80" spans="1:14">
      <c r="A80" s="39" t="s">
        <v>351</v>
      </c>
      <c r="B80" s="46" t="s">
        <v>271</v>
      </c>
      <c r="C80" s="39" t="s">
        <v>312</v>
      </c>
      <c r="D80" s="142">
        <v>904366440</v>
      </c>
      <c r="E80" s="39" t="s">
        <v>256</v>
      </c>
      <c r="F80" s="81">
        <v>40085</v>
      </c>
      <c r="G80" s="105" t="str">
        <f t="shared" si="2"/>
        <v>Sep</v>
      </c>
      <c r="H80" s="51">
        <f t="shared" ca="1" si="3"/>
        <v>7</v>
      </c>
      <c r="I80" s="52" t="s">
        <v>257</v>
      </c>
      <c r="J80" s="53">
        <v>41490</v>
      </c>
      <c r="K80" s="54">
        <v>5</v>
      </c>
    </row>
    <row r="81" spans="1:14">
      <c r="A81" s="39" t="s">
        <v>343</v>
      </c>
      <c r="B81" s="46" t="s">
        <v>271</v>
      </c>
      <c r="C81" s="39" t="s">
        <v>312</v>
      </c>
      <c r="D81" s="142">
        <v>579735538</v>
      </c>
      <c r="E81" s="39" t="s">
        <v>256</v>
      </c>
      <c r="F81" s="81">
        <v>33527</v>
      </c>
      <c r="G81" s="105" t="str">
        <f t="shared" si="2"/>
        <v>Oct</v>
      </c>
      <c r="H81" s="51">
        <f t="shared" ca="1" si="3"/>
        <v>25</v>
      </c>
      <c r="I81" s="52" t="s">
        <v>283</v>
      </c>
      <c r="J81" s="53">
        <v>85920</v>
      </c>
      <c r="K81" s="54">
        <v>4</v>
      </c>
    </row>
    <row r="82" spans="1:14" hidden="1">
      <c r="A82" s="39" t="s">
        <v>350</v>
      </c>
      <c r="B82" s="46" t="s">
        <v>285</v>
      </c>
      <c r="C82" s="39" t="s">
        <v>312</v>
      </c>
      <c r="D82" s="142">
        <v>435153305</v>
      </c>
      <c r="E82" s="39" t="s">
        <v>256</v>
      </c>
      <c r="F82" s="81">
        <v>33895</v>
      </c>
      <c r="G82" s="105" t="str">
        <f t="shared" si="2"/>
        <v>Oct</v>
      </c>
      <c r="H82" s="51">
        <f t="shared" ca="1" si="3"/>
        <v>24</v>
      </c>
      <c r="I82" s="52" t="s">
        <v>283</v>
      </c>
      <c r="J82" s="53">
        <v>71670</v>
      </c>
      <c r="K82" s="54">
        <v>4</v>
      </c>
    </row>
    <row r="83" spans="1:14" hidden="1">
      <c r="A83" s="39" t="s">
        <v>321</v>
      </c>
      <c r="B83" s="46" t="s">
        <v>266</v>
      </c>
      <c r="C83" s="39" t="s">
        <v>312</v>
      </c>
      <c r="D83" s="142">
        <v>127814310</v>
      </c>
      <c r="E83" s="39" t="s">
        <v>256</v>
      </c>
      <c r="F83" s="81">
        <v>34996</v>
      </c>
      <c r="G83" s="105" t="str">
        <f t="shared" si="2"/>
        <v>Oct</v>
      </c>
      <c r="H83" s="51">
        <f t="shared" ca="1" si="3"/>
        <v>21</v>
      </c>
      <c r="I83" s="52" t="s">
        <v>257</v>
      </c>
      <c r="J83" s="53">
        <v>67890</v>
      </c>
      <c r="K83" s="54">
        <v>5</v>
      </c>
    </row>
    <row r="84" spans="1:14" hidden="1">
      <c r="A84" s="39" t="s">
        <v>348</v>
      </c>
      <c r="B84" s="46" t="s">
        <v>245</v>
      </c>
      <c r="C84" s="39" t="s">
        <v>312</v>
      </c>
      <c r="D84" s="142">
        <v>477394556</v>
      </c>
      <c r="E84" s="39" t="s">
        <v>247</v>
      </c>
      <c r="F84" s="81">
        <v>36087</v>
      </c>
      <c r="G84" s="105" t="str">
        <f t="shared" si="2"/>
        <v>Oct</v>
      </c>
      <c r="H84" s="51">
        <f t="shared" ca="1" si="3"/>
        <v>18</v>
      </c>
      <c r="I84" s="52"/>
      <c r="J84" s="53">
        <v>76930</v>
      </c>
      <c r="K84" s="54">
        <v>1</v>
      </c>
    </row>
    <row r="85" spans="1:14">
      <c r="A85" s="39" t="s">
        <v>322</v>
      </c>
      <c r="B85" s="46" t="s">
        <v>271</v>
      </c>
      <c r="C85" s="39" t="s">
        <v>312</v>
      </c>
      <c r="D85" s="142">
        <v>305946387</v>
      </c>
      <c r="E85" s="39" t="s">
        <v>256</v>
      </c>
      <c r="F85" s="81">
        <v>37176</v>
      </c>
      <c r="G85" s="105" t="str">
        <f t="shared" si="2"/>
        <v>Oct</v>
      </c>
      <c r="H85" s="51">
        <f t="shared" ca="1" si="3"/>
        <v>15</v>
      </c>
      <c r="I85" s="52" t="s">
        <v>267</v>
      </c>
      <c r="J85" s="53">
        <v>62790</v>
      </c>
      <c r="K85" s="54">
        <v>2</v>
      </c>
    </row>
    <row r="86" spans="1:14" hidden="1">
      <c r="A86" s="39" t="s">
        <v>370</v>
      </c>
      <c r="B86" s="46" t="s">
        <v>285</v>
      </c>
      <c r="C86" s="39" t="s">
        <v>312</v>
      </c>
      <c r="D86" s="142">
        <v>637534888</v>
      </c>
      <c r="E86" s="39" t="s">
        <v>247</v>
      </c>
      <c r="F86" s="81">
        <v>34651</v>
      </c>
      <c r="G86" s="105" t="str">
        <f t="shared" si="2"/>
        <v>Nov</v>
      </c>
      <c r="H86" s="51">
        <f t="shared" ca="1" si="3"/>
        <v>21</v>
      </c>
      <c r="I86" s="52"/>
      <c r="J86" s="53">
        <v>46670</v>
      </c>
      <c r="K86" s="54">
        <v>3</v>
      </c>
    </row>
    <row r="87" spans="1:14" hidden="1">
      <c r="A87" s="39" t="s">
        <v>332</v>
      </c>
      <c r="B87" s="46" t="s">
        <v>245</v>
      </c>
      <c r="C87" s="39" t="s">
        <v>312</v>
      </c>
      <c r="D87" s="142">
        <v>630247971</v>
      </c>
      <c r="E87" s="39" t="s">
        <v>247</v>
      </c>
      <c r="F87" s="81">
        <v>36470</v>
      </c>
      <c r="G87" s="105" t="str">
        <f t="shared" si="2"/>
        <v>Nov</v>
      </c>
      <c r="H87" s="51">
        <f t="shared" ca="1" si="3"/>
        <v>17</v>
      </c>
      <c r="I87" s="52"/>
      <c r="J87" s="53">
        <v>23560</v>
      </c>
      <c r="K87" s="54">
        <v>3</v>
      </c>
    </row>
    <row r="88" spans="1:14" hidden="1">
      <c r="A88" s="39" t="s">
        <v>339</v>
      </c>
      <c r="B88" s="46" t="s">
        <v>245</v>
      </c>
      <c r="C88" s="39" t="s">
        <v>312</v>
      </c>
      <c r="D88" s="142">
        <v>254819974</v>
      </c>
      <c r="E88" s="39" t="s">
        <v>252</v>
      </c>
      <c r="F88" s="81">
        <v>36487</v>
      </c>
      <c r="G88" s="105" t="str">
        <f t="shared" si="2"/>
        <v>Nov</v>
      </c>
      <c r="H88" s="51">
        <f t="shared" ca="1" si="3"/>
        <v>16</v>
      </c>
      <c r="I88" s="52"/>
      <c r="J88" s="53">
        <v>33056</v>
      </c>
      <c r="K88" s="54">
        <v>5</v>
      </c>
    </row>
    <row r="89" spans="1:14" hidden="1">
      <c r="A89" s="39" t="s">
        <v>313</v>
      </c>
      <c r="B89" s="46" t="s">
        <v>245</v>
      </c>
      <c r="C89" s="39" t="s">
        <v>312</v>
      </c>
      <c r="D89" s="142">
        <v>393790481</v>
      </c>
      <c r="E89" s="39" t="s">
        <v>247</v>
      </c>
      <c r="F89" s="81">
        <v>39040</v>
      </c>
      <c r="G89" s="105" t="str">
        <f t="shared" si="2"/>
        <v>Nov</v>
      </c>
      <c r="H89" s="51">
        <f t="shared" ca="1" si="3"/>
        <v>9</v>
      </c>
      <c r="I89" s="52"/>
      <c r="J89" s="53">
        <v>62150</v>
      </c>
      <c r="K89" s="54">
        <v>4</v>
      </c>
    </row>
    <row r="90" spans="1:14">
      <c r="A90" s="39" t="s">
        <v>320</v>
      </c>
      <c r="B90" s="46" t="s">
        <v>271</v>
      </c>
      <c r="C90" s="39" t="s">
        <v>312</v>
      </c>
      <c r="D90" s="142">
        <v>140791356</v>
      </c>
      <c r="E90" s="39" t="s">
        <v>256</v>
      </c>
      <c r="F90" s="81">
        <v>40501</v>
      </c>
      <c r="G90" s="105" t="str">
        <f t="shared" si="2"/>
        <v>Nov</v>
      </c>
      <c r="H90" s="51">
        <f t="shared" ca="1" si="3"/>
        <v>5</v>
      </c>
      <c r="I90" s="52" t="s">
        <v>267</v>
      </c>
      <c r="J90" s="53">
        <v>77820</v>
      </c>
      <c r="K90" s="54">
        <v>3</v>
      </c>
    </row>
    <row r="91" spans="1:14">
      <c r="A91" s="39" t="s">
        <v>324</v>
      </c>
      <c r="B91" s="46" t="s">
        <v>271</v>
      </c>
      <c r="C91" s="39" t="s">
        <v>312</v>
      </c>
      <c r="D91" s="142">
        <v>841728513</v>
      </c>
      <c r="E91" s="39" t="s">
        <v>247</v>
      </c>
      <c r="F91" s="81">
        <v>33228</v>
      </c>
      <c r="G91" s="105" t="str">
        <f t="shared" si="2"/>
        <v>Dec</v>
      </c>
      <c r="H91" s="51">
        <f t="shared" ca="1" si="3"/>
        <v>25</v>
      </c>
      <c r="I91" s="52"/>
      <c r="J91" s="53">
        <v>42940</v>
      </c>
      <c r="K91" s="54">
        <v>1</v>
      </c>
    </row>
    <row r="92" spans="1:14">
      <c r="A92" s="39" t="s">
        <v>327</v>
      </c>
      <c r="B92" s="46" t="s">
        <v>271</v>
      </c>
      <c r="C92" s="39" t="s">
        <v>312</v>
      </c>
      <c r="D92" s="142">
        <v>530627144</v>
      </c>
      <c r="E92" s="39" t="s">
        <v>256</v>
      </c>
      <c r="F92" s="81">
        <v>33575</v>
      </c>
      <c r="G92" s="105" t="str">
        <f t="shared" si="2"/>
        <v>Dec</v>
      </c>
      <c r="H92" s="51">
        <f t="shared" ca="1" si="3"/>
        <v>24</v>
      </c>
      <c r="I92" s="52" t="s">
        <v>262</v>
      </c>
      <c r="J92" s="53">
        <v>61400</v>
      </c>
      <c r="K92" s="54">
        <v>5</v>
      </c>
    </row>
    <row r="93" spans="1:14" hidden="1">
      <c r="A93" s="39" t="s">
        <v>316</v>
      </c>
      <c r="B93" s="46" t="s">
        <v>285</v>
      </c>
      <c r="C93" s="39" t="s">
        <v>312</v>
      </c>
      <c r="D93" s="142">
        <v>839253160</v>
      </c>
      <c r="E93" s="39" t="s">
        <v>256</v>
      </c>
      <c r="F93" s="81">
        <v>36506</v>
      </c>
      <c r="G93" s="105" t="str">
        <f t="shared" si="2"/>
        <v>Dec</v>
      </c>
      <c r="H93" s="51">
        <f t="shared" ca="1" si="3"/>
        <v>16</v>
      </c>
      <c r="I93" s="52" t="s">
        <v>283</v>
      </c>
      <c r="J93" s="53">
        <v>32100</v>
      </c>
      <c r="K93" s="54">
        <v>1</v>
      </c>
      <c r="N93" s="75"/>
    </row>
    <row r="94" spans="1:14">
      <c r="A94" s="39" t="s">
        <v>337</v>
      </c>
      <c r="B94" s="46" t="s">
        <v>271</v>
      </c>
      <c r="C94" s="39" t="s">
        <v>312</v>
      </c>
      <c r="D94" s="142">
        <v>680390162</v>
      </c>
      <c r="E94" s="39" t="s">
        <v>256</v>
      </c>
      <c r="F94" s="81">
        <v>37241</v>
      </c>
      <c r="G94" s="105" t="str">
        <f t="shared" si="2"/>
        <v>Dec</v>
      </c>
      <c r="H94" s="51">
        <f t="shared" ca="1" si="3"/>
        <v>14</v>
      </c>
      <c r="I94" s="52" t="s">
        <v>257</v>
      </c>
      <c r="J94" s="53">
        <v>71950</v>
      </c>
      <c r="K94" s="54">
        <v>5</v>
      </c>
    </row>
    <row r="95" spans="1:14" hidden="1">
      <c r="A95" s="39" t="s">
        <v>311</v>
      </c>
      <c r="B95" s="46" t="s">
        <v>245</v>
      </c>
      <c r="C95" s="39" t="s">
        <v>312</v>
      </c>
      <c r="D95" s="142">
        <v>125383324</v>
      </c>
      <c r="E95" s="39" t="s">
        <v>256</v>
      </c>
      <c r="F95" s="81">
        <v>37960</v>
      </c>
      <c r="G95" s="105" t="str">
        <f t="shared" si="2"/>
        <v>Dec</v>
      </c>
      <c r="H95" s="51">
        <f t="shared" ca="1" si="3"/>
        <v>12</v>
      </c>
      <c r="I95" s="52" t="s">
        <v>257</v>
      </c>
      <c r="J95" s="53">
        <v>66890</v>
      </c>
      <c r="K95" s="54">
        <v>5</v>
      </c>
    </row>
    <row r="96" spans="1:14" hidden="1">
      <c r="A96" s="39" t="s">
        <v>362</v>
      </c>
      <c r="B96" s="46" t="s">
        <v>266</v>
      </c>
      <c r="C96" s="39" t="s">
        <v>312</v>
      </c>
      <c r="D96" s="142">
        <v>305864390</v>
      </c>
      <c r="E96" s="39" t="s">
        <v>261</v>
      </c>
      <c r="F96" s="81">
        <v>39802</v>
      </c>
      <c r="G96" s="105" t="str">
        <f t="shared" si="2"/>
        <v>Dec</v>
      </c>
      <c r="H96" s="51">
        <f t="shared" ca="1" si="3"/>
        <v>7</v>
      </c>
      <c r="I96" s="52" t="s">
        <v>276</v>
      </c>
      <c r="J96" s="53">
        <v>22535</v>
      </c>
      <c r="K96" s="54">
        <v>3</v>
      </c>
    </row>
    <row r="97" spans="1:14">
      <c r="A97" s="39" t="s">
        <v>373</v>
      </c>
      <c r="B97" s="46" t="s">
        <v>271</v>
      </c>
      <c r="C97" s="39" t="s">
        <v>372</v>
      </c>
      <c r="D97" s="142">
        <v>278532524</v>
      </c>
      <c r="E97" s="39" t="s">
        <v>256</v>
      </c>
      <c r="F97" s="81">
        <v>38397</v>
      </c>
      <c r="G97" s="105" t="str">
        <f t="shared" si="2"/>
        <v>Feb</v>
      </c>
      <c r="H97" s="51">
        <f t="shared" ca="1" si="3"/>
        <v>11</v>
      </c>
      <c r="I97" s="52" t="s">
        <v>257</v>
      </c>
      <c r="J97" s="53">
        <v>36630</v>
      </c>
      <c r="K97" s="54">
        <v>4</v>
      </c>
    </row>
    <row r="98" spans="1:14" hidden="1">
      <c r="A98" s="39" t="s">
        <v>374</v>
      </c>
      <c r="B98" s="46" t="s">
        <v>285</v>
      </c>
      <c r="C98" s="39" t="s">
        <v>372</v>
      </c>
      <c r="D98" s="142">
        <v>530077758</v>
      </c>
      <c r="E98" s="39" t="s">
        <v>247</v>
      </c>
      <c r="F98" s="81">
        <v>38755</v>
      </c>
      <c r="G98" s="105" t="str">
        <f t="shared" si="2"/>
        <v>Feb</v>
      </c>
      <c r="H98" s="51">
        <f t="shared" ca="1" si="3"/>
        <v>10</v>
      </c>
      <c r="I98" s="52"/>
      <c r="J98" s="53">
        <v>78860</v>
      </c>
      <c r="K98" s="54">
        <v>2</v>
      </c>
    </row>
    <row r="99" spans="1:14">
      <c r="A99" s="39" t="s">
        <v>377</v>
      </c>
      <c r="B99" s="46" t="s">
        <v>271</v>
      </c>
      <c r="C99" s="39" t="s">
        <v>372</v>
      </c>
      <c r="D99" s="142">
        <v>303231204</v>
      </c>
      <c r="E99" s="39" t="s">
        <v>247</v>
      </c>
      <c r="F99" s="81">
        <v>39529</v>
      </c>
      <c r="G99" s="105" t="str">
        <f t="shared" si="2"/>
        <v>Mar</v>
      </c>
      <c r="H99" s="51">
        <f t="shared" ca="1" si="3"/>
        <v>8</v>
      </c>
      <c r="I99" s="52"/>
      <c r="J99" s="53">
        <v>35620</v>
      </c>
      <c r="K99" s="54">
        <v>4</v>
      </c>
    </row>
    <row r="100" spans="1:14" hidden="1">
      <c r="A100" s="39" t="s">
        <v>378</v>
      </c>
      <c r="B100" s="46" t="s">
        <v>285</v>
      </c>
      <c r="C100" s="39" t="s">
        <v>372</v>
      </c>
      <c r="D100" s="142">
        <v>727350623</v>
      </c>
      <c r="E100" s="39" t="s">
        <v>247</v>
      </c>
      <c r="F100" s="103">
        <v>40253</v>
      </c>
      <c r="G100" s="105" t="str">
        <f t="shared" si="2"/>
        <v>Mar</v>
      </c>
      <c r="H100" s="51">
        <f t="shared" ca="1" si="3"/>
        <v>6</v>
      </c>
      <c r="I100" s="52"/>
      <c r="J100" s="53">
        <v>59350</v>
      </c>
      <c r="K100" s="54">
        <v>5</v>
      </c>
    </row>
    <row r="101" spans="1:14" hidden="1">
      <c r="A101" s="39" t="s">
        <v>376</v>
      </c>
      <c r="B101" s="46" t="s">
        <v>285</v>
      </c>
      <c r="C101" s="39" t="s">
        <v>372</v>
      </c>
      <c r="D101" s="142">
        <v>842985832</v>
      </c>
      <c r="E101" s="39" t="s">
        <v>256</v>
      </c>
      <c r="F101" s="81">
        <v>39923</v>
      </c>
      <c r="G101" s="105" t="str">
        <f t="shared" si="2"/>
        <v>Apr</v>
      </c>
      <c r="H101" s="51">
        <f t="shared" ca="1" si="3"/>
        <v>7</v>
      </c>
      <c r="I101" s="52" t="s">
        <v>257</v>
      </c>
      <c r="J101" s="53">
        <v>76440</v>
      </c>
      <c r="K101" s="54">
        <v>3</v>
      </c>
    </row>
    <row r="102" spans="1:14" hidden="1">
      <c r="A102" s="39" t="s">
        <v>375</v>
      </c>
      <c r="B102" s="46" t="s">
        <v>285</v>
      </c>
      <c r="C102" s="39" t="s">
        <v>372</v>
      </c>
      <c r="D102" s="142">
        <v>958318248</v>
      </c>
      <c r="E102" s="39" t="s">
        <v>256</v>
      </c>
      <c r="F102" s="81">
        <v>37883</v>
      </c>
      <c r="G102" s="105" t="str">
        <f t="shared" si="2"/>
        <v>Sep</v>
      </c>
      <c r="H102" s="51">
        <f t="shared" ca="1" si="3"/>
        <v>13</v>
      </c>
      <c r="I102" s="52" t="s">
        <v>257</v>
      </c>
      <c r="J102" s="53">
        <v>86530</v>
      </c>
      <c r="K102" s="54">
        <v>1</v>
      </c>
    </row>
    <row r="103" spans="1:14" hidden="1">
      <c r="A103" s="39" t="s">
        <v>379</v>
      </c>
      <c r="B103" s="46" t="s">
        <v>280</v>
      </c>
      <c r="C103" s="39" t="s">
        <v>372</v>
      </c>
      <c r="D103" s="142">
        <v>539542451</v>
      </c>
      <c r="E103" s="39" t="s">
        <v>256</v>
      </c>
      <c r="F103" s="81">
        <v>39388</v>
      </c>
      <c r="G103" s="105" t="str">
        <f t="shared" si="2"/>
        <v>Nov</v>
      </c>
      <c r="H103" s="51">
        <f t="shared" ca="1" si="3"/>
        <v>9</v>
      </c>
      <c r="I103" s="52" t="s">
        <v>257</v>
      </c>
      <c r="J103" s="53">
        <v>71120</v>
      </c>
      <c r="K103" s="54">
        <v>4</v>
      </c>
    </row>
    <row r="104" spans="1:14" hidden="1">
      <c r="A104" s="39" t="s">
        <v>371</v>
      </c>
      <c r="B104" s="46" t="s">
        <v>251</v>
      </c>
      <c r="C104" s="39" t="s">
        <v>372</v>
      </c>
      <c r="D104" s="142">
        <v>357927834</v>
      </c>
      <c r="E104" s="39" t="s">
        <v>261</v>
      </c>
      <c r="F104" s="103">
        <v>40505</v>
      </c>
      <c r="G104" s="105" t="str">
        <f t="shared" si="2"/>
        <v>Nov</v>
      </c>
      <c r="H104" s="51">
        <f t="shared" ca="1" si="3"/>
        <v>5</v>
      </c>
      <c r="I104" s="52" t="s">
        <v>283</v>
      </c>
      <c r="J104" s="53">
        <v>46230</v>
      </c>
      <c r="K104" s="54">
        <v>2</v>
      </c>
      <c r="N104" s="75"/>
    </row>
    <row r="105" spans="1:14">
      <c r="A105" s="39" t="s">
        <v>389</v>
      </c>
      <c r="B105" s="46" t="s">
        <v>271</v>
      </c>
      <c r="C105" s="39" t="s">
        <v>381</v>
      </c>
      <c r="D105" s="142">
        <v>524284947</v>
      </c>
      <c r="E105" s="39" t="s">
        <v>256</v>
      </c>
      <c r="F105" s="81">
        <v>35449</v>
      </c>
      <c r="G105" s="105" t="str">
        <f t="shared" si="2"/>
        <v>Jan</v>
      </c>
      <c r="H105" s="51">
        <f t="shared" ca="1" si="3"/>
        <v>19</v>
      </c>
      <c r="I105" s="52" t="s">
        <v>283</v>
      </c>
      <c r="J105" s="53">
        <v>22920</v>
      </c>
      <c r="K105" s="54">
        <v>3</v>
      </c>
    </row>
    <row r="106" spans="1:14" hidden="1">
      <c r="A106" s="39" t="s">
        <v>383</v>
      </c>
      <c r="B106" s="46" t="s">
        <v>280</v>
      </c>
      <c r="C106" s="39" t="s">
        <v>381</v>
      </c>
      <c r="D106" s="142">
        <v>979361880</v>
      </c>
      <c r="E106" s="39" t="s">
        <v>256</v>
      </c>
      <c r="F106" s="81">
        <v>36182</v>
      </c>
      <c r="G106" s="105" t="str">
        <f t="shared" si="2"/>
        <v>Jan</v>
      </c>
      <c r="H106" s="51">
        <f t="shared" ca="1" si="3"/>
        <v>17</v>
      </c>
      <c r="I106" s="52" t="s">
        <v>283</v>
      </c>
      <c r="J106" s="53">
        <v>68300</v>
      </c>
      <c r="K106" s="54">
        <v>5</v>
      </c>
    </row>
    <row r="107" spans="1:14" hidden="1">
      <c r="A107" s="39" t="s">
        <v>380</v>
      </c>
      <c r="B107" s="46" t="s">
        <v>285</v>
      </c>
      <c r="C107" s="39" t="s">
        <v>381</v>
      </c>
      <c r="D107" s="142">
        <v>453764262</v>
      </c>
      <c r="E107" s="39" t="s">
        <v>261</v>
      </c>
      <c r="F107" s="81">
        <v>40572</v>
      </c>
      <c r="G107" s="105" t="str">
        <f t="shared" si="2"/>
        <v>Jan</v>
      </c>
      <c r="H107" s="51">
        <f t="shared" ca="1" si="3"/>
        <v>5</v>
      </c>
      <c r="I107" s="52" t="s">
        <v>283</v>
      </c>
      <c r="J107" s="53">
        <v>10520</v>
      </c>
      <c r="K107" s="54">
        <v>4</v>
      </c>
      <c r="N107" s="75"/>
    </row>
    <row r="108" spans="1:14" hidden="1">
      <c r="A108" s="39" t="s">
        <v>386</v>
      </c>
      <c r="B108" s="46" t="s">
        <v>266</v>
      </c>
      <c r="C108" s="39" t="s">
        <v>381</v>
      </c>
      <c r="D108" s="142">
        <v>493786564</v>
      </c>
      <c r="E108" s="39" t="s">
        <v>256</v>
      </c>
      <c r="F108" s="81">
        <v>35514</v>
      </c>
      <c r="G108" s="105" t="str">
        <f t="shared" si="2"/>
        <v>Mar</v>
      </c>
      <c r="H108" s="51">
        <f t="shared" ca="1" si="3"/>
        <v>19</v>
      </c>
      <c r="I108" s="52" t="s">
        <v>267</v>
      </c>
      <c r="J108" s="53">
        <v>26510</v>
      </c>
      <c r="K108" s="54">
        <v>1</v>
      </c>
    </row>
    <row r="109" spans="1:14">
      <c r="A109" s="39" t="s">
        <v>382</v>
      </c>
      <c r="B109" s="46" t="s">
        <v>271</v>
      </c>
      <c r="C109" s="39" t="s">
        <v>381</v>
      </c>
      <c r="D109" s="142">
        <v>488770022</v>
      </c>
      <c r="E109" s="39" t="s">
        <v>256</v>
      </c>
      <c r="F109" s="81">
        <v>36249</v>
      </c>
      <c r="G109" s="105" t="str">
        <f t="shared" si="2"/>
        <v>Mar</v>
      </c>
      <c r="H109" s="51">
        <f t="shared" ca="1" si="3"/>
        <v>17</v>
      </c>
      <c r="I109" s="52" t="s">
        <v>257</v>
      </c>
      <c r="J109" s="53">
        <v>49860</v>
      </c>
      <c r="K109" s="54">
        <v>2</v>
      </c>
    </row>
    <row r="110" spans="1:14" hidden="1">
      <c r="A110" s="39" t="s">
        <v>387</v>
      </c>
      <c r="B110" s="46" t="s">
        <v>285</v>
      </c>
      <c r="C110" s="39" t="s">
        <v>381</v>
      </c>
      <c r="D110" s="142">
        <v>268336939</v>
      </c>
      <c r="E110" s="39" t="s">
        <v>256</v>
      </c>
      <c r="F110" s="81">
        <v>39147</v>
      </c>
      <c r="G110" s="105" t="str">
        <f t="shared" si="2"/>
        <v>Mar</v>
      </c>
      <c r="H110" s="51">
        <f t="shared" ca="1" si="3"/>
        <v>9</v>
      </c>
      <c r="I110" s="52" t="s">
        <v>283</v>
      </c>
      <c r="J110" s="53">
        <v>43680</v>
      </c>
      <c r="K110" s="54">
        <v>5</v>
      </c>
    </row>
    <row r="111" spans="1:14">
      <c r="A111" s="39" t="s">
        <v>385</v>
      </c>
      <c r="B111" s="46" t="s">
        <v>271</v>
      </c>
      <c r="C111" s="39" t="s">
        <v>381</v>
      </c>
      <c r="D111" s="142">
        <v>752763265</v>
      </c>
      <c r="E111" s="39" t="s">
        <v>252</v>
      </c>
      <c r="F111" s="103">
        <v>40313</v>
      </c>
      <c r="G111" s="105" t="str">
        <f t="shared" si="2"/>
        <v>May</v>
      </c>
      <c r="H111" s="51">
        <f t="shared" ca="1" si="3"/>
        <v>6</v>
      </c>
      <c r="I111" s="52"/>
      <c r="J111" s="53">
        <v>27484</v>
      </c>
      <c r="K111" s="54">
        <v>4</v>
      </c>
      <c r="N111" s="75"/>
    </row>
    <row r="112" spans="1:14" hidden="1">
      <c r="A112" s="39" t="s">
        <v>388</v>
      </c>
      <c r="B112" s="46" t="s">
        <v>285</v>
      </c>
      <c r="C112" s="39" t="s">
        <v>381</v>
      </c>
      <c r="D112" s="142">
        <v>699160893</v>
      </c>
      <c r="E112" s="39" t="s">
        <v>256</v>
      </c>
      <c r="F112" s="81">
        <v>33071</v>
      </c>
      <c r="G112" s="105" t="str">
        <f t="shared" si="2"/>
        <v>Jul</v>
      </c>
      <c r="H112" s="51">
        <f t="shared" ca="1" si="3"/>
        <v>26</v>
      </c>
      <c r="I112" s="52" t="s">
        <v>283</v>
      </c>
      <c r="J112" s="53">
        <v>69060</v>
      </c>
      <c r="K112" s="54">
        <v>1</v>
      </c>
    </row>
    <row r="113" spans="1:14">
      <c r="A113" s="39" t="s">
        <v>384</v>
      </c>
      <c r="B113" s="46" t="s">
        <v>271</v>
      </c>
      <c r="C113" s="39" t="s">
        <v>381</v>
      </c>
      <c r="D113" s="142">
        <v>671177166</v>
      </c>
      <c r="E113" s="39" t="s">
        <v>261</v>
      </c>
      <c r="F113" s="103">
        <v>40516</v>
      </c>
      <c r="G113" s="105" t="str">
        <f t="shared" si="2"/>
        <v>Dec</v>
      </c>
      <c r="H113" s="51">
        <f t="shared" ca="1" si="3"/>
        <v>5</v>
      </c>
      <c r="I113" s="52" t="s">
        <v>283</v>
      </c>
      <c r="J113" s="53">
        <v>28625</v>
      </c>
      <c r="K113" s="54">
        <v>1</v>
      </c>
      <c r="N113" s="75"/>
    </row>
    <row r="114" spans="1:14" hidden="1">
      <c r="A114" s="39" t="s">
        <v>392</v>
      </c>
      <c r="B114" s="46" t="s">
        <v>251</v>
      </c>
      <c r="C114" s="39" t="s">
        <v>391</v>
      </c>
      <c r="D114" s="142">
        <v>582737704</v>
      </c>
      <c r="E114" s="39" t="s">
        <v>247</v>
      </c>
      <c r="F114" s="81">
        <v>33245</v>
      </c>
      <c r="G114" s="105" t="str">
        <f t="shared" si="2"/>
        <v>Jan</v>
      </c>
      <c r="H114" s="51">
        <f t="shared" ca="1" si="3"/>
        <v>25</v>
      </c>
      <c r="I114" s="52"/>
      <c r="J114" s="53">
        <v>80050</v>
      </c>
      <c r="K114" s="54">
        <v>2</v>
      </c>
    </row>
    <row r="115" spans="1:14">
      <c r="A115" s="39" t="s">
        <v>390</v>
      </c>
      <c r="B115" s="46" t="s">
        <v>271</v>
      </c>
      <c r="C115" s="39" t="s">
        <v>391</v>
      </c>
      <c r="D115" s="142">
        <v>337022977</v>
      </c>
      <c r="E115" s="39" t="s">
        <v>256</v>
      </c>
      <c r="F115" s="81">
        <v>33613</v>
      </c>
      <c r="G115" s="105" t="str">
        <f t="shared" si="2"/>
        <v>Jan</v>
      </c>
      <c r="H115" s="51">
        <f t="shared" ca="1" si="3"/>
        <v>24</v>
      </c>
      <c r="I115" s="52" t="s">
        <v>267</v>
      </c>
      <c r="J115" s="53">
        <v>82500</v>
      </c>
      <c r="K115" s="54">
        <v>5</v>
      </c>
    </row>
    <row r="116" spans="1:14" hidden="1">
      <c r="A116" s="39" t="s">
        <v>400</v>
      </c>
      <c r="B116" s="46" t="s">
        <v>285</v>
      </c>
      <c r="C116" s="39" t="s">
        <v>391</v>
      </c>
      <c r="D116" s="142">
        <v>113339444</v>
      </c>
      <c r="E116" s="39" t="s">
        <v>261</v>
      </c>
      <c r="F116" s="81">
        <v>33994</v>
      </c>
      <c r="G116" s="105" t="str">
        <f t="shared" si="2"/>
        <v>Jan</v>
      </c>
      <c r="H116" s="51">
        <f t="shared" ca="1" si="3"/>
        <v>23</v>
      </c>
      <c r="I116" s="52" t="s">
        <v>276</v>
      </c>
      <c r="J116" s="53">
        <v>18655</v>
      </c>
      <c r="K116" s="54">
        <v>4</v>
      </c>
    </row>
    <row r="117" spans="1:14" hidden="1">
      <c r="A117" s="39" t="s">
        <v>399</v>
      </c>
      <c r="B117" s="46" t="s">
        <v>251</v>
      </c>
      <c r="C117" s="39" t="s">
        <v>391</v>
      </c>
      <c r="D117" s="142">
        <v>149034731</v>
      </c>
      <c r="E117" s="39" t="s">
        <v>247</v>
      </c>
      <c r="F117" s="81">
        <v>36176</v>
      </c>
      <c r="G117" s="105" t="str">
        <f t="shared" si="2"/>
        <v>Jan</v>
      </c>
      <c r="H117" s="51">
        <f t="shared" ca="1" si="3"/>
        <v>17</v>
      </c>
      <c r="I117" s="52"/>
      <c r="J117" s="53">
        <v>32940</v>
      </c>
      <c r="K117" s="54">
        <v>5</v>
      </c>
    </row>
    <row r="118" spans="1:14" hidden="1">
      <c r="A118" s="39" t="s">
        <v>396</v>
      </c>
      <c r="B118" s="46" t="s">
        <v>266</v>
      </c>
      <c r="C118" s="39" t="s">
        <v>391</v>
      </c>
      <c r="D118" s="142">
        <v>808189747</v>
      </c>
      <c r="E118" s="39" t="s">
        <v>256</v>
      </c>
      <c r="F118" s="81">
        <v>35487</v>
      </c>
      <c r="G118" s="105" t="str">
        <f t="shared" si="2"/>
        <v>Feb</v>
      </c>
      <c r="H118" s="51">
        <f t="shared" ca="1" si="3"/>
        <v>19</v>
      </c>
      <c r="I118" s="52" t="s">
        <v>257</v>
      </c>
      <c r="J118" s="53">
        <v>80120</v>
      </c>
      <c r="K118" s="54">
        <v>4</v>
      </c>
    </row>
    <row r="119" spans="1:14" hidden="1">
      <c r="A119" s="39" t="s">
        <v>394</v>
      </c>
      <c r="B119" s="46" t="s">
        <v>280</v>
      </c>
      <c r="C119" s="39" t="s">
        <v>391</v>
      </c>
      <c r="D119" s="142">
        <v>837921626</v>
      </c>
      <c r="E119" s="39" t="s">
        <v>247</v>
      </c>
      <c r="F119" s="81">
        <v>37667</v>
      </c>
      <c r="G119" s="105" t="str">
        <f t="shared" si="2"/>
        <v>Feb</v>
      </c>
      <c r="H119" s="51">
        <f t="shared" ca="1" si="3"/>
        <v>13</v>
      </c>
      <c r="I119" s="52"/>
      <c r="J119" s="53">
        <v>73390</v>
      </c>
      <c r="K119" s="54">
        <v>2</v>
      </c>
    </row>
    <row r="120" spans="1:14" hidden="1">
      <c r="A120" s="39" t="s">
        <v>406</v>
      </c>
      <c r="B120" s="46" t="s">
        <v>245</v>
      </c>
      <c r="C120" s="39" t="s">
        <v>391</v>
      </c>
      <c r="D120" s="142">
        <v>466266002</v>
      </c>
      <c r="E120" s="39" t="s">
        <v>247</v>
      </c>
      <c r="F120" s="81">
        <v>35150</v>
      </c>
      <c r="G120" s="105" t="str">
        <f t="shared" si="2"/>
        <v>Mar</v>
      </c>
      <c r="H120" s="51">
        <f t="shared" ca="1" si="3"/>
        <v>20</v>
      </c>
      <c r="I120" s="52"/>
      <c r="J120" s="53">
        <v>35260</v>
      </c>
      <c r="K120" s="54">
        <v>2</v>
      </c>
    </row>
    <row r="121" spans="1:14" hidden="1">
      <c r="A121" s="39" t="s">
        <v>409</v>
      </c>
      <c r="B121" s="46" t="s">
        <v>285</v>
      </c>
      <c r="C121" s="39" t="s">
        <v>391</v>
      </c>
      <c r="D121" s="142">
        <v>296063951</v>
      </c>
      <c r="E121" s="39" t="s">
        <v>256</v>
      </c>
      <c r="F121" s="81">
        <v>36269</v>
      </c>
      <c r="G121" s="105" t="str">
        <f t="shared" si="2"/>
        <v>Apr</v>
      </c>
      <c r="H121" s="51">
        <f t="shared" ca="1" si="3"/>
        <v>17</v>
      </c>
      <c r="I121" s="52" t="s">
        <v>283</v>
      </c>
      <c r="J121" s="53">
        <v>61330</v>
      </c>
      <c r="K121" s="54">
        <v>1</v>
      </c>
    </row>
    <row r="122" spans="1:14">
      <c r="A122" s="39" t="s">
        <v>407</v>
      </c>
      <c r="B122" s="46" t="s">
        <v>271</v>
      </c>
      <c r="C122" s="39" t="s">
        <v>391</v>
      </c>
      <c r="D122" s="142">
        <v>296623656</v>
      </c>
      <c r="E122" s="39" t="s">
        <v>247</v>
      </c>
      <c r="F122" s="81">
        <v>35959</v>
      </c>
      <c r="G122" s="105" t="str">
        <f t="shared" si="2"/>
        <v>Jun</v>
      </c>
      <c r="H122" s="51">
        <f t="shared" ca="1" si="3"/>
        <v>18</v>
      </c>
      <c r="I122" s="52"/>
      <c r="J122" s="53">
        <v>64470</v>
      </c>
      <c r="K122" s="54">
        <v>3</v>
      </c>
    </row>
    <row r="123" spans="1:14" hidden="1">
      <c r="A123" s="39" t="s">
        <v>405</v>
      </c>
      <c r="B123" s="46" t="s">
        <v>245</v>
      </c>
      <c r="C123" s="39" t="s">
        <v>391</v>
      </c>
      <c r="D123" s="142">
        <v>252749648</v>
      </c>
      <c r="E123" s="39" t="s">
        <v>256</v>
      </c>
      <c r="F123" s="81">
        <v>33447</v>
      </c>
      <c r="G123" s="105" t="str">
        <f t="shared" si="2"/>
        <v>Jul</v>
      </c>
      <c r="H123" s="51">
        <f t="shared" ca="1" si="3"/>
        <v>25</v>
      </c>
      <c r="I123" s="52" t="s">
        <v>283</v>
      </c>
      <c r="J123" s="53">
        <v>37620</v>
      </c>
      <c r="K123" s="54">
        <v>5</v>
      </c>
      <c r="M123" s="63"/>
      <c r="N123" s="75"/>
    </row>
    <row r="124" spans="1:14" hidden="1">
      <c r="A124" s="39" t="s">
        <v>393</v>
      </c>
      <c r="B124" s="46" t="s">
        <v>266</v>
      </c>
      <c r="C124" s="39" t="s">
        <v>391</v>
      </c>
      <c r="D124" s="142">
        <v>233987885</v>
      </c>
      <c r="E124" s="39" t="s">
        <v>247</v>
      </c>
      <c r="F124" s="81">
        <v>36342</v>
      </c>
      <c r="G124" s="105" t="str">
        <f t="shared" si="2"/>
        <v>Jul</v>
      </c>
      <c r="H124" s="51">
        <f t="shared" ca="1" si="3"/>
        <v>17</v>
      </c>
      <c r="I124" s="52"/>
      <c r="J124" s="53">
        <v>86970</v>
      </c>
      <c r="K124" s="54">
        <v>4</v>
      </c>
    </row>
    <row r="125" spans="1:14">
      <c r="A125" s="39" t="s">
        <v>408</v>
      </c>
      <c r="B125" s="46" t="s">
        <v>271</v>
      </c>
      <c r="C125" s="39" t="s">
        <v>391</v>
      </c>
      <c r="D125" s="142">
        <v>740477572</v>
      </c>
      <c r="E125" s="39" t="s">
        <v>261</v>
      </c>
      <c r="F125" s="81">
        <v>36357</v>
      </c>
      <c r="G125" s="105" t="str">
        <f t="shared" si="2"/>
        <v>Jul</v>
      </c>
      <c r="H125" s="51">
        <f t="shared" ca="1" si="3"/>
        <v>17</v>
      </c>
      <c r="I125" s="52" t="s">
        <v>276</v>
      </c>
      <c r="J125" s="53">
        <v>42905</v>
      </c>
      <c r="K125" s="54">
        <v>1</v>
      </c>
    </row>
    <row r="126" spans="1:14" hidden="1">
      <c r="A126" s="39" t="s">
        <v>398</v>
      </c>
      <c r="B126" s="46" t="s">
        <v>285</v>
      </c>
      <c r="C126" s="39" t="s">
        <v>391</v>
      </c>
      <c r="D126" s="142">
        <v>155232477</v>
      </c>
      <c r="E126" s="39" t="s">
        <v>256</v>
      </c>
      <c r="F126" s="81">
        <v>33823</v>
      </c>
      <c r="G126" s="105" t="str">
        <f t="shared" si="2"/>
        <v>Aug</v>
      </c>
      <c r="H126" s="51">
        <f t="shared" ca="1" si="3"/>
        <v>24</v>
      </c>
      <c r="I126" s="52" t="s">
        <v>283</v>
      </c>
      <c r="J126" s="53">
        <v>82760</v>
      </c>
      <c r="K126" s="54">
        <v>4</v>
      </c>
    </row>
    <row r="127" spans="1:14" hidden="1">
      <c r="A127" s="39" t="s">
        <v>404</v>
      </c>
      <c r="B127" s="46" t="s">
        <v>285</v>
      </c>
      <c r="C127" s="39" t="s">
        <v>391</v>
      </c>
      <c r="D127" s="142">
        <v>943835902</v>
      </c>
      <c r="E127" s="39" t="s">
        <v>252</v>
      </c>
      <c r="F127" s="81">
        <v>35673</v>
      </c>
      <c r="G127" s="105" t="str">
        <f t="shared" si="2"/>
        <v>Aug</v>
      </c>
      <c r="H127" s="51">
        <f t="shared" ca="1" si="3"/>
        <v>19</v>
      </c>
      <c r="I127" s="52"/>
      <c r="J127" s="53">
        <v>12676</v>
      </c>
      <c r="K127" s="54">
        <v>2</v>
      </c>
    </row>
    <row r="128" spans="1:14">
      <c r="A128" s="39" t="s">
        <v>402</v>
      </c>
      <c r="B128" s="46" t="s">
        <v>271</v>
      </c>
      <c r="C128" s="39" t="s">
        <v>391</v>
      </c>
      <c r="D128" s="142">
        <v>553874787</v>
      </c>
      <c r="E128" s="39" t="s">
        <v>256</v>
      </c>
      <c r="F128" s="81">
        <v>37113</v>
      </c>
      <c r="G128" s="105" t="str">
        <f t="shared" si="2"/>
        <v>Aug</v>
      </c>
      <c r="H128" s="51">
        <f t="shared" ca="1" si="3"/>
        <v>15</v>
      </c>
      <c r="I128" s="52" t="s">
        <v>267</v>
      </c>
      <c r="J128" s="53">
        <v>61150</v>
      </c>
      <c r="K128" s="54">
        <v>4</v>
      </c>
    </row>
    <row r="129" spans="1:13">
      <c r="A129" s="39" t="s">
        <v>401</v>
      </c>
      <c r="B129" s="46" t="s">
        <v>271</v>
      </c>
      <c r="C129" s="39" t="s">
        <v>391</v>
      </c>
      <c r="D129" s="142">
        <v>215684194</v>
      </c>
      <c r="E129" s="39" t="s">
        <v>256</v>
      </c>
      <c r="F129" s="81">
        <v>36077</v>
      </c>
      <c r="G129" s="105" t="str">
        <f t="shared" si="2"/>
        <v>Oct</v>
      </c>
      <c r="H129" s="51">
        <f t="shared" ca="1" si="3"/>
        <v>18</v>
      </c>
      <c r="I129" s="52" t="s">
        <v>283</v>
      </c>
      <c r="J129" s="53">
        <v>50110</v>
      </c>
      <c r="K129" s="54">
        <v>1</v>
      </c>
    </row>
    <row r="130" spans="1:13" hidden="1">
      <c r="A130" s="39" t="s">
        <v>403</v>
      </c>
      <c r="B130" s="46" t="s">
        <v>285</v>
      </c>
      <c r="C130" s="39" t="s">
        <v>391</v>
      </c>
      <c r="D130" s="142">
        <v>679632178</v>
      </c>
      <c r="E130" s="39" t="s">
        <v>252</v>
      </c>
      <c r="F130" s="81">
        <v>33183</v>
      </c>
      <c r="G130" s="105" t="str">
        <f t="shared" ref="G130:G193" si="4">CHOOSE(MONTH(F130),"Jan","Feb","Mar","Apr","May","Jun","Jul","Aug","Sep","Oct","Nov","Dec")</f>
        <v>Nov</v>
      </c>
      <c r="H130" s="51">
        <f t="shared" ref="H130:H193" ca="1" si="5">DATEDIF(F130,TODAY(),"Y")</f>
        <v>26</v>
      </c>
      <c r="I130" s="52"/>
      <c r="J130" s="53">
        <v>14712</v>
      </c>
      <c r="K130" s="54">
        <v>5</v>
      </c>
    </row>
    <row r="131" spans="1:13">
      <c r="A131" s="39" t="s">
        <v>395</v>
      </c>
      <c r="B131" s="46" t="s">
        <v>271</v>
      </c>
      <c r="C131" s="39" t="s">
        <v>391</v>
      </c>
      <c r="D131" s="142">
        <v>607067374</v>
      </c>
      <c r="E131" s="39" t="s">
        <v>247</v>
      </c>
      <c r="F131" s="81">
        <v>35737</v>
      </c>
      <c r="G131" s="105" t="str">
        <f t="shared" si="4"/>
        <v>Nov</v>
      </c>
      <c r="H131" s="51">
        <f t="shared" ca="1" si="5"/>
        <v>19</v>
      </c>
      <c r="I131" s="52"/>
      <c r="J131" s="53">
        <v>76020</v>
      </c>
      <c r="K131" s="54">
        <v>1</v>
      </c>
    </row>
    <row r="132" spans="1:13" hidden="1">
      <c r="A132" s="39" t="s">
        <v>397</v>
      </c>
      <c r="B132" s="46" t="s">
        <v>266</v>
      </c>
      <c r="C132" s="39" t="s">
        <v>391</v>
      </c>
      <c r="D132" s="142">
        <v>556554296</v>
      </c>
      <c r="E132" s="39" t="s">
        <v>256</v>
      </c>
      <c r="F132" s="81">
        <v>37612</v>
      </c>
      <c r="G132" s="105" t="str">
        <f t="shared" si="4"/>
        <v>Dec</v>
      </c>
      <c r="H132" s="51">
        <f t="shared" ca="1" si="5"/>
        <v>13</v>
      </c>
      <c r="I132" s="52" t="s">
        <v>267</v>
      </c>
      <c r="J132" s="53">
        <v>39740</v>
      </c>
      <c r="K132" s="54">
        <v>1</v>
      </c>
    </row>
    <row r="133" spans="1:13" hidden="1">
      <c r="A133" s="39" t="s">
        <v>414</v>
      </c>
      <c r="B133" s="46" t="s">
        <v>245</v>
      </c>
      <c r="C133" s="39" t="s">
        <v>411</v>
      </c>
      <c r="D133" s="142">
        <v>995433946</v>
      </c>
      <c r="E133" s="39" t="s">
        <v>256</v>
      </c>
      <c r="F133" s="81">
        <v>36569</v>
      </c>
      <c r="G133" s="105" t="str">
        <f t="shared" si="4"/>
        <v>Feb</v>
      </c>
      <c r="H133" s="51">
        <f t="shared" ca="1" si="5"/>
        <v>16</v>
      </c>
      <c r="I133" s="52" t="s">
        <v>283</v>
      </c>
      <c r="J133" s="53">
        <v>75060</v>
      </c>
      <c r="K133" s="54">
        <v>5</v>
      </c>
    </row>
    <row r="134" spans="1:13" hidden="1">
      <c r="A134" s="39" t="s">
        <v>412</v>
      </c>
      <c r="B134" s="46" t="s">
        <v>285</v>
      </c>
      <c r="C134" s="39" t="s">
        <v>411</v>
      </c>
      <c r="D134" s="142">
        <v>334925100</v>
      </c>
      <c r="E134" s="39" t="s">
        <v>247</v>
      </c>
      <c r="F134" s="81">
        <v>38527</v>
      </c>
      <c r="G134" s="105" t="str">
        <f t="shared" si="4"/>
        <v>Jun</v>
      </c>
      <c r="H134" s="51">
        <f t="shared" ca="1" si="5"/>
        <v>11</v>
      </c>
      <c r="I134" s="52"/>
      <c r="J134" s="53">
        <v>60060</v>
      </c>
      <c r="K134" s="54">
        <v>2</v>
      </c>
    </row>
    <row r="135" spans="1:13" hidden="1">
      <c r="A135" s="39" t="s">
        <v>410</v>
      </c>
      <c r="B135" s="46" t="s">
        <v>285</v>
      </c>
      <c r="C135" s="39" t="s">
        <v>411</v>
      </c>
      <c r="D135" s="142">
        <v>985985859</v>
      </c>
      <c r="E135" s="39" t="s">
        <v>256</v>
      </c>
      <c r="F135" s="81">
        <v>38587</v>
      </c>
      <c r="G135" s="105" t="str">
        <f t="shared" si="4"/>
        <v>Aug</v>
      </c>
      <c r="H135" s="51">
        <f t="shared" ca="1" si="5"/>
        <v>11</v>
      </c>
      <c r="I135" s="52" t="s">
        <v>257</v>
      </c>
      <c r="J135" s="53">
        <v>47350</v>
      </c>
      <c r="K135" s="54">
        <v>5</v>
      </c>
    </row>
    <row r="136" spans="1:13" hidden="1">
      <c r="A136" s="39" t="s">
        <v>413</v>
      </c>
      <c r="B136" s="46" t="s">
        <v>245</v>
      </c>
      <c r="C136" s="39" t="s">
        <v>411</v>
      </c>
      <c r="D136" s="142">
        <v>961565848</v>
      </c>
      <c r="E136" s="39" t="s">
        <v>256</v>
      </c>
      <c r="F136" s="103">
        <v>40400</v>
      </c>
      <c r="G136" s="105" t="str">
        <f t="shared" si="4"/>
        <v>Aug</v>
      </c>
      <c r="H136" s="51">
        <f t="shared" ca="1" si="5"/>
        <v>6</v>
      </c>
      <c r="I136" s="52" t="s">
        <v>283</v>
      </c>
      <c r="J136" s="53">
        <v>79150</v>
      </c>
      <c r="K136" s="54">
        <v>2</v>
      </c>
    </row>
    <row r="137" spans="1:13">
      <c r="A137" s="39" t="s">
        <v>415</v>
      </c>
      <c r="B137" s="46" t="s">
        <v>271</v>
      </c>
      <c r="C137" s="39" t="s">
        <v>411</v>
      </c>
      <c r="D137" s="142">
        <v>596724881</v>
      </c>
      <c r="E137" s="39" t="s">
        <v>256</v>
      </c>
      <c r="F137" s="81">
        <v>35329</v>
      </c>
      <c r="G137" s="105" t="str">
        <f t="shared" si="4"/>
        <v>Sep</v>
      </c>
      <c r="H137" s="51">
        <f t="shared" ca="1" si="5"/>
        <v>20</v>
      </c>
      <c r="I137" s="52" t="s">
        <v>257</v>
      </c>
      <c r="J137" s="53">
        <v>66740</v>
      </c>
      <c r="K137" s="54">
        <v>2</v>
      </c>
    </row>
    <row r="138" spans="1:13" hidden="1">
      <c r="A138" s="39" t="s">
        <v>419</v>
      </c>
      <c r="B138" s="46" t="s">
        <v>285</v>
      </c>
      <c r="C138" s="39" t="s">
        <v>417</v>
      </c>
      <c r="D138" s="142">
        <v>221497652</v>
      </c>
      <c r="E138" s="39" t="s">
        <v>261</v>
      </c>
      <c r="F138" s="81">
        <v>35070</v>
      </c>
      <c r="G138" s="105" t="str">
        <f t="shared" si="4"/>
        <v>Jan</v>
      </c>
      <c r="H138" s="51">
        <f t="shared" ca="1" si="5"/>
        <v>20</v>
      </c>
      <c r="I138" s="52" t="s">
        <v>276</v>
      </c>
      <c r="J138" s="53">
        <v>21220</v>
      </c>
      <c r="K138" s="54">
        <v>3</v>
      </c>
    </row>
    <row r="139" spans="1:13">
      <c r="A139" s="39" t="s">
        <v>416</v>
      </c>
      <c r="B139" s="46" t="s">
        <v>271</v>
      </c>
      <c r="C139" s="39" t="s">
        <v>417</v>
      </c>
      <c r="D139" s="142">
        <v>195394617</v>
      </c>
      <c r="E139" s="39" t="s">
        <v>256</v>
      </c>
      <c r="F139" s="81">
        <v>35084</v>
      </c>
      <c r="G139" s="105" t="str">
        <f t="shared" si="4"/>
        <v>Jan</v>
      </c>
      <c r="H139" s="51">
        <f t="shared" ca="1" si="5"/>
        <v>20</v>
      </c>
      <c r="I139" s="52" t="s">
        <v>276</v>
      </c>
      <c r="J139" s="53">
        <v>49260</v>
      </c>
      <c r="K139" s="54">
        <v>3</v>
      </c>
    </row>
    <row r="140" spans="1:13" hidden="1">
      <c r="A140" s="39" t="s">
        <v>418</v>
      </c>
      <c r="B140" s="46" t="s">
        <v>285</v>
      </c>
      <c r="C140" s="39" t="s">
        <v>417</v>
      </c>
      <c r="D140" s="142">
        <v>882261692</v>
      </c>
      <c r="E140" s="39" t="s">
        <v>247</v>
      </c>
      <c r="F140" s="81">
        <v>37641</v>
      </c>
      <c r="G140" s="105" t="str">
        <f t="shared" si="4"/>
        <v>Jan</v>
      </c>
      <c r="H140" s="51">
        <f t="shared" ca="1" si="5"/>
        <v>13</v>
      </c>
      <c r="I140" s="52"/>
      <c r="J140" s="53">
        <v>31970</v>
      </c>
      <c r="K140" s="54">
        <v>5</v>
      </c>
    </row>
    <row r="141" spans="1:13" hidden="1">
      <c r="A141" s="39" t="s">
        <v>445</v>
      </c>
      <c r="B141" s="46" t="s">
        <v>285</v>
      </c>
      <c r="C141" s="39" t="s">
        <v>417</v>
      </c>
      <c r="D141" s="142">
        <v>442972284</v>
      </c>
      <c r="E141" s="39" t="s">
        <v>261</v>
      </c>
      <c r="F141" s="81">
        <v>34755</v>
      </c>
      <c r="G141" s="105" t="str">
        <f t="shared" si="4"/>
        <v>Feb</v>
      </c>
      <c r="H141" s="51">
        <f t="shared" ca="1" si="5"/>
        <v>21</v>
      </c>
      <c r="I141" s="52" t="s">
        <v>267</v>
      </c>
      <c r="J141" s="53">
        <v>15005</v>
      </c>
      <c r="K141" s="54">
        <v>4</v>
      </c>
      <c r="M141" s="63"/>
    </row>
    <row r="142" spans="1:13">
      <c r="A142" s="39" t="s">
        <v>454</v>
      </c>
      <c r="B142" s="46" t="s">
        <v>271</v>
      </c>
      <c r="C142" s="39" t="s">
        <v>417</v>
      </c>
      <c r="D142" s="142">
        <v>165179030</v>
      </c>
      <c r="E142" s="39" t="s">
        <v>256</v>
      </c>
      <c r="F142" s="81">
        <v>37288</v>
      </c>
      <c r="G142" s="105" t="str">
        <f t="shared" si="4"/>
        <v>Feb</v>
      </c>
      <c r="H142" s="51">
        <f t="shared" ca="1" si="5"/>
        <v>14</v>
      </c>
      <c r="I142" s="52" t="s">
        <v>257</v>
      </c>
      <c r="J142" s="53">
        <v>42480</v>
      </c>
      <c r="K142" s="54">
        <v>3</v>
      </c>
    </row>
    <row r="143" spans="1:13" hidden="1">
      <c r="A143" s="39" t="s">
        <v>440</v>
      </c>
      <c r="B143" s="46" t="s">
        <v>285</v>
      </c>
      <c r="C143" s="39" t="s">
        <v>417</v>
      </c>
      <c r="D143" s="142">
        <v>980833346</v>
      </c>
      <c r="E143" s="39" t="s">
        <v>256</v>
      </c>
      <c r="F143" s="81">
        <v>38753</v>
      </c>
      <c r="G143" s="105" t="str">
        <f t="shared" si="4"/>
        <v>Feb</v>
      </c>
      <c r="H143" s="51">
        <f t="shared" ca="1" si="5"/>
        <v>10</v>
      </c>
      <c r="I143" s="52" t="s">
        <v>257</v>
      </c>
      <c r="J143" s="53">
        <v>22410</v>
      </c>
      <c r="K143" s="54">
        <v>4</v>
      </c>
    </row>
    <row r="144" spans="1:13">
      <c r="A144" s="39" t="s">
        <v>448</v>
      </c>
      <c r="B144" s="46" t="s">
        <v>271</v>
      </c>
      <c r="C144" s="39" t="s">
        <v>417</v>
      </c>
      <c r="D144" s="142">
        <v>705549975</v>
      </c>
      <c r="E144" s="39" t="s">
        <v>247</v>
      </c>
      <c r="F144" s="103">
        <v>40236</v>
      </c>
      <c r="G144" s="105" t="str">
        <f t="shared" si="4"/>
        <v>Feb</v>
      </c>
      <c r="H144" s="51">
        <f t="shared" ca="1" si="5"/>
        <v>6</v>
      </c>
      <c r="I144" s="52"/>
      <c r="J144" s="53">
        <v>45830</v>
      </c>
      <c r="K144" s="54">
        <v>4</v>
      </c>
    </row>
    <row r="145" spans="1:13" hidden="1">
      <c r="A145" s="39" t="s">
        <v>430</v>
      </c>
      <c r="B145" s="46" t="s">
        <v>245</v>
      </c>
      <c r="C145" s="39" t="s">
        <v>417</v>
      </c>
      <c r="D145" s="142">
        <v>301068136</v>
      </c>
      <c r="E145" s="39" t="s">
        <v>247</v>
      </c>
      <c r="F145" s="81">
        <v>34761</v>
      </c>
      <c r="G145" s="105" t="str">
        <f t="shared" si="4"/>
        <v>Mar</v>
      </c>
      <c r="H145" s="51">
        <f t="shared" ca="1" si="5"/>
        <v>21</v>
      </c>
      <c r="I145" s="52"/>
      <c r="J145" s="53">
        <v>45040</v>
      </c>
      <c r="K145" s="54">
        <v>5</v>
      </c>
    </row>
    <row r="146" spans="1:13">
      <c r="A146" s="39" t="s">
        <v>453</v>
      </c>
      <c r="B146" s="46" t="s">
        <v>271</v>
      </c>
      <c r="C146" s="39" t="s">
        <v>417</v>
      </c>
      <c r="D146" s="142">
        <v>301215667</v>
      </c>
      <c r="E146" s="39" t="s">
        <v>247</v>
      </c>
      <c r="F146" s="81">
        <v>34771</v>
      </c>
      <c r="G146" s="105" t="str">
        <f t="shared" si="4"/>
        <v>Mar</v>
      </c>
      <c r="H146" s="51">
        <f t="shared" ca="1" si="5"/>
        <v>21</v>
      </c>
      <c r="I146" s="52"/>
      <c r="J146" s="53">
        <v>26360</v>
      </c>
      <c r="K146" s="54">
        <v>4</v>
      </c>
    </row>
    <row r="147" spans="1:13" hidden="1">
      <c r="A147" s="39" t="s">
        <v>447</v>
      </c>
      <c r="B147" s="46" t="s">
        <v>285</v>
      </c>
      <c r="C147" s="39" t="s">
        <v>417</v>
      </c>
      <c r="D147" s="142">
        <v>535442436</v>
      </c>
      <c r="E147" s="39" t="s">
        <v>256</v>
      </c>
      <c r="F147" s="81">
        <v>35501</v>
      </c>
      <c r="G147" s="105" t="str">
        <f t="shared" si="4"/>
        <v>Mar</v>
      </c>
      <c r="H147" s="51">
        <f t="shared" ca="1" si="5"/>
        <v>19</v>
      </c>
      <c r="I147" s="52" t="s">
        <v>283</v>
      </c>
      <c r="J147" s="53">
        <v>37750</v>
      </c>
      <c r="K147" s="54">
        <v>5</v>
      </c>
    </row>
    <row r="148" spans="1:13">
      <c r="A148" s="39" t="s">
        <v>429</v>
      </c>
      <c r="B148" s="46" t="s">
        <v>271</v>
      </c>
      <c r="C148" s="39" t="s">
        <v>417</v>
      </c>
      <c r="D148" s="142">
        <v>580816855</v>
      </c>
      <c r="E148" s="39" t="s">
        <v>252</v>
      </c>
      <c r="F148" s="81">
        <v>39893</v>
      </c>
      <c r="G148" s="105" t="str">
        <f t="shared" si="4"/>
        <v>Mar</v>
      </c>
      <c r="H148" s="51">
        <f t="shared" ca="1" si="5"/>
        <v>7</v>
      </c>
      <c r="I148" s="52"/>
      <c r="J148" s="53">
        <v>15744</v>
      </c>
      <c r="K148" s="54">
        <v>3</v>
      </c>
    </row>
    <row r="149" spans="1:13" hidden="1">
      <c r="A149" s="39" t="s">
        <v>427</v>
      </c>
      <c r="B149" s="46" t="s">
        <v>266</v>
      </c>
      <c r="C149" s="39" t="s">
        <v>417</v>
      </c>
      <c r="D149" s="142">
        <v>986614610</v>
      </c>
      <c r="E149" s="39" t="s">
        <v>247</v>
      </c>
      <c r="F149" s="81">
        <v>40259</v>
      </c>
      <c r="G149" s="105" t="str">
        <f t="shared" si="4"/>
        <v>Mar</v>
      </c>
      <c r="H149" s="51">
        <f t="shared" ca="1" si="5"/>
        <v>6</v>
      </c>
      <c r="I149" s="52"/>
      <c r="J149" s="53">
        <v>45710</v>
      </c>
      <c r="K149" s="54">
        <v>3</v>
      </c>
    </row>
    <row r="150" spans="1:13" hidden="1">
      <c r="A150" s="39" t="s">
        <v>432</v>
      </c>
      <c r="B150" s="46" t="s">
        <v>245</v>
      </c>
      <c r="C150" s="39" t="s">
        <v>417</v>
      </c>
      <c r="D150" s="142">
        <v>838492284</v>
      </c>
      <c r="E150" s="39" t="s">
        <v>261</v>
      </c>
      <c r="F150" s="81">
        <v>33709</v>
      </c>
      <c r="G150" s="105" t="str">
        <f t="shared" si="4"/>
        <v>Apr</v>
      </c>
      <c r="H150" s="51">
        <f t="shared" ca="1" si="5"/>
        <v>24</v>
      </c>
      <c r="I150" s="52" t="s">
        <v>257</v>
      </c>
      <c r="J150" s="53">
        <v>34110</v>
      </c>
      <c r="K150" s="54">
        <v>4</v>
      </c>
      <c r="M150" s="63"/>
    </row>
    <row r="151" spans="1:13" hidden="1">
      <c r="A151" s="39" t="s">
        <v>450</v>
      </c>
      <c r="B151" s="46" t="s">
        <v>285</v>
      </c>
      <c r="C151" s="39" t="s">
        <v>417</v>
      </c>
      <c r="D151" s="142">
        <v>566341156</v>
      </c>
      <c r="E151" s="39" t="s">
        <v>256</v>
      </c>
      <c r="F151" s="81">
        <v>34086</v>
      </c>
      <c r="G151" s="105" t="str">
        <f t="shared" si="4"/>
        <v>Apr</v>
      </c>
      <c r="H151" s="51">
        <f t="shared" ca="1" si="5"/>
        <v>23</v>
      </c>
      <c r="I151" s="52" t="s">
        <v>257</v>
      </c>
      <c r="J151" s="53">
        <v>31840</v>
      </c>
      <c r="K151" s="54">
        <v>1</v>
      </c>
    </row>
    <row r="152" spans="1:13" hidden="1">
      <c r="A152" s="39" t="s">
        <v>436</v>
      </c>
      <c r="B152" s="46" t="s">
        <v>280</v>
      </c>
      <c r="C152" s="39" t="s">
        <v>417</v>
      </c>
      <c r="D152" s="142">
        <v>948682483</v>
      </c>
      <c r="E152" s="39" t="s">
        <v>252</v>
      </c>
      <c r="F152" s="81">
        <v>36263</v>
      </c>
      <c r="G152" s="105" t="str">
        <f t="shared" si="4"/>
        <v>Apr</v>
      </c>
      <c r="H152" s="51">
        <f t="shared" ca="1" si="5"/>
        <v>17</v>
      </c>
      <c r="I152" s="52"/>
      <c r="J152" s="53">
        <v>38768</v>
      </c>
      <c r="K152" s="54">
        <v>4</v>
      </c>
    </row>
    <row r="153" spans="1:13" hidden="1">
      <c r="A153" s="39" t="s">
        <v>433</v>
      </c>
      <c r="B153" s="46" t="s">
        <v>245</v>
      </c>
      <c r="C153" s="39" t="s">
        <v>417</v>
      </c>
      <c r="D153" s="142">
        <v>419764759</v>
      </c>
      <c r="E153" s="39" t="s">
        <v>256</v>
      </c>
      <c r="F153" s="81">
        <v>36643</v>
      </c>
      <c r="G153" s="105" t="str">
        <f t="shared" si="4"/>
        <v>Apr</v>
      </c>
      <c r="H153" s="51">
        <f t="shared" ca="1" si="5"/>
        <v>16</v>
      </c>
      <c r="I153" s="52" t="s">
        <v>283</v>
      </c>
      <c r="J153" s="53">
        <v>71380</v>
      </c>
      <c r="K153" s="54">
        <v>2</v>
      </c>
    </row>
    <row r="154" spans="1:13" hidden="1">
      <c r="A154" s="39" t="s">
        <v>423</v>
      </c>
      <c r="B154" s="46" t="s">
        <v>285</v>
      </c>
      <c r="C154" s="39" t="s">
        <v>417</v>
      </c>
      <c r="D154" s="142">
        <v>511039516</v>
      </c>
      <c r="E154" s="39" t="s">
        <v>261</v>
      </c>
      <c r="F154" s="81">
        <v>35186</v>
      </c>
      <c r="G154" s="105" t="str">
        <f t="shared" si="4"/>
        <v>May</v>
      </c>
      <c r="H154" s="51">
        <f t="shared" ca="1" si="5"/>
        <v>20</v>
      </c>
      <c r="I154" s="52" t="s">
        <v>276</v>
      </c>
      <c r="J154" s="53">
        <v>32835</v>
      </c>
      <c r="K154" s="54">
        <v>2</v>
      </c>
    </row>
    <row r="155" spans="1:13">
      <c r="A155" s="39" t="s">
        <v>426</v>
      </c>
      <c r="B155" s="46" t="s">
        <v>271</v>
      </c>
      <c r="C155" s="39" t="s">
        <v>417</v>
      </c>
      <c r="D155" s="142">
        <v>215074557</v>
      </c>
      <c r="E155" s="39" t="s">
        <v>247</v>
      </c>
      <c r="F155" s="81">
        <v>35939</v>
      </c>
      <c r="G155" s="105" t="str">
        <f t="shared" si="4"/>
        <v>May</v>
      </c>
      <c r="H155" s="51">
        <f t="shared" ca="1" si="5"/>
        <v>18</v>
      </c>
      <c r="I155" s="52"/>
      <c r="J155" s="53">
        <v>25120</v>
      </c>
      <c r="K155" s="54">
        <v>5</v>
      </c>
    </row>
    <row r="156" spans="1:13" hidden="1">
      <c r="A156" s="39" t="s">
        <v>437</v>
      </c>
      <c r="B156" s="46" t="s">
        <v>285</v>
      </c>
      <c r="C156" s="39" t="s">
        <v>417</v>
      </c>
      <c r="D156" s="142">
        <v>979525013</v>
      </c>
      <c r="E156" s="39" t="s">
        <v>256</v>
      </c>
      <c r="F156" s="81">
        <v>38135</v>
      </c>
      <c r="G156" s="105" t="str">
        <f t="shared" si="4"/>
        <v>May</v>
      </c>
      <c r="H156" s="51">
        <f t="shared" ca="1" si="5"/>
        <v>12</v>
      </c>
      <c r="I156" s="52" t="s">
        <v>267</v>
      </c>
      <c r="J156" s="53">
        <v>65560</v>
      </c>
      <c r="K156" s="54">
        <v>1</v>
      </c>
    </row>
    <row r="157" spans="1:13">
      <c r="A157" s="39" t="s">
        <v>428</v>
      </c>
      <c r="B157" s="46" t="s">
        <v>271</v>
      </c>
      <c r="C157" s="39" t="s">
        <v>417</v>
      </c>
      <c r="D157" s="142">
        <v>821386342</v>
      </c>
      <c r="E157" s="39" t="s">
        <v>256</v>
      </c>
      <c r="F157" s="81">
        <v>33405</v>
      </c>
      <c r="G157" s="105" t="str">
        <f t="shared" si="4"/>
        <v>Jun</v>
      </c>
      <c r="H157" s="51">
        <f t="shared" ca="1" si="5"/>
        <v>25</v>
      </c>
      <c r="I157" s="52" t="s">
        <v>283</v>
      </c>
      <c r="J157" s="53">
        <v>32140</v>
      </c>
      <c r="K157" s="54">
        <v>2</v>
      </c>
    </row>
    <row r="158" spans="1:13">
      <c r="A158" s="39" t="s">
        <v>438</v>
      </c>
      <c r="B158" s="46" t="s">
        <v>271</v>
      </c>
      <c r="C158" s="39" t="s">
        <v>417</v>
      </c>
      <c r="D158" s="142">
        <v>417292721</v>
      </c>
      <c r="E158" s="39" t="s">
        <v>256</v>
      </c>
      <c r="F158" s="81">
        <v>35605</v>
      </c>
      <c r="G158" s="105" t="str">
        <f t="shared" si="4"/>
        <v>Jun</v>
      </c>
      <c r="H158" s="51">
        <f t="shared" ca="1" si="5"/>
        <v>19</v>
      </c>
      <c r="I158" s="52" t="s">
        <v>283</v>
      </c>
      <c r="J158" s="53">
        <v>56870</v>
      </c>
      <c r="K158" s="54">
        <v>1</v>
      </c>
    </row>
    <row r="159" spans="1:13" hidden="1">
      <c r="A159" s="39" t="s">
        <v>439</v>
      </c>
      <c r="B159" s="46" t="s">
        <v>280</v>
      </c>
      <c r="C159" s="39" t="s">
        <v>417</v>
      </c>
      <c r="D159" s="142">
        <v>761404774</v>
      </c>
      <c r="E159" s="39" t="s">
        <v>256</v>
      </c>
      <c r="F159" s="81">
        <v>33079</v>
      </c>
      <c r="G159" s="105" t="str">
        <f t="shared" si="4"/>
        <v>Jul</v>
      </c>
      <c r="H159" s="51">
        <f t="shared" ca="1" si="5"/>
        <v>26</v>
      </c>
      <c r="I159" s="52" t="s">
        <v>276</v>
      </c>
      <c r="J159" s="53">
        <v>32360</v>
      </c>
      <c r="K159" s="54">
        <v>4</v>
      </c>
    </row>
    <row r="160" spans="1:13" hidden="1">
      <c r="A160" s="39" t="s">
        <v>431</v>
      </c>
      <c r="B160" s="46" t="s">
        <v>285</v>
      </c>
      <c r="C160" s="39" t="s">
        <v>417</v>
      </c>
      <c r="D160" s="142">
        <v>351466618</v>
      </c>
      <c r="E160" s="39" t="s">
        <v>247</v>
      </c>
      <c r="F160" s="81">
        <v>33424</v>
      </c>
      <c r="G160" s="105" t="str">
        <f t="shared" si="4"/>
        <v>Jul</v>
      </c>
      <c r="H160" s="51">
        <f t="shared" ca="1" si="5"/>
        <v>25</v>
      </c>
      <c r="I160" s="52"/>
      <c r="J160" s="53">
        <v>22320</v>
      </c>
      <c r="K160" s="54">
        <v>2</v>
      </c>
    </row>
    <row r="161" spans="1:11" hidden="1">
      <c r="A161" s="39" t="s">
        <v>444</v>
      </c>
      <c r="B161" s="46" t="s">
        <v>245</v>
      </c>
      <c r="C161" s="39" t="s">
        <v>417</v>
      </c>
      <c r="D161" s="142">
        <v>206836754</v>
      </c>
      <c r="E161" s="39" t="s">
        <v>247</v>
      </c>
      <c r="F161" s="81">
        <v>34161</v>
      </c>
      <c r="G161" s="105" t="str">
        <f t="shared" si="4"/>
        <v>Jul</v>
      </c>
      <c r="H161" s="51">
        <f t="shared" ca="1" si="5"/>
        <v>23</v>
      </c>
      <c r="I161" s="52"/>
      <c r="J161" s="53">
        <v>64090</v>
      </c>
      <c r="K161" s="54">
        <v>2</v>
      </c>
    </row>
    <row r="162" spans="1:11" hidden="1">
      <c r="A162" s="39" t="s">
        <v>425</v>
      </c>
      <c r="B162" s="46" t="s">
        <v>285</v>
      </c>
      <c r="C162" s="39" t="s">
        <v>417</v>
      </c>
      <c r="D162" s="142">
        <v>306656146</v>
      </c>
      <c r="E162" s="39" t="s">
        <v>256</v>
      </c>
      <c r="F162" s="81">
        <v>35253</v>
      </c>
      <c r="G162" s="105" t="str">
        <f t="shared" si="4"/>
        <v>Jul</v>
      </c>
      <c r="H162" s="51">
        <f t="shared" ca="1" si="5"/>
        <v>20</v>
      </c>
      <c r="I162" s="52" t="s">
        <v>257</v>
      </c>
      <c r="J162" s="53">
        <v>63780</v>
      </c>
      <c r="K162" s="54">
        <v>5</v>
      </c>
    </row>
    <row r="163" spans="1:11" hidden="1">
      <c r="A163" s="39" t="s">
        <v>446</v>
      </c>
      <c r="B163" s="46" t="s">
        <v>251</v>
      </c>
      <c r="C163" s="39" t="s">
        <v>417</v>
      </c>
      <c r="D163" s="142">
        <v>467505582</v>
      </c>
      <c r="E163" s="39" t="s">
        <v>256</v>
      </c>
      <c r="F163" s="81">
        <v>35989</v>
      </c>
      <c r="G163" s="105" t="str">
        <f t="shared" si="4"/>
        <v>Jul</v>
      </c>
      <c r="H163" s="51">
        <f t="shared" ca="1" si="5"/>
        <v>18</v>
      </c>
      <c r="I163" s="52" t="s">
        <v>262</v>
      </c>
      <c r="J163" s="53">
        <v>71010</v>
      </c>
      <c r="K163" s="54">
        <v>5</v>
      </c>
    </row>
    <row r="164" spans="1:11" hidden="1">
      <c r="A164" s="39" t="s">
        <v>452</v>
      </c>
      <c r="B164" s="46" t="s">
        <v>285</v>
      </c>
      <c r="C164" s="39" t="s">
        <v>417</v>
      </c>
      <c r="D164" s="142">
        <v>450582040</v>
      </c>
      <c r="E164" s="39" t="s">
        <v>247</v>
      </c>
      <c r="F164" s="81">
        <v>34912</v>
      </c>
      <c r="G164" s="105" t="str">
        <f t="shared" si="4"/>
        <v>Aug</v>
      </c>
      <c r="H164" s="51">
        <f t="shared" ca="1" si="5"/>
        <v>21</v>
      </c>
      <c r="I164" s="52"/>
      <c r="J164" s="53">
        <v>40560</v>
      </c>
      <c r="K164" s="54">
        <v>5</v>
      </c>
    </row>
    <row r="165" spans="1:11" hidden="1">
      <c r="A165" s="39" t="s">
        <v>449</v>
      </c>
      <c r="B165" s="46" t="s">
        <v>251</v>
      </c>
      <c r="C165" s="39" t="s">
        <v>417</v>
      </c>
      <c r="D165" s="142">
        <v>924021148</v>
      </c>
      <c r="E165" s="39" t="s">
        <v>247</v>
      </c>
      <c r="F165" s="81">
        <v>40054</v>
      </c>
      <c r="G165" s="105" t="str">
        <f t="shared" si="4"/>
        <v>Aug</v>
      </c>
      <c r="H165" s="51">
        <f t="shared" ca="1" si="5"/>
        <v>7</v>
      </c>
      <c r="I165" s="52"/>
      <c r="J165" s="53">
        <v>56920</v>
      </c>
      <c r="K165" s="54">
        <v>4</v>
      </c>
    </row>
    <row r="166" spans="1:11">
      <c r="A166" s="39" t="s">
        <v>424</v>
      </c>
      <c r="B166" s="46" t="s">
        <v>271</v>
      </c>
      <c r="C166" s="39" t="s">
        <v>417</v>
      </c>
      <c r="D166" s="142">
        <v>938838840</v>
      </c>
      <c r="E166" s="39" t="s">
        <v>256</v>
      </c>
      <c r="F166" s="81">
        <v>40399</v>
      </c>
      <c r="G166" s="105" t="str">
        <f t="shared" si="4"/>
        <v>Aug</v>
      </c>
      <c r="H166" s="51">
        <f t="shared" ca="1" si="5"/>
        <v>6</v>
      </c>
      <c r="I166" s="52" t="s">
        <v>267</v>
      </c>
      <c r="J166" s="53">
        <v>32640</v>
      </c>
      <c r="K166" s="54">
        <v>4</v>
      </c>
    </row>
    <row r="167" spans="1:11">
      <c r="A167" s="39" t="s">
        <v>441</v>
      </c>
      <c r="B167" s="46" t="s">
        <v>271</v>
      </c>
      <c r="C167" s="39" t="s">
        <v>417</v>
      </c>
      <c r="D167" s="142">
        <v>293180812</v>
      </c>
      <c r="E167" s="39" t="s">
        <v>256</v>
      </c>
      <c r="F167" s="81">
        <v>33117</v>
      </c>
      <c r="G167" s="105" t="str">
        <f t="shared" si="4"/>
        <v>Sep</v>
      </c>
      <c r="H167" s="51">
        <f t="shared" ca="1" si="5"/>
        <v>26</v>
      </c>
      <c r="I167" s="52" t="s">
        <v>267</v>
      </c>
      <c r="J167" s="53">
        <v>35360</v>
      </c>
      <c r="K167" s="54">
        <v>5</v>
      </c>
    </row>
    <row r="168" spans="1:11" hidden="1">
      <c r="A168" s="39" t="s">
        <v>421</v>
      </c>
      <c r="B168" s="46" t="s">
        <v>280</v>
      </c>
      <c r="C168" s="39" t="s">
        <v>417</v>
      </c>
      <c r="D168" s="142">
        <v>532008427</v>
      </c>
      <c r="E168" s="39" t="s">
        <v>256</v>
      </c>
      <c r="F168" s="81">
        <v>33872</v>
      </c>
      <c r="G168" s="105" t="str">
        <f t="shared" si="4"/>
        <v>Sep</v>
      </c>
      <c r="H168" s="51">
        <f t="shared" ca="1" si="5"/>
        <v>24</v>
      </c>
      <c r="I168" s="52" t="s">
        <v>257</v>
      </c>
      <c r="J168" s="53">
        <v>64510</v>
      </c>
      <c r="K168" s="54">
        <v>3</v>
      </c>
    </row>
    <row r="169" spans="1:11">
      <c r="A169" s="39" t="s">
        <v>451</v>
      </c>
      <c r="B169" s="46" t="s">
        <v>271</v>
      </c>
      <c r="C169" s="39" t="s">
        <v>417</v>
      </c>
      <c r="D169" s="142">
        <v>606035571</v>
      </c>
      <c r="E169" s="39" t="s">
        <v>256</v>
      </c>
      <c r="F169" s="81">
        <v>34213</v>
      </c>
      <c r="G169" s="105" t="str">
        <f t="shared" si="4"/>
        <v>Sep</v>
      </c>
      <c r="H169" s="51">
        <f t="shared" ca="1" si="5"/>
        <v>23</v>
      </c>
      <c r="I169" s="52" t="s">
        <v>257</v>
      </c>
      <c r="J169" s="53">
        <v>72900</v>
      </c>
      <c r="K169" s="54">
        <v>3</v>
      </c>
    </row>
    <row r="170" spans="1:11" hidden="1">
      <c r="A170" s="39" t="s">
        <v>435</v>
      </c>
      <c r="B170" s="46" t="s">
        <v>280</v>
      </c>
      <c r="C170" s="39" t="s">
        <v>417</v>
      </c>
      <c r="D170" s="142">
        <v>730750253</v>
      </c>
      <c r="E170" s="39" t="s">
        <v>256</v>
      </c>
      <c r="F170" s="81">
        <v>36414</v>
      </c>
      <c r="G170" s="105" t="str">
        <f t="shared" si="4"/>
        <v>Sep</v>
      </c>
      <c r="H170" s="51">
        <f t="shared" ca="1" si="5"/>
        <v>17</v>
      </c>
      <c r="I170" s="52" t="s">
        <v>276</v>
      </c>
      <c r="J170" s="53">
        <v>39680</v>
      </c>
      <c r="K170" s="54">
        <v>5</v>
      </c>
    </row>
    <row r="171" spans="1:11" hidden="1">
      <c r="A171" s="39" t="s">
        <v>420</v>
      </c>
      <c r="B171" s="46" t="s">
        <v>251</v>
      </c>
      <c r="C171" s="39" t="s">
        <v>417</v>
      </c>
      <c r="D171" s="142">
        <v>140093756</v>
      </c>
      <c r="E171" s="39" t="s">
        <v>256</v>
      </c>
      <c r="F171" s="81">
        <v>36082</v>
      </c>
      <c r="G171" s="105" t="str">
        <f t="shared" si="4"/>
        <v>Oct</v>
      </c>
      <c r="H171" s="51">
        <f t="shared" ca="1" si="5"/>
        <v>18</v>
      </c>
      <c r="I171" s="52" t="s">
        <v>283</v>
      </c>
      <c r="J171" s="53">
        <v>82400</v>
      </c>
      <c r="K171" s="54">
        <v>2</v>
      </c>
    </row>
    <row r="172" spans="1:11" hidden="1">
      <c r="A172" s="39" t="s">
        <v>443</v>
      </c>
      <c r="B172" s="46" t="s">
        <v>285</v>
      </c>
      <c r="C172" s="39" t="s">
        <v>417</v>
      </c>
      <c r="D172" s="142">
        <v>730371043</v>
      </c>
      <c r="E172" s="39" t="s">
        <v>256</v>
      </c>
      <c r="F172" s="81">
        <v>40470</v>
      </c>
      <c r="G172" s="105" t="str">
        <f t="shared" si="4"/>
        <v>Oct</v>
      </c>
      <c r="H172" s="51">
        <f t="shared" ca="1" si="5"/>
        <v>6</v>
      </c>
      <c r="I172" s="52" t="s">
        <v>283</v>
      </c>
      <c r="J172" s="53">
        <v>42620</v>
      </c>
      <c r="K172" s="54">
        <v>3</v>
      </c>
    </row>
    <row r="173" spans="1:11" hidden="1">
      <c r="A173" s="39" t="s">
        <v>434</v>
      </c>
      <c r="B173" s="46" t="s">
        <v>251</v>
      </c>
      <c r="C173" s="39" t="s">
        <v>417</v>
      </c>
      <c r="D173" s="142">
        <v>976480466</v>
      </c>
      <c r="E173" s="39" t="s">
        <v>256</v>
      </c>
      <c r="F173" s="81">
        <v>33923</v>
      </c>
      <c r="G173" s="105" t="str">
        <f t="shared" si="4"/>
        <v>Nov</v>
      </c>
      <c r="H173" s="51">
        <f t="shared" ca="1" si="5"/>
        <v>23</v>
      </c>
      <c r="I173" s="52" t="s">
        <v>283</v>
      </c>
      <c r="J173" s="53">
        <v>46340</v>
      </c>
      <c r="K173" s="54">
        <v>5</v>
      </c>
    </row>
    <row r="174" spans="1:11">
      <c r="A174" s="39" t="s">
        <v>422</v>
      </c>
      <c r="B174" s="46" t="s">
        <v>271</v>
      </c>
      <c r="C174" s="39" t="s">
        <v>417</v>
      </c>
      <c r="D174" s="142">
        <v>438190945</v>
      </c>
      <c r="E174" s="39" t="s">
        <v>261</v>
      </c>
      <c r="F174" s="81">
        <v>39768</v>
      </c>
      <c r="G174" s="105" t="str">
        <f t="shared" si="4"/>
        <v>Nov</v>
      </c>
      <c r="H174" s="51">
        <f t="shared" ca="1" si="5"/>
        <v>7</v>
      </c>
      <c r="I174" s="52" t="s">
        <v>257</v>
      </c>
      <c r="J174" s="53">
        <v>39515</v>
      </c>
      <c r="K174" s="54">
        <v>5</v>
      </c>
    </row>
    <row r="175" spans="1:11">
      <c r="A175" s="39" t="s">
        <v>442</v>
      </c>
      <c r="B175" s="46" t="s">
        <v>271</v>
      </c>
      <c r="C175" s="39" t="s">
        <v>417</v>
      </c>
      <c r="D175" s="142">
        <v>467098416</v>
      </c>
      <c r="E175" s="39" t="s">
        <v>247</v>
      </c>
      <c r="F175" s="81">
        <v>33949</v>
      </c>
      <c r="G175" s="105" t="str">
        <f t="shared" si="4"/>
        <v>Dec</v>
      </c>
      <c r="H175" s="51">
        <f t="shared" ca="1" si="5"/>
        <v>23</v>
      </c>
      <c r="I175" s="52"/>
      <c r="J175" s="53">
        <v>81070</v>
      </c>
      <c r="K175" s="54">
        <v>5</v>
      </c>
    </row>
    <row r="176" spans="1:11">
      <c r="A176" s="39" t="s">
        <v>463</v>
      </c>
      <c r="B176" s="46" t="s">
        <v>271</v>
      </c>
      <c r="C176" s="39" t="s">
        <v>456</v>
      </c>
      <c r="D176" s="142">
        <v>405706135</v>
      </c>
      <c r="E176" s="39" t="s">
        <v>261</v>
      </c>
      <c r="F176" s="81">
        <v>34401</v>
      </c>
      <c r="G176" s="105" t="str">
        <f t="shared" si="4"/>
        <v>Mar</v>
      </c>
      <c r="H176" s="51">
        <f t="shared" ca="1" si="5"/>
        <v>22</v>
      </c>
      <c r="I176" s="52" t="s">
        <v>267</v>
      </c>
      <c r="J176" s="53">
        <v>89780</v>
      </c>
      <c r="K176" s="54">
        <v>4</v>
      </c>
    </row>
    <row r="177" spans="1:11" hidden="1">
      <c r="A177" s="39" t="s">
        <v>455</v>
      </c>
      <c r="B177" s="46" t="s">
        <v>251</v>
      </c>
      <c r="C177" s="39" t="s">
        <v>456</v>
      </c>
      <c r="D177" s="142">
        <v>283573256</v>
      </c>
      <c r="E177" s="39" t="s">
        <v>247</v>
      </c>
      <c r="F177" s="81">
        <v>40263</v>
      </c>
      <c r="G177" s="105" t="str">
        <f t="shared" si="4"/>
        <v>Mar</v>
      </c>
      <c r="H177" s="51">
        <f t="shared" ca="1" si="5"/>
        <v>6</v>
      </c>
      <c r="I177" s="52" t="s">
        <v>267</v>
      </c>
      <c r="J177" s="53">
        <v>71190</v>
      </c>
      <c r="K177" s="54">
        <v>4</v>
      </c>
    </row>
    <row r="178" spans="1:11">
      <c r="A178" s="39" t="s">
        <v>462</v>
      </c>
      <c r="B178" s="46" t="s">
        <v>271</v>
      </c>
      <c r="C178" s="39" t="s">
        <v>456</v>
      </c>
      <c r="D178" s="142">
        <v>358333151</v>
      </c>
      <c r="E178" s="39" t="s">
        <v>256</v>
      </c>
      <c r="F178" s="81">
        <v>33385</v>
      </c>
      <c r="G178" s="105" t="str">
        <f t="shared" si="4"/>
        <v>May</v>
      </c>
      <c r="H178" s="51">
        <f t="shared" ca="1" si="5"/>
        <v>25</v>
      </c>
      <c r="I178" s="52" t="s">
        <v>257</v>
      </c>
      <c r="J178" s="53">
        <v>89140</v>
      </c>
      <c r="K178" s="54">
        <v>1</v>
      </c>
    </row>
    <row r="179" spans="1:11" hidden="1">
      <c r="A179" s="39" t="s">
        <v>461</v>
      </c>
      <c r="B179" s="46" t="s">
        <v>280</v>
      </c>
      <c r="C179" s="39" t="s">
        <v>456</v>
      </c>
      <c r="D179" s="142">
        <v>626066280</v>
      </c>
      <c r="E179" s="39" t="s">
        <v>247</v>
      </c>
      <c r="F179" s="81">
        <v>36673</v>
      </c>
      <c r="G179" s="105" t="str">
        <f t="shared" si="4"/>
        <v>May</v>
      </c>
      <c r="H179" s="51">
        <f t="shared" ca="1" si="5"/>
        <v>16</v>
      </c>
      <c r="I179" s="52" t="s">
        <v>283</v>
      </c>
      <c r="J179" s="53">
        <v>69410</v>
      </c>
      <c r="K179" s="54">
        <v>4</v>
      </c>
    </row>
    <row r="180" spans="1:11" hidden="1">
      <c r="A180" s="39" t="s">
        <v>460</v>
      </c>
      <c r="B180" s="46" t="s">
        <v>280</v>
      </c>
      <c r="C180" s="39" t="s">
        <v>456</v>
      </c>
      <c r="D180" s="142">
        <v>610781822</v>
      </c>
      <c r="E180" s="39" t="s">
        <v>256</v>
      </c>
      <c r="F180" s="81">
        <v>37043</v>
      </c>
      <c r="G180" s="105" t="str">
        <f t="shared" si="4"/>
        <v>Jun</v>
      </c>
      <c r="H180" s="51">
        <f t="shared" ca="1" si="5"/>
        <v>15</v>
      </c>
      <c r="I180" s="52" t="s">
        <v>262</v>
      </c>
      <c r="J180" s="53">
        <v>45150</v>
      </c>
      <c r="K180" s="54">
        <v>1</v>
      </c>
    </row>
    <row r="181" spans="1:11" hidden="1">
      <c r="A181" s="39" t="s">
        <v>459</v>
      </c>
      <c r="B181" s="46" t="s">
        <v>285</v>
      </c>
      <c r="C181" s="39" t="s">
        <v>456</v>
      </c>
      <c r="D181" s="142">
        <v>717068873</v>
      </c>
      <c r="E181" s="39" t="s">
        <v>261</v>
      </c>
      <c r="F181" s="81">
        <v>37505</v>
      </c>
      <c r="G181" s="105" t="str">
        <f t="shared" si="4"/>
        <v>Sep</v>
      </c>
      <c r="H181" s="51">
        <f t="shared" ca="1" si="5"/>
        <v>14</v>
      </c>
      <c r="I181" s="52" t="s">
        <v>276</v>
      </c>
      <c r="J181" s="53">
        <v>51800</v>
      </c>
      <c r="K181" s="54">
        <v>1</v>
      </c>
    </row>
    <row r="182" spans="1:11" hidden="1">
      <c r="A182" s="39" t="s">
        <v>458</v>
      </c>
      <c r="B182" s="46" t="s">
        <v>285</v>
      </c>
      <c r="C182" s="39" t="s">
        <v>456</v>
      </c>
      <c r="D182" s="142">
        <v>439846524</v>
      </c>
      <c r="E182" s="39" t="s">
        <v>252</v>
      </c>
      <c r="F182" s="81">
        <v>37946</v>
      </c>
      <c r="G182" s="105" t="str">
        <f t="shared" si="4"/>
        <v>Nov</v>
      </c>
      <c r="H182" s="51">
        <f t="shared" ca="1" si="5"/>
        <v>12</v>
      </c>
      <c r="I182" s="52" t="s">
        <v>257</v>
      </c>
      <c r="J182" s="53">
        <v>85130</v>
      </c>
      <c r="K182" s="54">
        <v>5</v>
      </c>
    </row>
    <row r="183" spans="1:11">
      <c r="A183" s="39" t="s">
        <v>457</v>
      </c>
      <c r="B183" s="46" t="s">
        <v>271</v>
      </c>
      <c r="C183" s="39" t="s">
        <v>456</v>
      </c>
      <c r="D183" s="142">
        <v>643398021</v>
      </c>
      <c r="E183" s="39" t="s">
        <v>252</v>
      </c>
      <c r="F183" s="81">
        <v>36519</v>
      </c>
      <c r="G183" s="105" t="str">
        <f t="shared" si="4"/>
        <v>Dec</v>
      </c>
      <c r="H183" s="51">
        <f t="shared" ca="1" si="5"/>
        <v>16</v>
      </c>
      <c r="I183" s="52" t="s">
        <v>283</v>
      </c>
      <c r="J183" s="53">
        <v>61860</v>
      </c>
      <c r="K183" s="54">
        <v>5</v>
      </c>
    </row>
    <row r="184" spans="1:11" hidden="1">
      <c r="A184" s="39" t="s">
        <v>585</v>
      </c>
      <c r="B184" s="46" t="s">
        <v>285</v>
      </c>
      <c r="C184" s="39" t="s">
        <v>465</v>
      </c>
      <c r="D184" s="142">
        <v>388927074</v>
      </c>
      <c r="E184" s="39" t="s">
        <v>256</v>
      </c>
      <c r="F184" s="81">
        <v>33613</v>
      </c>
      <c r="G184" s="105" t="str">
        <f t="shared" si="4"/>
        <v>Jan</v>
      </c>
      <c r="H184" s="51">
        <f t="shared" ca="1" si="5"/>
        <v>24</v>
      </c>
      <c r="I184" s="52" t="s">
        <v>586</v>
      </c>
      <c r="J184" s="53">
        <v>56900</v>
      </c>
      <c r="K184" s="54">
        <v>5</v>
      </c>
    </row>
    <row r="185" spans="1:11">
      <c r="A185" s="39" t="s">
        <v>491</v>
      </c>
      <c r="B185" s="46" t="s">
        <v>271</v>
      </c>
      <c r="C185" s="39" t="s">
        <v>465</v>
      </c>
      <c r="D185" s="142">
        <v>489412017</v>
      </c>
      <c r="E185" s="39" t="s">
        <v>256</v>
      </c>
      <c r="F185" s="81">
        <v>33631</v>
      </c>
      <c r="G185" s="105" t="str">
        <f t="shared" si="4"/>
        <v>Jan</v>
      </c>
      <c r="H185" s="51">
        <f t="shared" ca="1" si="5"/>
        <v>24</v>
      </c>
      <c r="I185" s="52" t="s">
        <v>257</v>
      </c>
      <c r="J185" s="53">
        <v>52940</v>
      </c>
      <c r="K185" s="54">
        <v>4</v>
      </c>
    </row>
    <row r="186" spans="1:11">
      <c r="A186" s="39" t="s">
        <v>577</v>
      </c>
      <c r="B186" s="46" t="s">
        <v>271</v>
      </c>
      <c r="C186" s="39" t="s">
        <v>465</v>
      </c>
      <c r="D186" s="142">
        <v>112137669</v>
      </c>
      <c r="E186" s="39" t="s">
        <v>247</v>
      </c>
      <c r="F186" s="81">
        <v>33979</v>
      </c>
      <c r="G186" s="105" t="str">
        <f t="shared" si="4"/>
        <v>Jan</v>
      </c>
      <c r="H186" s="51">
        <f t="shared" ca="1" si="5"/>
        <v>23</v>
      </c>
      <c r="I186" s="52"/>
      <c r="J186" s="53">
        <v>73990</v>
      </c>
      <c r="K186" s="54">
        <v>3</v>
      </c>
    </row>
    <row r="187" spans="1:11">
      <c r="A187" s="39" t="s">
        <v>598</v>
      </c>
      <c r="B187" s="46" t="s">
        <v>271</v>
      </c>
      <c r="C187" s="39" t="s">
        <v>465</v>
      </c>
      <c r="D187" s="142">
        <v>307260353</v>
      </c>
      <c r="E187" s="39" t="s">
        <v>256</v>
      </c>
      <c r="F187" s="81">
        <v>33993</v>
      </c>
      <c r="G187" s="105" t="str">
        <f t="shared" si="4"/>
        <v>Jan</v>
      </c>
      <c r="H187" s="51">
        <f t="shared" ca="1" si="5"/>
        <v>23</v>
      </c>
      <c r="I187" s="52" t="s">
        <v>283</v>
      </c>
      <c r="J187" s="53">
        <v>45500</v>
      </c>
      <c r="K187" s="54">
        <v>3</v>
      </c>
    </row>
    <row r="188" spans="1:11">
      <c r="A188" s="39" t="s">
        <v>542</v>
      </c>
      <c r="B188" s="46" t="s">
        <v>271</v>
      </c>
      <c r="C188" s="39" t="s">
        <v>465</v>
      </c>
      <c r="D188" s="142">
        <v>332778672</v>
      </c>
      <c r="E188" s="39" t="s">
        <v>247</v>
      </c>
      <c r="F188" s="81">
        <v>35451</v>
      </c>
      <c r="G188" s="105" t="str">
        <f t="shared" si="4"/>
        <v>Jan</v>
      </c>
      <c r="H188" s="51">
        <f t="shared" ca="1" si="5"/>
        <v>19</v>
      </c>
      <c r="I188" s="52"/>
      <c r="J188" s="53">
        <v>42150</v>
      </c>
      <c r="K188" s="54">
        <v>5</v>
      </c>
    </row>
    <row r="189" spans="1:11" hidden="1">
      <c r="A189" s="39" t="s">
        <v>605</v>
      </c>
      <c r="B189" s="46" t="s">
        <v>251</v>
      </c>
      <c r="C189" s="39" t="s">
        <v>465</v>
      </c>
      <c r="D189" s="142">
        <v>359077899</v>
      </c>
      <c r="E189" s="39" t="s">
        <v>256</v>
      </c>
      <c r="F189" s="81">
        <v>35801</v>
      </c>
      <c r="G189" s="105" t="str">
        <f t="shared" si="4"/>
        <v>Jan</v>
      </c>
      <c r="H189" s="51">
        <f t="shared" ca="1" si="5"/>
        <v>18</v>
      </c>
      <c r="I189" s="52" t="s">
        <v>257</v>
      </c>
      <c r="J189" s="53">
        <v>78570</v>
      </c>
      <c r="K189" s="54">
        <v>1</v>
      </c>
    </row>
    <row r="190" spans="1:11" hidden="1">
      <c r="A190" s="39" t="s">
        <v>471</v>
      </c>
      <c r="B190" s="46" t="s">
        <v>251</v>
      </c>
      <c r="C190" s="39" t="s">
        <v>465</v>
      </c>
      <c r="D190" s="142">
        <v>340046171</v>
      </c>
      <c r="E190" s="39" t="s">
        <v>261</v>
      </c>
      <c r="F190" s="81">
        <v>35807</v>
      </c>
      <c r="G190" s="105" t="str">
        <f t="shared" si="4"/>
        <v>Jan</v>
      </c>
      <c r="H190" s="51">
        <f t="shared" ca="1" si="5"/>
        <v>18</v>
      </c>
      <c r="I190" s="52" t="s">
        <v>257</v>
      </c>
      <c r="J190" s="53">
        <v>48835</v>
      </c>
      <c r="K190" s="54">
        <v>5</v>
      </c>
    </row>
    <row r="191" spans="1:11">
      <c r="A191" s="39" t="s">
        <v>556</v>
      </c>
      <c r="B191" s="46" t="s">
        <v>271</v>
      </c>
      <c r="C191" s="39" t="s">
        <v>465</v>
      </c>
      <c r="D191" s="142">
        <v>951648305</v>
      </c>
      <c r="E191" s="39" t="s">
        <v>261</v>
      </c>
      <c r="F191" s="81">
        <v>36177</v>
      </c>
      <c r="G191" s="105" t="str">
        <f t="shared" si="4"/>
        <v>Jan</v>
      </c>
      <c r="H191" s="51">
        <f t="shared" ca="1" si="5"/>
        <v>17</v>
      </c>
      <c r="I191" s="52" t="s">
        <v>267</v>
      </c>
      <c r="J191" s="53">
        <v>21670</v>
      </c>
      <c r="K191" s="54">
        <v>2</v>
      </c>
    </row>
    <row r="192" spans="1:11">
      <c r="A192" s="39" t="s">
        <v>569</v>
      </c>
      <c r="B192" s="46" t="s">
        <v>271</v>
      </c>
      <c r="C192" s="39" t="s">
        <v>465</v>
      </c>
      <c r="D192" s="142">
        <v>898542550</v>
      </c>
      <c r="E192" s="39" t="s">
        <v>256</v>
      </c>
      <c r="F192" s="81">
        <v>36535</v>
      </c>
      <c r="G192" s="105" t="str">
        <f t="shared" si="4"/>
        <v>Jan</v>
      </c>
      <c r="H192" s="51">
        <f t="shared" ca="1" si="5"/>
        <v>16</v>
      </c>
      <c r="I192" s="52" t="s">
        <v>257</v>
      </c>
      <c r="J192" s="53">
        <v>76192</v>
      </c>
      <c r="K192" s="54">
        <v>4</v>
      </c>
    </row>
    <row r="193" spans="1:11" hidden="1">
      <c r="A193" s="39" t="s">
        <v>588</v>
      </c>
      <c r="B193" s="46" t="s">
        <v>285</v>
      </c>
      <c r="C193" s="39" t="s">
        <v>465</v>
      </c>
      <c r="D193" s="142">
        <v>926056673</v>
      </c>
      <c r="E193" s="39" t="s">
        <v>247</v>
      </c>
      <c r="F193" s="81">
        <v>37634</v>
      </c>
      <c r="G193" s="105" t="str">
        <f t="shared" si="4"/>
        <v>Jan</v>
      </c>
      <c r="H193" s="51">
        <f t="shared" ca="1" si="5"/>
        <v>13</v>
      </c>
      <c r="I193" s="52"/>
      <c r="J193" s="53">
        <v>61370</v>
      </c>
      <c r="K193" s="54">
        <v>3</v>
      </c>
    </row>
    <row r="194" spans="1:11" hidden="1">
      <c r="A194" s="39" t="s">
        <v>499</v>
      </c>
      <c r="B194" s="46" t="s">
        <v>280</v>
      </c>
      <c r="C194" s="39" t="s">
        <v>465</v>
      </c>
      <c r="D194" s="142">
        <v>359916618</v>
      </c>
      <c r="E194" s="39" t="s">
        <v>256</v>
      </c>
      <c r="F194" s="81">
        <v>38377</v>
      </c>
      <c r="G194" s="105" t="str">
        <f t="shared" ref="G194:G257" si="6">CHOOSE(MONTH(F194),"Jan","Feb","Mar","Apr","May","Jun","Jul","Aug","Sep","Oct","Nov","Dec")</f>
        <v>Jan</v>
      </c>
      <c r="H194" s="51">
        <f t="shared" ref="H194:H257" ca="1" si="7">DATEDIF(F194,TODAY(),"Y")</f>
        <v>11</v>
      </c>
      <c r="I194" s="52" t="s">
        <v>257</v>
      </c>
      <c r="J194" s="53">
        <v>41060</v>
      </c>
      <c r="K194" s="54">
        <v>3</v>
      </c>
    </row>
    <row r="195" spans="1:11" hidden="1">
      <c r="A195" s="39" t="s">
        <v>608</v>
      </c>
      <c r="B195" s="46" t="s">
        <v>285</v>
      </c>
      <c r="C195" s="39" t="s">
        <v>465</v>
      </c>
      <c r="D195" s="142">
        <v>918123448</v>
      </c>
      <c r="E195" s="39" t="s">
        <v>256</v>
      </c>
      <c r="F195" s="81">
        <v>38377</v>
      </c>
      <c r="G195" s="105" t="str">
        <f t="shared" si="6"/>
        <v>Jan</v>
      </c>
      <c r="H195" s="51">
        <f t="shared" ca="1" si="7"/>
        <v>11</v>
      </c>
      <c r="I195" s="52" t="s">
        <v>257</v>
      </c>
      <c r="J195" s="53">
        <v>87760</v>
      </c>
      <c r="K195" s="54">
        <v>1</v>
      </c>
    </row>
    <row r="196" spans="1:11" hidden="1">
      <c r="A196" s="39" t="s">
        <v>507</v>
      </c>
      <c r="B196" s="46" t="s">
        <v>245</v>
      </c>
      <c r="C196" s="39" t="s">
        <v>465</v>
      </c>
      <c r="D196" s="142">
        <v>532017859</v>
      </c>
      <c r="E196" s="39" t="s">
        <v>256</v>
      </c>
      <c r="F196" s="81">
        <v>38733</v>
      </c>
      <c r="G196" s="105" t="str">
        <f t="shared" si="6"/>
        <v>Jan</v>
      </c>
      <c r="H196" s="51">
        <f t="shared" ca="1" si="7"/>
        <v>10</v>
      </c>
      <c r="I196" s="52" t="s">
        <v>276</v>
      </c>
      <c r="J196" s="53">
        <v>68710</v>
      </c>
      <c r="K196" s="54">
        <v>4</v>
      </c>
    </row>
    <row r="197" spans="1:11" hidden="1">
      <c r="A197" s="39" t="s">
        <v>593</v>
      </c>
      <c r="B197" s="46" t="s">
        <v>245</v>
      </c>
      <c r="C197" s="39" t="s">
        <v>465</v>
      </c>
      <c r="D197" s="142">
        <v>634708460</v>
      </c>
      <c r="E197" s="39" t="s">
        <v>252</v>
      </c>
      <c r="F197" s="81">
        <v>39087</v>
      </c>
      <c r="G197" s="105" t="str">
        <f t="shared" si="6"/>
        <v>Jan</v>
      </c>
      <c r="H197" s="51">
        <f t="shared" ca="1" si="7"/>
        <v>9</v>
      </c>
      <c r="I197" s="52"/>
      <c r="J197" s="53">
        <v>14416</v>
      </c>
      <c r="K197" s="54">
        <v>4</v>
      </c>
    </row>
    <row r="198" spans="1:11" hidden="1">
      <c r="A198" s="39" t="s">
        <v>501</v>
      </c>
      <c r="B198" s="46" t="s">
        <v>266</v>
      </c>
      <c r="C198" s="39" t="s">
        <v>465</v>
      </c>
      <c r="D198" s="142">
        <v>306612250</v>
      </c>
      <c r="E198" s="39" t="s">
        <v>256</v>
      </c>
      <c r="F198" s="81">
        <v>39455</v>
      </c>
      <c r="G198" s="105" t="str">
        <f t="shared" si="6"/>
        <v>Jan</v>
      </c>
      <c r="H198" s="51">
        <f t="shared" ca="1" si="7"/>
        <v>8</v>
      </c>
      <c r="I198" s="52" t="s">
        <v>283</v>
      </c>
      <c r="J198" s="53">
        <v>59420</v>
      </c>
      <c r="K198" s="54">
        <v>4</v>
      </c>
    </row>
    <row r="199" spans="1:11" hidden="1">
      <c r="A199" s="39" t="s">
        <v>500</v>
      </c>
      <c r="B199" s="46" t="s">
        <v>245</v>
      </c>
      <c r="C199" s="39" t="s">
        <v>465</v>
      </c>
      <c r="D199" s="142">
        <v>683673351</v>
      </c>
      <c r="E199" s="39" t="s">
        <v>247</v>
      </c>
      <c r="F199" s="81">
        <v>39822</v>
      </c>
      <c r="G199" s="105" t="str">
        <f t="shared" si="6"/>
        <v>Jan</v>
      </c>
      <c r="H199" s="51">
        <f t="shared" ca="1" si="7"/>
        <v>7</v>
      </c>
      <c r="I199" s="52"/>
      <c r="J199" s="53">
        <v>60040</v>
      </c>
      <c r="K199" s="54">
        <v>5</v>
      </c>
    </row>
    <row r="200" spans="1:11" hidden="1">
      <c r="A200" s="39" t="s">
        <v>589</v>
      </c>
      <c r="B200" s="46" t="s">
        <v>245</v>
      </c>
      <c r="C200" s="39" t="s">
        <v>465</v>
      </c>
      <c r="D200" s="142">
        <v>126661983</v>
      </c>
      <c r="E200" s="39" t="s">
        <v>247</v>
      </c>
      <c r="F200" s="81">
        <v>39830</v>
      </c>
      <c r="G200" s="105" t="str">
        <f t="shared" si="6"/>
        <v>Jan</v>
      </c>
      <c r="H200" s="51">
        <f t="shared" ca="1" si="7"/>
        <v>7</v>
      </c>
      <c r="I200" s="52"/>
      <c r="J200" s="53">
        <v>78520</v>
      </c>
      <c r="K200" s="54">
        <v>4</v>
      </c>
    </row>
    <row r="201" spans="1:11" hidden="1">
      <c r="A201" s="39" t="s">
        <v>547</v>
      </c>
      <c r="B201" s="46" t="s">
        <v>285</v>
      </c>
      <c r="C201" s="39" t="s">
        <v>465</v>
      </c>
      <c r="D201" s="142">
        <v>468814781</v>
      </c>
      <c r="E201" s="39" t="s">
        <v>256</v>
      </c>
      <c r="F201" s="81">
        <v>40203</v>
      </c>
      <c r="G201" s="105" t="str">
        <f t="shared" si="6"/>
        <v>Jan</v>
      </c>
      <c r="H201" s="51">
        <f t="shared" ca="1" si="7"/>
        <v>6</v>
      </c>
      <c r="I201" s="52" t="s">
        <v>257</v>
      </c>
      <c r="J201" s="53">
        <v>35600</v>
      </c>
      <c r="K201" s="54">
        <v>5</v>
      </c>
    </row>
    <row r="202" spans="1:11">
      <c r="A202" s="39" t="s">
        <v>485</v>
      </c>
      <c r="B202" s="46" t="s">
        <v>271</v>
      </c>
      <c r="C202" s="39" t="s">
        <v>465</v>
      </c>
      <c r="D202" s="142">
        <v>399691239</v>
      </c>
      <c r="E202" s="39" t="s">
        <v>252</v>
      </c>
      <c r="F202" s="81">
        <v>40574</v>
      </c>
      <c r="G202" s="105" t="str">
        <f t="shared" si="6"/>
        <v>Jan</v>
      </c>
      <c r="H202" s="51">
        <f t="shared" ca="1" si="7"/>
        <v>5</v>
      </c>
      <c r="I202" s="52"/>
      <c r="J202" s="53">
        <v>28424</v>
      </c>
      <c r="K202" s="54">
        <v>4</v>
      </c>
    </row>
    <row r="203" spans="1:11">
      <c r="A203" s="39" t="s">
        <v>529</v>
      </c>
      <c r="B203" s="46" t="s">
        <v>271</v>
      </c>
      <c r="C203" s="39" t="s">
        <v>465</v>
      </c>
      <c r="D203" s="142">
        <v>755781501</v>
      </c>
      <c r="E203" s="39" t="s">
        <v>256</v>
      </c>
      <c r="F203" s="81">
        <v>33648</v>
      </c>
      <c r="G203" s="105" t="str">
        <f t="shared" si="6"/>
        <v>Feb</v>
      </c>
      <c r="H203" s="51">
        <f t="shared" ca="1" si="7"/>
        <v>24</v>
      </c>
      <c r="I203" s="52" t="s">
        <v>276</v>
      </c>
      <c r="J203" s="53">
        <v>60380</v>
      </c>
      <c r="K203" s="54">
        <v>4</v>
      </c>
    </row>
    <row r="204" spans="1:11" hidden="1">
      <c r="A204" s="39" t="s">
        <v>559</v>
      </c>
      <c r="B204" s="46" t="s">
        <v>245</v>
      </c>
      <c r="C204" s="39" t="s">
        <v>465</v>
      </c>
      <c r="D204" s="142">
        <v>959095564</v>
      </c>
      <c r="E204" s="39" t="s">
        <v>252</v>
      </c>
      <c r="F204" s="81">
        <v>35829</v>
      </c>
      <c r="G204" s="105" t="str">
        <f t="shared" si="6"/>
        <v>Feb</v>
      </c>
      <c r="H204" s="51">
        <f t="shared" ca="1" si="7"/>
        <v>18</v>
      </c>
      <c r="I204" s="52"/>
      <c r="J204" s="53">
        <v>29176</v>
      </c>
      <c r="K204" s="54">
        <v>3</v>
      </c>
    </row>
    <row r="205" spans="1:11" hidden="1">
      <c r="A205" s="39" t="s">
        <v>609</v>
      </c>
      <c r="B205" s="46" t="s">
        <v>266</v>
      </c>
      <c r="C205" s="39" t="s">
        <v>465</v>
      </c>
      <c r="D205" s="142">
        <v>556225705</v>
      </c>
      <c r="E205" s="39" t="s">
        <v>256</v>
      </c>
      <c r="F205" s="81">
        <v>35830</v>
      </c>
      <c r="G205" s="105" t="str">
        <f t="shared" si="6"/>
        <v>Feb</v>
      </c>
      <c r="H205" s="51">
        <f t="shared" ca="1" si="7"/>
        <v>18</v>
      </c>
      <c r="I205" s="52" t="s">
        <v>267</v>
      </c>
      <c r="J205" s="53">
        <v>35460</v>
      </c>
      <c r="K205" s="54">
        <v>5</v>
      </c>
    </row>
    <row r="206" spans="1:11" hidden="1">
      <c r="A206" s="39" t="s">
        <v>486</v>
      </c>
      <c r="B206" s="46" t="s">
        <v>251</v>
      </c>
      <c r="C206" s="39" t="s">
        <v>465</v>
      </c>
      <c r="D206" s="142">
        <v>891372488</v>
      </c>
      <c r="E206" s="39" t="s">
        <v>256</v>
      </c>
      <c r="F206" s="81">
        <v>36198</v>
      </c>
      <c r="G206" s="105" t="str">
        <f t="shared" si="6"/>
        <v>Feb</v>
      </c>
      <c r="H206" s="51">
        <f t="shared" ca="1" si="7"/>
        <v>17</v>
      </c>
      <c r="I206" s="52" t="s">
        <v>276</v>
      </c>
      <c r="J206" s="53">
        <v>81400</v>
      </c>
      <c r="K206" s="54">
        <v>2</v>
      </c>
    </row>
    <row r="207" spans="1:11" hidden="1">
      <c r="A207" s="39" t="s">
        <v>489</v>
      </c>
      <c r="B207" s="46" t="s">
        <v>285</v>
      </c>
      <c r="C207" s="39" t="s">
        <v>465</v>
      </c>
      <c r="D207" s="142">
        <v>156666486</v>
      </c>
      <c r="E207" s="39" t="s">
        <v>247</v>
      </c>
      <c r="F207" s="81">
        <v>38044</v>
      </c>
      <c r="G207" s="105" t="str">
        <f t="shared" si="6"/>
        <v>Feb</v>
      </c>
      <c r="H207" s="51">
        <f t="shared" ca="1" si="7"/>
        <v>12</v>
      </c>
      <c r="I207" s="52"/>
      <c r="J207" s="53">
        <v>57410</v>
      </c>
      <c r="K207" s="54">
        <v>2</v>
      </c>
    </row>
    <row r="208" spans="1:11" hidden="1">
      <c r="A208" s="39" t="s">
        <v>481</v>
      </c>
      <c r="B208" s="46" t="s">
        <v>245</v>
      </c>
      <c r="C208" s="39" t="s">
        <v>465</v>
      </c>
      <c r="D208" s="142">
        <v>949120892</v>
      </c>
      <c r="E208" s="39" t="s">
        <v>256</v>
      </c>
      <c r="F208" s="81">
        <v>40578</v>
      </c>
      <c r="G208" s="105" t="str">
        <f t="shared" si="6"/>
        <v>Feb</v>
      </c>
      <c r="H208" s="51">
        <f t="shared" ca="1" si="7"/>
        <v>5</v>
      </c>
      <c r="I208" s="52" t="s">
        <v>257</v>
      </c>
      <c r="J208" s="53">
        <v>43820</v>
      </c>
      <c r="K208" s="54">
        <v>2</v>
      </c>
    </row>
    <row r="209" spans="1:11" hidden="1">
      <c r="A209" s="39" t="s">
        <v>474</v>
      </c>
      <c r="B209" s="46" t="s">
        <v>251</v>
      </c>
      <c r="C209" s="39" t="s">
        <v>465</v>
      </c>
      <c r="D209" s="142">
        <v>825315627</v>
      </c>
      <c r="E209" s="39" t="s">
        <v>247</v>
      </c>
      <c r="F209" s="81">
        <v>34031</v>
      </c>
      <c r="G209" s="105" t="str">
        <f t="shared" si="6"/>
        <v>Mar</v>
      </c>
      <c r="H209" s="51">
        <f t="shared" ca="1" si="7"/>
        <v>23</v>
      </c>
      <c r="I209" s="52"/>
      <c r="J209" s="53">
        <v>64430</v>
      </c>
      <c r="K209" s="54">
        <v>4</v>
      </c>
    </row>
    <row r="210" spans="1:11" hidden="1">
      <c r="A210" s="39" t="s">
        <v>565</v>
      </c>
      <c r="B210" s="46" t="s">
        <v>245</v>
      </c>
      <c r="C210" s="39" t="s">
        <v>465</v>
      </c>
      <c r="D210" s="142">
        <v>141405985</v>
      </c>
      <c r="E210" s="39" t="s">
        <v>247</v>
      </c>
      <c r="F210" s="81">
        <v>34053</v>
      </c>
      <c r="G210" s="105" t="str">
        <f t="shared" si="6"/>
        <v>Mar</v>
      </c>
      <c r="H210" s="51">
        <f t="shared" ca="1" si="7"/>
        <v>23</v>
      </c>
      <c r="I210" s="52"/>
      <c r="J210" s="53">
        <v>79220</v>
      </c>
      <c r="K210" s="54">
        <v>4</v>
      </c>
    </row>
    <row r="211" spans="1:11">
      <c r="A211" s="39" t="s">
        <v>518</v>
      </c>
      <c r="B211" s="46" t="s">
        <v>271</v>
      </c>
      <c r="C211" s="39" t="s">
        <v>465</v>
      </c>
      <c r="D211" s="142">
        <v>773946427</v>
      </c>
      <c r="E211" s="39" t="s">
        <v>256</v>
      </c>
      <c r="F211" s="81">
        <v>34404</v>
      </c>
      <c r="G211" s="105" t="str">
        <f t="shared" si="6"/>
        <v>Mar</v>
      </c>
      <c r="H211" s="51">
        <f t="shared" ca="1" si="7"/>
        <v>22</v>
      </c>
      <c r="I211" s="52" t="s">
        <v>283</v>
      </c>
      <c r="J211" s="53">
        <v>24710</v>
      </c>
      <c r="K211" s="54">
        <v>2</v>
      </c>
    </row>
    <row r="212" spans="1:11" hidden="1">
      <c r="A212" s="39" t="s">
        <v>582</v>
      </c>
      <c r="B212" s="46" t="s">
        <v>251</v>
      </c>
      <c r="C212" s="39" t="s">
        <v>465</v>
      </c>
      <c r="D212" s="142">
        <v>536599126</v>
      </c>
      <c r="E212" s="39" t="s">
        <v>256</v>
      </c>
      <c r="F212" s="81">
        <v>34785</v>
      </c>
      <c r="G212" s="105" t="str">
        <f t="shared" si="6"/>
        <v>Mar</v>
      </c>
      <c r="H212" s="51">
        <f t="shared" ca="1" si="7"/>
        <v>21</v>
      </c>
      <c r="I212" s="52" t="s">
        <v>257</v>
      </c>
      <c r="J212" s="53">
        <v>24300</v>
      </c>
      <c r="K212" s="54">
        <v>3</v>
      </c>
    </row>
    <row r="213" spans="1:11" hidden="1">
      <c r="A213" s="39" t="s">
        <v>595</v>
      </c>
      <c r="B213" s="46" t="s">
        <v>245</v>
      </c>
      <c r="C213" s="39" t="s">
        <v>465</v>
      </c>
      <c r="D213" s="142">
        <v>691396332</v>
      </c>
      <c r="E213" s="39" t="s">
        <v>252</v>
      </c>
      <c r="F213" s="81">
        <v>35490</v>
      </c>
      <c r="G213" s="105" t="str">
        <f t="shared" si="6"/>
        <v>Mar</v>
      </c>
      <c r="H213" s="51">
        <f t="shared" ca="1" si="7"/>
        <v>19</v>
      </c>
      <c r="I213" s="52"/>
      <c r="J213" s="53">
        <v>22472</v>
      </c>
      <c r="K213" s="54">
        <v>1</v>
      </c>
    </row>
    <row r="214" spans="1:11" hidden="1">
      <c r="A214" s="39" t="s">
        <v>477</v>
      </c>
      <c r="B214" s="46" t="s">
        <v>245</v>
      </c>
      <c r="C214" s="39" t="s">
        <v>465</v>
      </c>
      <c r="D214" s="142">
        <v>863702508</v>
      </c>
      <c r="E214" s="39" t="s">
        <v>256</v>
      </c>
      <c r="F214" s="81">
        <v>35511</v>
      </c>
      <c r="G214" s="105" t="str">
        <f t="shared" si="6"/>
        <v>Mar</v>
      </c>
      <c r="H214" s="51">
        <f t="shared" ca="1" si="7"/>
        <v>19</v>
      </c>
      <c r="I214" s="52" t="s">
        <v>283</v>
      </c>
      <c r="J214" s="53">
        <v>73144</v>
      </c>
      <c r="K214" s="54">
        <v>5</v>
      </c>
    </row>
    <row r="215" spans="1:11">
      <c r="A215" s="39" t="s">
        <v>464</v>
      </c>
      <c r="B215" s="46" t="s">
        <v>271</v>
      </c>
      <c r="C215" s="39" t="s">
        <v>465</v>
      </c>
      <c r="D215" s="142">
        <v>547179168</v>
      </c>
      <c r="E215" s="39" t="s">
        <v>256</v>
      </c>
      <c r="F215" s="81">
        <v>35520</v>
      </c>
      <c r="G215" s="105" t="str">
        <f t="shared" si="6"/>
        <v>Mar</v>
      </c>
      <c r="H215" s="51">
        <f t="shared" ca="1" si="7"/>
        <v>19</v>
      </c>
      <c r="I215" s="52" t="s">
        <v>257</v>
      </c>
      <c r="J215" s="53">
        <v>79730</v>
      </c>
      <c r="K215" s="54">
        <v>2</v>
      </c>
    </row>
    <row r="216" spans="1:11" hidden="1">
      <c r="A216" s="39" t="s">
        <v>494</v>
      </c>
      <c r="B216" s="46" t="s">
        <v>280</v>
      </c>
      <c r="C216" s="39" t="s">
        <v>465</v>
      </c>
      <c r="D216" s="142">
        <v>645259793</v>
      </c>
      <c r="E216" s="39" t="s">
        <v>247</v>
      </c>
      <c r="F216" s="81">
        <v>36600</v>
      </c>
      <c r="G216" s="105" t="str">
        <f t="shared" si="6"/>
        <v>Mar</v>
      </c>
      <c r="H216" s="51">
        <f t="shared" ca="1" si="7"/>
        <v>16</v>
      </c>
      <c r="I216" s="52"/>
      <c r="J216" s="53">
        <v>41840</v>
      </c>
      <c r="K216" s="54">
        <v>2</v>
      </c>
    </row>
    <row r="217" spans="1:11" hidden="1">
      <c r="A217" s="39" t="s">
        <v>476</v>
      </c>
      <c r="B217" s="46" t="s">
        <v>285</v>
      </c>
      <c r="C217" s="39" t="s">
        <v>465</v>
      </c>
      <c r="D217" s="142">
        <v>971001952</v>
      </c>
      <c r="E217" s="39" t="s">
        <v>261</v>
      </c>
      <c r="F217" s="81">
        <v>36604</v>
      </c>
      <c r="G217" s="105" t="str">
        <f t="shared" si="6"/>
        <v>Mar</v>
      </c>
      <c r="H217" s="51">
        <f t="shared" ca="1" si="7"/>
        <v>16</v>
      </c>
      <c r="I217" s="52" t="s">
        <v>283</v>
      </c>
      <c r="J217" s="53">
        <v>46710</v>
      </c>
      <c r="K217" s="54">
        <v>3</v>
      </c>
    </row>
    <row r="218" spans="1:11" hidden="1">
      <c r="A218" s="39" t="s">
        <v>540</v>
      </c>
      <c r="B218" s="46" t="s">
        <v>285</v>
      </c>
      <c r="C218" s="39" t="s">
        <v>465</v>
      </c>
      <c r="D218" s="142">
        <v>280003550</v>
      </c>
      <c r="E218" s="39" t="s">
        <v>247</v>
      </c>
      <c r="F218" s="81">
        <v>36977</v>
      </c>
      <c r="G218" s="105" t="str">
        <f t="shared" si="6"/>
        <v>Mar</v>
      </c>
      <c r="H218" s="51">
        <f t="shared" ca="1" si="7"/>
        <v>15</v>
      </c>
      <c r="I218" s="52"/>
      <c r="J218" s="53">
        <v>68510</v>
      </c>
      <c r="K218" s="54">
        <v>5</v>
      </c>
    </row>
    <row r="219" spans="1:11" hidden="1">
      <c r="A219" s="39" t="s">
        <v>590</v>
      </c>
      <c r="B219" s="46" t="s">
        <v>251</v>
      </c>
      <c r="C219" s="39" t="s">
        <v>465</v>
      </c>
      <c r="D219" s="142">
        <v>359672908</v>
      </c>
      <c r="E219" s="39" t="s">
        <v>247</v>
      </c>
      <c r="F219" s="81">
        <v>37326</v>
      </c>
      <c r="G219" s="105" t="str">
        <f t="shared" si="6"/>
        <v>Mar</v>
      </c>
      <c r="H219" s="51">
        <f t="shared" ca="1" si="7"/>
        <v>14</v>
      </c>
      <c r="I219" s="52"/>
      <c r="J219" s="53">
        <v>52770</v>
      </c>
      <c r="K219" s="54">
        <v>2</v>
      </c>
    </row>
    <row r="220" spans="1:11">
      <c r="A220" s="39" t="s">
        <v>602</v>
      </c>
      <c r="B220" s="46" t="s">
        <v>271</v>
      </c>
      <c r="C220" s="39" t="s">
        <v>465</v>
      </c>
      <c r="D220" s="142">
        <v>520887092</v>
      </c>
      <c r="E220" s="39" t="s">
        <v>256</v>
      </c>
      <c r="F220" s="81">
        <v>37331</v>
      </c>
      <c r="G220" s="105" t="str">
        <f t="shared" si="6"/>
        <v>Mar</v>
      </c>
      <c r="H220" s="51">
        <f t="shared" ca="1" si="7"/>
        <v>14</v>
      </c>
      <c r="I220" s="52" t="s">
        <v>283</v>
      </c>
      <c r="J220" s="53">
        <v>62750</v>
      </c>
      <c r="K220" s="54">
        <v>3</v>
      </c>
    </row>
    <row r="221" spans="1:11" hidden="1">
      <c r="A221" s="39" t="s">
        <v>587</v>
      </c>
      <c r="B221" s="46" t="s">
        <v>285</v>
      </c>
      <c r="C221" s="39" t="s">
        <v>465</v>
      </c>
      <c r="D221" s="142">
        <v>799114221</v>
      </c>
      <c r="E221" s="39" t="s">
        <v>247</v>
      </c>
      <c r="F221" s="81">
        <v>38073</v>
      </c>
      <c r="G221" s="105" t="str">
        <f t="shared" si="6"/>
        <v>Mar</v>
      </c>
      <c r="H221" s="51">
        <f t="shared" ca="1" si="7"/>
        <v>12</v>
      </c>
      <c r="I221" s="52"/>
      <c r="J221" s="53">
        <v>39300</v>
      </c>
      <c r="K221" s="54">
        <v>2</v>
      </c>
    </row>
    <row r="222" spans="1:11" hidden="1">
      <c r="A222" s="39" t="s">
        <v>475</v>
      </c>
      <c r="B222" s="46" t="s">
        <v>245</v>
      </c>
      <c r="C222" s="39" t="s">
        <v>465</v>
      </c>
      <c r="D222" s="142">
        <v>399534023</v>
      </c>
      <c r="E222" s="39" t="s">
        <v>247</v>
      </c>
      <c r="F222" s="81">
        <v>39538</v>
      </c>
      <c r="G222" s="105" t="str">
        <f t="shared" si="6"/>
        <v>Mar</v>
      </c>
      <c r="H222" s="51">
        <f t="shared" ca="1" si="7"/>
        <v>8</v>
      </c>
      <c r="I222" s="52"/>
      <c r="J222" s="53">
        <v>62780</v>
      </c>
      <c r="K222" s="54">
        <v>4</v>
      </c>
    </row>
    <row r="223" spans="1:11" hidden="1">
      <c r="A223" s="39" t="s">
        <v>520</v>
      </c>
      <c r="B223" s="46" t="s">
        <v>285</v>
      </c>
      <c r="C223" s="39" t="s">
        <v>465</v>
      </c>
      <c r="D223" s="142">
        <v>166595911</v>
      </c>
      <c r="E223" s="39" t="s">
        <v>256</v>
      </c>
      <c r="F223" s="103">
        <v>40603</v>
      </c>
      <c r="G223" s="105" t="str">
        <f t="shared" si="6"/>
        <v>Mar</v>
      </c>
      <c r="H223" s="51">
        <f t="shared" ca="1" si="7"/>
        <v>5</v>
      </c>
      <c r="I223" s="52" t="s">
        <v>267</v>
      </c>
      <c r="J223" s="53">
        <v>44260</v>
      </c>
      <c r="K223" s="54">
        <v>1</v>
      </c>
    </row>
    <row r="224" spans="1:11" hidden="1">
      <c r="A224" s="39" t="s">
        <v>523</v>
      </c>
      <c r="B224" s="46" t="s">
        <v>245</v>
      </c>
      <c r="C224" s="39" t="s">
        <v>465</v>
      </c>
      <c r="D224" s="142">
        <v>577770133</v>
      </c>
      <c r="E224" s="39" t="s">
        <v>256</v>
      </c>
      <c r="F224" s="81">
        <v>33720</v>
      </c>
      <c r="G224" s="105" t="str">
        <f t="shared" si="6"/>
        <v>Apr</v>
      </c>
      <c r="H224" s="51">
        <f t="shared" ca="1" si="7"/>
        <v>24</v>
      </c>
      <c r="I224" s="52" t="s">
        <v>283</v>
      </c>
      <c r="J224" s="53">
        <v>58910</v>
      </c>
      <c r="K224" s="54">
        <v>1</v>
      </c>
    </row>
    <row r="225" spans="1:11">
      <c r="A225" s="39" t="s">
        <v>519</v>
      </c>
      <c r="B225" s="46" t="s">
        <v>271</v>
      </c>
      <c r="C225" s="39" t="s">
        <v>465</v>
      </c>
      <c r="D225" s="142">
        <v>561988416</v>
      </c>
      <c r="E225" s="39" t="s">
        <v>256</v>
      </c>
      <c r="F225" s="81">
        <v>33721</v>
      </c>
      <c r="G225" s="105" t="str">
        <f t="shared" si="6"/>
        <v>Apr</v>
      </c>
      <c r="H225" s="51">
        <f t="shared" ca="1" si="7"/>
        <v>24</v>
      </c>
      <c r="I225" s="52" t="s">
        <v>283</v>
      </c>
      <c r="J225" s="53">
        <v>26190</v>
      </c>
      <c r="K225" s="54">
        <v>5</v>
      </c>
    </row>
    <row r="226" spans="1:11" hidden="1">
      <c r="A226" s="39" t="s">
        <v>487</v>
      </c>
      <c r="B226" s="46" t="s">
        <v>280</v>
      </c>
      <c r="C226" s="39" t="s">
        <v>465</v>
      </c>
      <c r="D226" s="142">
        <v>689224971</v>
      </c>
      <c r="E226" s="39" t="s">
        <v>256</v>
      </c>
      <c r="F226" s="81">
        <v>34068</v>
      </c>
      <c r="G226" s="105" t="str">
        <f t="shared" si="6"/>
        <v>Apr</v>
      </c>
      <c r="H226" s="51">
        <f t="shared" ca="1" si="7"/>
        <v>23</v>
      </c>
      <c r="I226" s="52" t="s">
        <v>283</v>
      </c>
      <c r="J226" s="53">
        <v>23330</v>
      </c>
      <c r="K226" s="54">
        <v>4</v>
      </c>
    </row>
    <row r="227" spans="1:11">
      <c r="A227" s="39" t="s">
        <v>548</v>
      </c>
      <c r="B227" s="46" t="s">
        <v>271</v>
      </c>
      <c r="C227" s="39" t="s">
        <v>465</v>
      </c>
      <c r="D227" s="142">
        <v>421689914</v>
      </c>
      <c r="E227" s="39" t="s">
        <v>247</v>
      </c>
      <c r="F227" s="81">
        <v>34425</v>
      </c>
      <c r="G227" s="105" t="str">
        <f t="shared" si="6"/>
        <v>Apr</v>
      </c>
      <c r="H227" s="51">
        <f t="shared" ca="1" si="7"/>
        <v>22</v>
      </c>
      <c r="I227" s="52"/>
      <c r="J227" s="53">
        <v>63310</v>
      </c>
      <c r="K227" s="54">
        <v>3</v>
      </c>
    </row>
    <row r="228" spans="1:11">
      <c r="A228" s="39" t="s">
        <v>599</v>
      </c>
      <c r="B228" s="46" t="s">
        <v>271</v>
      </c>
      <c r="C228" s="39" t="s">
        <v>465</v>
      </c>
      <c r="D228" s="142">
        <v>275944402</v>
      </c>
      <c r="E228" s="39" t="s">
        <v>256</v>
      </c>
      <c r="F228" s="81">
        <v>35156</v>
      </c>
      <c r="G228" s="105" t="str">
        <f t="shared" si="6"/>
        <v>Apr</v>
      </c>
      <c r="H228" s="51">
        <f t="shared" ca="1" si="7"/>
        <v>20</v>
      </c>
      <c r="I228" s="52" t="s">
        <v>283</v>
      </c>
      <c r="J228" s="53">
        <v>86260</v>
      </c>
      <c r="K228" s="54">
        <v>3</v>
      </c>
    </row>
    <row r="229" spans="1:11" hidden="1">
      <c r="A229" s="39" t="s">
        <v>530</v>
      </c>
      <c r="B229" s="46" t="s">
        <v>285</v>
      </c>
      <c r="C229" s="39" t="s">
        <v>465</v>
      </c>
      <c r="D229" s="142">
        <v>354930015</v>
      </c>
      <c r="E229" s="39" t="s">
        <v>247</v>
      </c>
      <c r="F229" s="81">
        <v>35185</v>
      </c>
      <c r="G229" s="105" t="str">
        <f t="shared" si="6"/>
        <v>Apr</v>
      </c>
      <c r="H229" s="51">
        <f t="shared" ca="1" si="7"/>
        <v>20</v>
      </c>
      <c r="I229" s="52"/>
      <c r="J229" s="53">
        <v>24410</v>
      </c>
      <c r="K229" s="54">
        <v>3</v>
      </c>
    </row>
    <row r="230" spans="1:11" hidden="1">
      <c r="A230" s="39" t="s">
        <v>513</v>
      </c>
      <c r="B230" s="46" t="s">
        <v>285</v>
      </c>
      <c r="C230" s="39" t="s">
        <v>465</v>
      </c>
      <c r="D230" s="142">
        <v>631577683</v>
      </c>
      <c r="E230" s="39" t="s">
        <v>256</v>
      </c>
      <c r="F230" s="81">
        <v>35526</v>
      </c>
      <c r="G230" s="105" t="str">
        <f t="shared" si="6"/>
        <v>Apr</v>
      </c>
      <c r="H230" s="51">
        <f t="shared" ca="1" si="7"/>
        <v>19</v>
      </c>
      <c r="I230" s="52" t="s">
        <v>283</v>
      </c>
      <c r="J230" s="53">
        <v>32390</v>
      </c>
      <c r="K230" s="54">
        <v>2</v>
      </c>
    </row>
    <row r="231" spans="1:11" hidden="1">
      <c r="A231" s="39" t="s">
        <v>533</v>
      </c>
      <c r="B231" s="46" t="s">
        <v>280</v>
      </c>
      <c r="C231" s="39" t="s">
        <v>465</v>
      </c>
      <c r="D231" s="142">
        <v>680376724</v>
      </c>
      <c r="E231" s="39" t="s">
        <v>256</v>
      </c>
      <c r="F231" s="81">
        <v>35529</v>
      </c>
      <c r="G231" s="105" t="str">
        <f t="shared" si="6"/>
        <v>Apr</v>
      </c>
      <c r="H231" s="51">
        <f t="shared" ca="1" si="7"/>
        <v>19</v>
      </c>
      <c r="I231" s="52" t="s">
        <v>267</v>
      </c>
      <c r="J231" s="53">
        <v>44920</v>
      </c>
      <c r="K231" s="54">
        <v>1</v>
      </c>
    </row>
    <row r="232" spans="1:11">
      <c r="A232" s="39" t="s">
        <v>517</v>
      </c>
      <c r="B232" s="46" t="s">
        <v>271</v>
      </c>
      <c r="C232" s="39" t="s">
        <v>465</v>
      </c>
      <c r="D232" s="142">
        <v>731041998</v>
      </c>
      <c r="E232" s="39" t="s">
        <v>261</v>
      </c>
      <c r="F232" s="81">
        <v>36269</v>
      </c>
      <c r="G232" s="105" t="str">
        <f t="shared" si="6"/>
        <v>Apr</v>
      </c>
      <c r="H232" s="51">
        <f t="shared" ca="1" si="7"/>
        <v>17</v>
      </c>
      <c r="I232" s="52" t="s">
        <v>283</v>
      </c>
      <c r="J232" s="53">
        <v>48190</v>
      </c>
      <c r="K232" s="54">
        <v>1</v>
      </c>
    </row>
    <row r="233" spans="1:11">
      <c r="A233" s="39" t="s">
        <v>616</v>
      </c>
      <c r="B233" s="46" t="s">
        <v>271</v>
      </c>
      <c r="C233" s="39" t="s">
        <v>465</v>
      </c>
      <c r="D233" s="142">
        <v>631010983</v>
      </c>
      <c r="E233" s="39" t="s">
        <v>256</v>
      </c>
      <c r="F233" s="81">
        <v>36273</v>
      </c>
      <c r="G233" s="105" t="str">
        <f t="shared" si="6"/>
        <v>Apr</v>
      </c>
      <c r="H233" s="51">
        <f t="shared" ca="1" si="7"/>
        <v>17</v>
      </c>
      <c r="I233" s="52" t="s">
        <v>283</v>
      </c>
      <c r="J233" s="53">
        <v>61330</v>
      </c>
      <c r="K233" s="54">
        <v>4</v>
      </c>
    </row>
    <row r="234" spans="1:11">
      <c r="A234" s="39" t="s">
        <v>594</v>
      </c>
      <c r="B234" s="46" t="s">
        <v>271</v>
      </c>
      <c r="C234" s="39" t="s">
        <v>465</v>
      </c>
      <c r="D234" s="142">
        <v>331793667</v>
      </c>
      <c r="E234" s="39" t="s">
        <v>247</v>
      </c>
      <c r="F234" s="81">
        <v>36637</v>
      </c>
      <c r="G234" s="105" t="str">
        <f t="shared" si="6"/>
        <v>Apr</v>
      </c>
      <c r="H234" s="51">
        <f t="shared" ca="1" si="7"/>
        <v>16</v>
      </c>
      <c r="I234" s="52"/>
      <c r="J234" s="53">
        <v>57600</v>
      </c>
      <c r="K234" s="54">
        <v>3</v>
      </c>
    </row>
    <row r="235" spans="1:11" hidden="1">
      <c r="A235" s="39" t="s">
        <v>506</v>
      </c>
      <c r="B235" s="46" t="s">
        <v>285</v>
      </c>
      <c r="C235" s="39" t="s">
        <v>465</v>
      </c>
      <c r="D235" s="142">
        <v>149140570</v>
      </c>
      <c r="E235" s="39" t="s">
        <v>252</v>
      </c>
      <c r="F235" s="81">
        <v>37730</v>
      </c>
      <c r="G235" s="105" t="str">
        <f t="shared" si="6"/>
        <v>Apr</v>
      </c>
      <c r="H235" s="51">
        <f t="shared" ca="1" si="7"/>
        <v>13</v>
      </c>
      <c r="I235" s="52"/>
      <c r="J235" s="53">
        <v>8892</v>
      </c>
      <c r="K235" s="54">
        <v>1</v>
      </c>
    </row>
    <row r="236" spans="1:11" hidden="1">
      <c r="A236" s="39" t="s">
        <v>525</v>
      </c>
      <c r="B236" s="46" t="s">
        <v>245</v>
      </c>
      <c r="C236" s="39" t="s">
        <v>465</v>
      </c>
      <c r="D236" s="142">
        <v>914834381</v>
      </c>
      <c r="E236" s="39" t="s">
        <v>256</v>
      </c>
      <c r="F236" s="81">
        <v>38809</v>
      </c>
      <c r="G236" s="105" t="str">
        <f t="shared" si="6"/>
        <v>Apr</v>
      </c>
      <c r="H236" s="51">
        <f t="shared" ca="1" si="7"/>
        <v>10</v>
      </c>
      <c r="I236" s="52" t="s">
        <v>262</v>
      </c>
      <c r="J236" s="53">
        <v>76584</v>
      </c>
      <c r="K236" s="54">
        <v>1</v>
      </c>
    </row>
    <row r="237" spans="1:11" hidden="1">
      <c r="A237" s="39" t="s">
        <v>549</v>
      </c>
      <c r="B237" s="46" t="s">
        <v>285</v>
      </c>
      <c r="C237" s="39" t="s">
        <v>465</v>
      </c>
      <c r="D237" s="142">
        <v>767347844</v>
      </c>
      <c r="E237" s="39" t="s">
        <v>256</v>
      </c>
      <c r="F237" s="81">
        <v>38821</v>
      </c>
      <c r="G237" s="105" t="str">
        <f t="shared" si="6"/>
        <v>Apr</v>
      </c>
      <c r="H237" s="51">
        <f t="shared" ca="1" si="7"/>
        <v>10</v>
      </c>
      <c r="I237" s="52" t="s">
        <v>283</v>
      </c>
      <c r="J237" s="53">
        <v>65720</v>
      </c>
      <c r="K237" s="54">
        <v>1</v>
      </c>
    </row>
    <row r="238" spans="1:11" hidden="1">
      <c r="A238" s="39" t="s">
        <v>531</v>
      </c>
      <c r="B238" s="46" t="s">
        <v>285</v>
      </c>
      <c r="C238" s="39" t="s">
        <v>465</v>
      </c>
      <c r="D238" s="142">
        <v>837454346</v>
      </c>
      <c r="E238" s="39" t="s">
        <v>256</v>
      </c>
      <c r="F238" s="81">
        <v>38832</v>
      </c>
      <c r="G238" s="105" t="str">
        <f t="shared" si="6"/>
        <v>Apr</v>
      </c>
      <c r="H238" s="51">
        <f t="shared" ca="1" si="7"/>
        <v>10</v>
      </c>
      <c r="I238" s="52" t="s">
        <v>276</v>
      </c>
      <c r="J238" s="53">
        <v>29420</v>
      </c>
      <c r="K238" s="54">
        <v>5</v>
      </c>
    </row>
    <row r="239" spans="1:11" hidden="1">
      <c r="A239" s="39" t="s">
        <v>557</v>
      </c>
      <c r="B239" s="46" t="s">
        <v>285</v>
      </c>
      <c r="C239" s="39" t="s">
        <v>465</v>
      </c>
      <c r="D239" s="142">
        <v>641567604</v>
      </c>
      <c r="E239" s="39" t="s">
        <v>247</v>
      </c>
      <c r="F239" s="81">
        <v>39189</v>
      </c>
      <c r="G239" s="105" t="str">
        <f t="shared" si="6"/>
        <v>Apr</v>
      </c>
      <c r="H239" s="51">
        <f t="shared" ca="1" si="7"/>
        <v>9</v>
      </c>
      <c r="I239" s="52"/>
      <c r="J239" s="53">
        <v>63850</v>
      </c>
      <c r="K239" s="54">
        <v>2</v>
      </c>
    </row>
    <row r="240" spans="1:11">
      <c r="A240" s="39" t="s">
        <v>574</v>
      </c>
      <c r="B240" s="46" t="s">
        <v>271</v>
      </c>
      <c r="C240" s="39" t="s">
        <v>465</v>
      </c>
      <c r="D240" s="142">
        <v>976197548</v>
      </c>
      <c r="E240" s="39" t="s">
        <v>247</v>
      </c>
      <c r="F240" s="81">
        <v>39545</v>
      </c>
      <c r="G240" s="105" t="str">
        <f t="shared" si="6"/>
        <v>Apr</v>
      </c>
      <c r="H240" s="51">
        <f t="shared" ca="1" si="7"/>
        <v>8</v>
      </c>
      <c r="I240" s="52"/>
      <c r="J240" s="53">
        <v>84170</v>
      </c>
      <c r="K240" s="54">
        <v>2</v>
      </c>
    </row>
    <row r="241" spans="1:11">
      <c r="A241" s="39" t="s">
        <v>510</v>
      </c>
      <c r="B241" s="46" t="s">
        <v>271</v>
      </c>
      <c r="C241" s="39" t="s">
        <v>465</v>
      </c>
      <c r="D241" s="142">
        <v>949956965</v>
      </c>
      <c r="E241" s="39" t="s">
        <v>256</v>
      </c>
      <c r="F241" s="81">
        <v>40270</v>
      </c>
      <c r="G241" s="105" t="str">
        <f t="shared" si="6"/>
        <v>Apr</v>
      </c>
      <c r="H241" s="51">
        <f t="shared" ca="1" si="7"/>
        <v>6</v>
      </c>
      <c r="I241" s="52" t="s">
        <v>283</v>
      </c>
      <c r="J241" s="53">
        <v>35300</v>
      </c>
      <c r="K241" s="54">
        <v>5</v>
      </c>
    </row>
    <row r="242" spans="1:11">
      <c r="A242" s="39" t="s">
        <v>480</v>
      </c>
      <c r="B242" s="46" t="s">
        <v>271</v>
      </c>
      <c r="C242" s="39" t="s">
        <v>465</v>
      </c>
      <c r="D242" s="142">
        <v>151214534</v>
      </c>
      <c r="E242" s="39" t="s">
        <v>256</v>
      </c>
      <c r="F242" s="81">
        <v>40634</v>
      </c>
      <c r="G242" s="105" t="str">
        <f t="shared" si="6"/>
        <v>Apr</v>
      </c>
      <c r="H242" s="51">
        <f t="shared" ca="1" si="7"/>
        <v>5</v>
      </c>
      <c r="I242" s="52" t="s">
        <v>257</v>
      </c>
      <c r="J242" s="53">
        <v>47440</v>
      </c>
      <c r="K242" s="54">
        <v>3</v>
      </c>
    </row>
    <row r="243" spans="1:11" hidden="1">
      <c r="A243" s="39" t="s">
        <v>538</v>
      </c>
      <c r="B243" s="46" t="s">
        <v>280</v>
      </c>
      <c r="C243" s="39" t="s">
        <v>465</v>
      </c>
      <c r="D243" s="142">
        <v>834166110</v>
      </c>
      <c r="E243" s="39" t="s">
        <v>252</v>
      </c>
      <c r="F243" s="81">
        <v>33751</v>
      </c>
      <c r="G243" s="105" t="str">
        <f t="shared" si="6"/>
        <v>May</v>
      </c>
      <c r="H243" s="51">
        <f t="shared" ca="1" si="7"/>
        <v>24</v>
      </c>
      <c r="I243" s="52"/>
      <c r="J243" s="53">
        <v>22344</v>
      </c>
      <c r="K243" s="54">
        <v>4</v>
      </c>
    </row>
    <row r="244" spans="1:11" hidden="1">
      <c r="A244" s="39" t="s">
        <v>522</v>
      </c>
      <c r="B244" s="46" t="s">
        <v>251</v>
      </c>
      <c r="C244" s="39" t="s">
        <v>465</v>
      </c>
      <c r="D244" s="142">
        <v>772225948</v>
      </c>
      <c r="E244" s="39" t="s">
        <v>256</v>
      </c>
      <c r="F244" s="81">
        <v>34483</v>
      </c>
      <c r="G244" s="105" t="str">
        <f t="shared" si="6"/>
        <v>May</v>
      </c>
      <c r="H244" s="51">
        <f t="shared" ca="1" si="7"/>
        <v>22</v>
      </c>
      <c r="I244" s="52" t="s">
        <v>257</v>
      </c>
      <c r="J244" s="53">
        <v>81010</v>
      </c>
      <c r="K244" s="54">
        <v>4</v>
      </c>
    </row>
    <row r="245" spans="1:11">
      <c r="A245" s="39" t="s">
        <v>596</v>
      </c>
      <c r="B245" s="46" t="s">
        <v>271</v>
      </c>
      <c r="C245" s="39" t="s">
        <v>465</v>
      </c>
      <c r="D245" s="142">
        <v>509740100</v>
      </c>
      <c r="E245" s="39" t="s">
        <v>256</v>
      </c>
      <c r="F245" s="81">
        <v>35188</v>
      </c>
      <c r="G245" s="105" t="str">
        <f t="shared" si="6"/>
        <v>May</v>
      </c>
      <c r="H245" s="51">
        <f t="shared" ca="1" si="7"/>
        <v>20</v>
      </c>
      <c r="I245" s="52" t="s">
        <v>283</v>
      </c>
      <c r="J245" s="53">
        <v>44270</v>
      </c>
      <c r="K245" s="54">
        <v>2</v>
      </c>
    </row>
    <row r="246" spans="1:11" hidden="1">
      <c r="A246" s="39" t="s">
        <v>579</v>
      </c>
      <c r="B246" s="46" t="s">
        <v>285</v>
      </c>
      <c r="C246" s="39" t="s">
        <v>465</v>
      </c>
      <c r="D246" s="142">
        <v>611938541</v>
      </c>
      <c r="E246" s="39" t="s">
        <v>261</v>
      </c>
      <c r="F246" s="81">
        <v>35189</v>
      </c>
      <c r="G246" s="105" t="str">
        <f t="shared" si="6"/>
        <v>May</v>
      </c>
      <c r="H246" s="51">
        <f t="shared" ca="1" si="7"/>
        <v>20</v>
      </c>
      <c r="I246" s="52" t="s">
        <v>257</v>
      </c>
      <c r="J246" s="53">
        <v>46285</v>
      </c>
      <c r="K246" s="54">
        <v>5</v>
      </c>
    </row>
    <row r="247" spans="1:11" hidden="1">
      <c r="A247" s="39" t="s">
        <v>546</v>
      </c>
      <c r="B247" s="46" t="s">
        <v>285</v>
      </c>
      <c r="C247" s="39" t="s">
        <v>465</v>
      </c>
      <c r="D247" s="142">
        <v>703241704</v>
      </c>
      <c r="E247" s="39" t="s">
        <v>256</v>
      </c>
      <c r="F247" s="81">
        <v>35199</v>
      </c>
      <c r="G247" s="105" t="str">
        <f t="shared" si="6"/>
        <v>May</v>
      </c>
      <c r="H247" s="51">
        <f t="shared" ca="1" si="7"/>
        <v>20</v>
      </c>
      <c r="I247" s="52" t="s">
        <v>257</v>
      </c>
      <c r="J247" s="53">
        <v>73450</v>
      </c>
      <c r="K247" s="54">
        <v>3</v>
      </c>
    </row>
    <row r="248" spans="1:11" hidden="1">
      <c r="A248" s="39" t="s">
        <v>514</v>
      </c>
      <c r="B248" s="46" t="s">
        <v>251</v>
      </c>
      <c r="C248" s="39" t="s">
        <v>465</v>
      </c>
      <c r="D248" s="142">
        <v>760956576</v>
      </c>
      <c r="E248" s="39" t="s">
        <v>247</v>
      </c>
      <c r="F248" s="81">
        <v>35927</v>
      </c>
      <c r="G248" s="105" t="str">
        <f t="shared" si="6"/>
        <v>May</v>
      </c>
      <c r="H248" s="51">
        <f t="shared" ca="1" si="7"/>
        <v>18</v>
      </c>
      <c r="I248" s="52"/>
      <c r="J248" s="53">
        <v>76910</v>
      </c>
      <c r="K248" s="54">
        <v>1</v>
      </c>
    </row>
    <row r="249" spans="1:11" hidden="1">
      <c r="A249" s="39" t="s">
        <v>484</v>
      </c>
      <c r="B249" s="46" t="s">
        <v>285</v>
      </c>
      <c r="C249" s="39" t="s">
        <v>465</v>
      </c>
      <c r="D249" s="142">
        <v>591166956</v>
      </c>
      <c r="E249" s="39" t="s">
        <v>256</v>
      </c>
      <c r="F249" s="81">
        <v>35932</v>
      </c>
      <c r="G249" s="105" t="str">
        <f t="shared" si="6"/>
        <v>May</v>
      </c>
      <c r="H249" s="51">
        <f t="shared" ca="1" si="7"/>
        <v>18</v>
      </c>
      <c r="I249" s="52" t="s">
        <v>283</v>
      </c>
      <c r="J249" s="53">
        <v>89740</v>
      </c>
      <c r="K249" s="54">
        <v>5</v>
      </c>
    </row>
    <row r="250" spans="1:11" hidden="1">
      <c r="A250" s="39" t="s">
        <v>554</v>
      </c>
      <c r="B250" s="46" t="s">
        <v>245</v>
      </c>
      <c r="C250" s="39" t="s">
        <v>465</v>
      </c>
      <c r="D250" s="142">
        <v>373215192</v>
      </c>
      <c r="E250" s="39" t="s">
        <v>256</v>
      </c>
      <c r="F250" s="81">
        <v>35938</v>
      </c>
      <c r="G250" s="105" t="str">
        <f t="shared" si="6"/>
        <v>May</v>
      </c>
      <c r="H250" s="51">
        <f t="shared" ca="1" si="7"/>
        <v>18</v>
      </c>
      <c r="I250" s="52" t="s">
        <v>267</v>
      </c>
      <c r="J250" s="53">
        <v>55450</v>
      </c>
      <c r="K250" s="54">
        <v>5</v>
      </c>
    </row>
    <row r="251" spans="1:11" hidden="1">
      <c r="A251" s="39" t="s">
        <v>578</v>
      </c>
      <c r="B251" s="46" t="s">
        <v>280</v>
      </c>
      <c r="C251" s="39" t="s">
        <v>465</v>
      </c>
      <c r="D251" s="142">
        <v>930324136</v>
      </c>
      <c r="E251" s="39" t="s">
        <v>247</v>
      </c>
      <c r="F251" s="81">
        <v>36283</v>
      </c>
      <c r="G251" s="105" t="str">
        <f t="shared" si="6"/>
        <v>May</v>
      </c>
      <c r="H251" s="51">
        <f t="shared" ca="1" si="7"/>
        <v>17</v>
      </c>
      <c r="I251" s="52"/>
      <c r="J251" s="53">
        <v>25130</v>
      </c>
      <c r="K251" s="54">
        <v>5</v>
      </c>
    </row>
    <row r="252" spans="1:11">
      <c r="A252" s="39" t="s">
        <v>536</v>
      </c>
      <c r="B252" s="46" t="s">
        <v>271</v>
      </c>
      <c r="C252" s="39" t="s">
        <v>465</v>
      </c>
      <c r="D252" s="142">
        <v>587131528</v>
      </c>
      <c r="E252" s="39" t="s">
        <v>252</v>
      </c>
      <c r="F252" s="81">
        <v>36305</v>
      </c>
      <c r="G252" s="105" t="str">
        <f t="shared" si="6"/>
        <v>May</v>
      </c>
      <c r="H252" s="51">
        <f t="shared" ca="1" si="7"/>
        <v>17</v>
      </c>
      <c r="I252" s="52"/>
      <c r="J252" s="53">
        <v>9424</v>
      </c>
      <c r="K252" s="54">
        <v>4</v>
      </c>
    </row>
    <row r="253" spans="1:11" hidden="1">
      <c r="A253" s="39" t="s">
        <v>497</v>
      </c>
      <c r="B253" s="46" t="s">
        <v>285</v>
      </c>
      <c r="C253" s="39" t="s">
        <v>465</v>
      </c>
      <c r="D253" s="142">
        <v>642889794</v>
      </c>
      <c r="E253" s="39" t="s">
        <v>256</v>
      </c>
      <c r="F253" s="81">
        <v>37394</v>
      </c>
      <c r="G253" s="105" t="str">
        <f t="shared" si="6"/>
        <v>May</v>
      </c>
      <c r="H253" s="51">
        <f t="shared" ca="1" si="7"/>
        <v>14</v>
      </c>
      <c r="I253" s="52" t="s">
        <v>257</v>
      </c>
      <c r="J253" s="53">
        <v>28970</v>
      </c>
      <c r="K253" s="54">
        <v>3</v>
      </c>
    </row>
    <row r="254" spans="1:11">
      <c r="A254" s="39" t="s">
        <v>615</v>
      </c>
      <c r="B254" s="46" t="s">
        <v>271</v>
      </c>
      <c r="C254" s="39" t="s">
        <v>465</v>
      </c>
      <c r="D254" s="142">
        <v>595236915</v>
      </c>
      <c r="E254" s="39" t="s">
        <v>247</v>
      </c>
      <c r="F254" s="103">
        <v>40680</v>
      </c>
      <c r="G254" s="105" t="str">
        <f t="shared" si="6"/>
        <v>May</v>
      </c>
      <c r="H254" s="51">
        <f t="shared" ca="1" si="7"/>
        <v>5</v>
      </c>
      <c r="I254" s="52"/>
      <c r="J254" s="53">
        <v>57110</v>
      </c>
      <c r="K254" s="54">
        <v>3</v>
      </c>
    </row>
    <row r="255" spans="1:11" hidden="1">
      <c r="A255" s="39" t="s">
        <v>512</v>
      </c>
      <c r="B255" s="46" t="s">
        <v>285</v>
      </c>
      <c r="C255" s="39" t="s">
        <v>465</v>
      </c>
      <c r="D255" s="142">
        <v>738486734</v>
      </c>
      <c r="E255" s="39" t="s">
        <v>247</v>
      </c>
      <c r="F255" s="81">
        <v>33774</v>
      </c>
      <c r="G255" s="105" t="str">
        <f t="shared" si="6"/>
        <v>Jun</v>
      </c>
      <c r="H255" s="51">
        <f t="shared" ca="1" si="7"/>
        <v>24</v>
      </c>
      <c r="I255" s="52"/>
      <c r="J255" s="53">
        <v>32190</v>
      </c>
      <c r="K255" s="54">
        <v>3</v>
      </c>
    </row>
    <row r="256" spans="1:11">
      <c r="A256" s="39" t="s">
        <v>498</v>
      </c>
      <c r="B256" s="46" t="s">
        <v>271</v>
      </c>
      <c r="C256" s="39" t="s">
        <v>465</v>
      </c>
      <c r="D256" s="142">
        <v>740162699</v>
      </c>
      <c r="E256" s="39" t="s">
        <v>247</v>
      </c>
      <c r="F256" s="81">
        <v>34149</v>
      </c>
      <c r="G256" s="105" t="str">
        <f t="shared" si="6"/>
        <v>Jun</v>
      </c>
      <c r="H256" s="51">
        <f t="shared" ca="1" si="7"/>
        <v>23</v>
      </c>
      <c r="I256" s="52"/>
      <c r="J256" s="53">
        <v>45770</v>
      </c>
      <c r="K256" s="54">
        <v>5</v>
      </c>
    </row>
    <row r="257" spans="1:11">
      <c r="A257" s="39" t="s">
        <v>566</v>
      </c>
      <c r="B257" s="46" t="s">
        <v>271</v>
      </c>
      <c r="C257" s="39" t="s">
        <v>465</v>
      </c>
      <c r="D257" s="142">
        <v>903099548</v>
      </c>
      <c r="E257" s="39" t="s">
        <v>256</v>
      </c>
      <c r="F257" s="81">
        <v>35589</v>
      </c>
      <c r="G257" s="105" t="str">
        <f t="shared" si="6"/>
        <v>Jun</v>
      </c>
      <c r="H257" s="51">
        <f t="shared" ca="1" si="7"/>
        <v>19</v>
      </c>
      <c r="I257" s="52" t="s">
        <v>257</v>
      </c>
      <c r="J257" s="53">
        <v>60280</v>
      </c>
      <c r="K257" s="54">
        <v>1</v>
      </c>
    </row>
    <row r="258" spans="1:11" hidden="1">
      <c r="A258" s="39" t="s">
        <v>592</v>
      </c>
      <c r="B258" s="46" t="s">
        <v>251</v>
      </c>
      <c r="C258" s="39" t="s">
        <v>465</v>
      </c>
      <c r="D258" s="142">
        <v>600370287</v>
      </c>
      <c r="E258" s="39" t="s">
        <v>256</v>
      </c>
      <c r="F258" s="81">
        <v>35591</v>
      </c>
      <c r="G258" s="105" t="str">
        <f t="shared" ref="G258:G321" si="8">CHOOSE(MONTH(F258),"Jan","Feb","Mar","Apr","May","Jun","Jul","Aug","Sep","Oct","Nov","Dec")</f>
        <v>Jun</v>
      </c>
      <c r="H258" s="51">
        <f t="shared" ref="H258:H321" ca="1" si="9">DATEDIF(F258,TODAY(),"Y")</f>
        <v>19</v>
      </c>
      <c r="I258" s="52" t="s">
        <v>283</v>
      </c>
      <c r="J258" s="53">
        <v>61150</v>
      </c>
      <c r="K258" s="54">
        <v>2</v>
      </c>
    </row>
    <row r="259" spans="1:11" hidden="1">
      <c r="A259" s="39" t="s">
        <v>478</v>
      </c>
      <c r="B259" s="46" t="s">
        <v>285</v>
      </c>
      <c r="C259" s="39" t="s">
        <v>465</v>
      </c>
      <c r="D259" s="142">
        <v>959134302</v>
      </c>
      <c r="E259" s="39" t="s">
        <v>247</v>
      </c>
      <c r="F259" s="81">
        <v>35972</v>
      </c>
      <c r="G259" s="105" t="str">
        <f t="shared" si="8"/>
        <v>Jun</v>
      </c>
      <c r="H259" s="51">
        <f t="shared" ca="1" si="9"/>
        <v>18</v>
      </c>
      <c r="I259" s="52"/>
      <c r="J259" s="53">
        <v>71710</v>
      </c>
      <c r="K259" s="54">
        <v>5</v>
      </c>
    </row>
    <row r="260" spans="1:11" hidden="1">
      <c r="A260" s="39" t="s">
        <v>603</v>
      </c>
      <c r="B260" s="46" t="s">
        <v>285</v>
      </c>
      <c r="C260" s="39" t="s">
        <v>465</v>
      </c>
      <c r="D260" s="142">
        <v>228793940</v>
      </c>
      <c r="E260" s="39" t="s">
        <v>256</v>
      </c>
      <c r="F260" s="81">
        <v>36318</v>
      </c>
      <c r="G260" s="105" t="str">
        <f t="shared" si="8"/>
        <v>Jun</v>
      </c>
      <c r="H260" s="51">
        <f t="shared" ca="1" si="9"/>
        <v>17</v>
      </c>
      <c r="I260" s="52" t="s">
        <v>283</v>
      </c>
      <c r="J260" s="53">
        <v>68750</v>
      </c>
      <c r="K260" s="54">
        <v>1</v>
      </c>
    </row>
    <row r="261" spans="1:11" hidden="1">
      <c r="A261" s="39" t="s">
        <v>468</v>
      </c>
      <c r="B261" s="46" t="s">
        <v>285</v>
      </c>
      <c r="C261" s="39" t="s">
        <v>465</v>
      </c>
      <c r="D261" s="142">
        <v>119804327</v>
      </c>
      <c r="E261" s="39" t="s">
        <v>256</v>
      </c>
      <c r="F261" s="81">
        <v>36332</v>
      </c>
      <c r="G261" s="105" t="str">
        <f t="shared" si="8"/>
        <v>Jun</v>
      </c>
      <c r="H261" s="51">
        <f t="shared" ca="1" si="9"/>
        <v>17</v>
      </c>
      <c r="I261" s="52" t="s">
        <v>267</v>
      </c>
      <c r="J261" s="53">
        <v>37760</v>
      </c>
      <c r="K261" s="54">
        <v>2</v>
      </c>
    </row>
    <row r="262" spans="1:11" hidden="1">
      <c r="A262" s="39" t="s">
        <v>535</v>
      </c>
      <c r="B262" s="46" t="s">
        <v>245</v>
      </c>
      <c r="C262" s="39" t="s">
        <v>465</v>
      </c>
      <c r="D262" s="142">
        <v>306014171</v>
      </c>
      <c r="E262" s="39" t="s">
        <v>256</v>
      </c>
      <c r="F262" s="81">
        <v>36698</v>
      </c>
      <c r="G262" s="105" t="str">
        <f t="shared" si="8"/>
        <v>Jun</v>
      </c>
      <c r="H262" s="51">
        <f t="shared" ca="1" si="9"/>
        <v>16</v>
      </c>
      <c r="I262" s="52" t="s">
        <v>267</v>
      </c>
      <c r="J262" s="53">
        <v>23650</v>
      </c>
      <c r="K262" s="54">
        <v>1</v>
      </c>
    </row>
    <row r="263" spans="1:11" hidden="1">
      <c r="A263" s="39" t="s">
        <v>483</v>
      </c>
      <c r="B263" s="46" t="s">
        <v>280</v>
      </c>
      <c r="C263" s="39" t="s">
        <v>465</v>
      </c>
      <c r="D263" s="142">
        <v>883505331</v>
      </c>
      <c r="E263" s="39" t="s">
        <v>247</v>
      </c>
      <c r="F263" s="81">
        <v>36704</v>
      </c>
      <c r="G263" s="105" t="str">
        <f t="shared" si="8"/>
        <v>Jun</v>
      </c>
      <c r="H263" s="51">
        <f t="shared" ca="1" si="9"/>
        <v>16</v>
      </c>
      <c r="I263" s="52"/>
      <c r="J263" s="53">
        <v>57760</v>
      </c>
      <c r="K263" s="54">
        <v>3</v>
      </c>
    </row>
    <row r="264" spans="1:11" hidden="1">
      <c r="A264" s="39" t="s">
        <v>613</v>
      </c>
      <c r="B264" s="46" t="s">
        <v>285</v>
      </c>
      <c r="C264" s="39" t="s">
        <v>465</v>
      </c>
      <c r="D264" s="142">
        <v>652600694</v>
      </c>
      <c r="E264" s="39" t="s">
        <v>256</v>
      </c>
      <c r="F264" s="81">
        <v>36707</v>
      </c>
      <c r="G264" s="105" t="str">
        <f t="shared" si="8"/>
        <v>Jun</v>
      </c>
      <c r="H264" s="51">
        <f t="shared" ca="1" si="9"/>
        <v>16</v>
      </c>
      <c r="I264" s="52" t="s">
        <v>276</v>
      </c>
      <c r="J264" s="53">
        <v>38870</v>
      </c>
      <c r="K264" s="54">
        <v>2</v>
      </c>
    </row>
    <row r="265" spans="1:11" hidden="1">
      <c r="A265" s="39" t="s">
        <v>470</v>
      </c>
      <c r="B265" s="46" t="s">
        <v>285</v>
      </c>
      <c r="C265" s="39" t="s">
        <v>465</v>
      </c>
      <c r="D265" s="142">
        <v>719046337</v>
      </c>
      <c r="E265" s="39" t="s">
        <v>256</v>
      </c>
      <c r="F265" s="81">
        <v>37068</v>
      </c>
      <c r="G265" s="105" t="str">
        <f t="shared" si="8"/>
        <v>Jun</v>
      </c>
      <c r="H265" s="51">
        <f t="shared" ca="1" si="9"/>
        <v>15</v>
      </c>
      <c r="I265" s="52" t="s">
        <v>262</v>
      </c>
      <c r="J265" s="53">
        <v>66010</v>
      </c>
      <c r="K265" s="54">
        <v>5</v>
      </c>
    </row>
    <row r="266" spans="1:11">
      <c r="A266" s="39" t="s">
        <v>541</v>
      </c>
      <c r="B266" s="46" t="s">
        <v>271</v>
      </c>
      <c r="C266" s="39" t="s">
        <v>465</v>
      </c>
      <c r="D266" s="142">
        <v>153808176</v>
      </c>
      <c r="E266" s="39" t="s">
        <v>256</v>
      </c>
      <c r="F266" s="81">
        <v>37436</v>
      </c>
      <c r="G266" s="105" t="str">
        <f t="shared" si="8"/>
        <v>Jun</v>
      </c>
      <c r="H266" s="51">
        <f t="shared" ca="1" si="9"/>
        <v>14</v>
      </c>
      <c r="I266" s="52" t="s">
        <v>267</v>
      </c>
      <c r="J266" s="53">
        <v>64130</v>
      </c>
      <c r="K266" s="54">
        <v>1</v>
      </c>
    </row>
    <row r="267" spans="1:11" hidden="1">
      <c r="A267" s="39" t="s">
        <v>607</v>
      </c>
      <c r="B267" s="46" t="s">
        <v>245</v>
      </c>
      <c r="C267" s="39" t="s">
        <v>465</v>
      </c>
      <c r="D267" s="142">
        <v>389072925</v>
      </c>
      <c r="E267" s="39" t="s">
        <v>256</v>
      </c>
      <c r="F267" s="81">
        <v>38146</v>
      </c>
      <c r="G267" s="105" t="str">
        <f t="shared" si="8"/>
        <v>Jun</v>
      </c>
      <c r="H267" s="51">
        <f t="shared" ca="1" si="9"/>
        <v>12</v>
      </c>
      <c r="I267" s="52" t="s">
        <v>257</v>
      </c>
      <c r="J267" s="53">
        <v>47340</v>
      </c>
      <c r="K267" s="54">
        <v>2</v>
      </c>
    </row>
    <row r="268" spans="1:11" hidden="1">
      <c r="A268" s="39" t="s">
        <v>591</v>
      </c>
      <c r="B268" s="46" t="s">
        <v>285</v>
      </c>
      <c r="C268" s="39" t="s">
        <v>465</v>
      </c>
      <c r="D268" s="142">
        <v>803639666</v>
      </c>
      <c r="E268" s="39" t="s">
        <v>247</v>
      </c>
      <c r="F268" s="81">
        <v>38507</v>
      </c>
      <c r="G268" s="105" t="str">
        <f t="shared" si="8"/>
        <v>Jun</v>
      </c>
      <c r="H268" s="51">
        <f t="shared" ca="1" si="9"/>
        <v>11</v>
      </c>
      <c r="I268" s="52"/>
      <c r="J268" s="53">
        <v>40940</v>
      </c>
      <c r="K268" s="54">
        <v>2</v>
      </c>
    </row>
    <row r="269" spans="1:11" hidden="1">
      <c r="A269" s="39" t="s">
        <v>532</v>
      </c>
      <c r="B269" s="46" t="s">
        <v>280</v>
      </c>
      <c r="C269" s="39" t="s">
        <v>465</v>
      </c>
      <c r="D269" s="142">
        <v>342619484</v>
      </c>
      <c r="E269" s="39" t="s">
        <v>247</v>
      </c>
      <c r="F269" s="81">
        <v>38874</v>
      </c>
      <c r="G269" s="105" t="str">
        <f t="shared" si="8"/>
        <v>Jun</v>
      </c>
      <c r="H269" s="51">
        <f t="shared" ca="1" si="9"/>
        <v>10</v>
      </c>
      <c r="I269" s="52"/>
      <c r="J269" s="53">
        <v>59330</v>
      </c>
      <c r="K269" s="54">
        <v>4</v>
      </c>
    </row>
    <row r="270" spans="1:11" hidden="1">
      <c r="A270" s="39" t="s">
        <v>576</v>
      </c>
      <c r="B270" s="46" t="s">
        <v>280</v>
      </c>
      <c r="C270" s="39" t="s">
        <v>465</v>
      </c>
      <c r="D270" s="142">
        <v>411603352</v>
      </c>
      <c r="E270" s="39" t="s">
        <v>256</v>
      </c>
      <c r="F270" s="81">
        <v>39972</v>
      </c>
      <c r="G270" s="105" t="str">
        <f t="shared" si="8"/>
        <v>Jun</v>
      </c>
      <c r="H270" s="51">
        <f t="shared" ca="1" si="9"/>
        <v>7</v>
      </c>
      <c r="I270" s="52" t="s">
        <v>257</v>
      </c>
      <c r="J270" s="53">
        <v>78170</v>
      </c>
      <c r="K270" s="54">
        <v>5</v>
      </c>
    </row>
    <row r="271" spans="1:11">
      <c r="A271" s="39" t="s">
        <v>524</v>
      </c>
      <c r="B271" s="46" t="s">
        <v>271</v>
      </c>
      <c r="C271" s="39" t="s">
        <v>465</v>
      </c>
      <c r="D271" s="142">
        <v>232169023</v>
      </c>
      <c r="E271" s="39" t="s">
        <v>256</v>
      </c>
      <c r="F271" s="81">
        <v>34151</v>
      </c>
      <c r="G271" s="105" t="str">
        <f t="shared" si="8"/>
        <v>Jul</v>
      </c>
      <c r="H271" s="51">
        <f t="shared" ca="1" si="9"/>
        <v>23</v>
      </c>
      <c r="I271" s="52" t="s">
        <v>283</v>
      </c>
      <c r="J271" s="53">
        <v>81980</v>
      </c>
      <c r="K271" s="54">
        <v>2</v>
      </c>
    </row>
    <row r="272" spans="1:11" hidden="1">
      <c r="A272" s="39" t="s">
        <v>560</v>
      </c>
      <c r="B272" s="46" t="s">
        <v>245</v>
      </c>
      <c r="C272" s="39" t="s">
        <v>465</v>
      </c>
      <c r="D272" s="142">
        <v>900001470</v>
      </c>
      <c r="E272" s="39" t="s">
        <v>261</v>
      </c>
      <c r="F272" s="81">
        <v>34163</v>
      </c>
      <c r="G272" s="105" t="str">
        <f t="shared" si="8"/>
        <v>Jul</v>
      </c>
      <c r="H272" s="51">
        <f t="shared" ca="1" si="9"/>
        <v>23</v>
      </c>
      <c r="I272" s="52" t="s">
        <v>262</v>
      </c>
      <c r="J272" s="53">
        <v>18895</v>
      </c>
      <c r="K272" s="54">
        <v>4</v>
      </c>
    </row>
    <row r="273" spans="1:13" hidden="1">
      <c r="A273" s="39" t="s">
        <v>551</v>
      </c>
      <c r="B273" s="46" t="s">
        <v>280</v>
      </c>
      <c r="C273" s="39" t="s">
        <v>465</v>
      </c>
      <c r="D273" s="142">
        <v>293327098</v>
      </c>
      <c r="E273" s="39" t="s">
        <v>252</v>
      </c>
      <c r="F273" s="81">
        <v>34165</v>
      </c>
      <c r="G273" s="105" t="str">
        <f t="shared" si="8"/>
        <v>Jul</v>
      </c>
      <c r="H273" s="51">
        <f t="shared" ca="1" si="9"/>
        <v>23</v>
      </c>
      <c r="I273" s="52"/>
      <c r="J273" s="53">
        <v>30416</v>
      </c>
      <c r="K273" s="54">
        <v>1</v>
      </c>
    </row>
    <row r="274" spans="1:13" hidden="1">
      <c r="A274" s="39" t="s">
        <v>469</v>
      </c>
      <c r="B274" s="46" t="s">
        <v>245</v>
      </c>
      <c r="C274" s="39" t="s">
        <v>465</v>
      </c>
      <c r="D274" s="142">
        <v>263399031</v>
      </c>
      <c r="E274" s="39" t="s">
        <v>256</v>
      </c>
      <c r="F274" s="81">
        <v>34541</v>
      </c>
      <c r="G274" s="105" t="str">
        <f t="shared" si="8"/>
        <v>Jul</v>
      </c>
      <c r="H274" s="51">
        <f t="shared" ca="1" si="9"/>
        <v>22</v>
      </c>
      <c r="I274" s="52" t="s">
        <v>276</v>
      </c>
      <c r="J274" s="53">
        <v>34480</v>
      </c>
      <c r="K274" s="54">
        <v>3</v>
      </c>
    </row>
    <row r="275" spans="1:13" hidden="1">
      <c r="A275" s="39" t="s">
        <v>604</v>
      </c>
      <c r="B275" s="46" t="s">
        <v>285</v>
      </c>
      <c r="C275" s="39" t="s">
        <v>465</v>
      </c>
      <c r="D275" s="142">
        <v>877540638</v>
      </c>
      <c r="E275" s="39" t="s">
        <v>256</v>
      </c>
      <c r="F275" s="81">
        <v>34881</v>
      </c>
      <c r="G275" s="105" t="str">
        <f t="shared" si="8"/>
        <v>Jul</v>
      </c>
      <c r="H275" s="51">
        <f t="shared" ca="1" si="9"/>
        <v>21</v>
      </c>
      <c r="I275" s="52" t="s">
        <v>262</v>
      </c>
      <c r="J275" s="53">
        <v>63070</v>
      </c>
      <c r="K275" s="54">
        <v>1</v>
      </c>
      <c r="M275" s="63"/>
    </row>
    <row r="276" spans="1:13" hidden="1">
      <c r="A276" s="39" t="s">
        <v>466</v>
      </c>
      <c r="B276" s="46" t="s">
        <v>285</v>
      </c>
      <c r="C276" s="39" t="s">
        <v>465</v>
      </c>
      <c r="D276" s="142">
        <v>730088574</v>
      </c>
      <c r="E276" s="39" t="s">
        <v>252</v>
      </c>
      <c r="F276" s="81">
        <v>35982</v>
      </c>
      <c r="G276" s="105" t="str">
        <f t="shared" si="8"/>
        <v>Jul</v>
      </c>
      <c r="H276" s="51">
        <f t="shared" ca="1" si="9"/>
        <v>18</v>
      </c>
      <c r="I276" s="52"/>
      <c r="J276" s="53">
        <v>8904</v>
      </c>
      <c r="K276" s="54">
        <v>3</v>
      </c>
    </row>
    <row r="277" spans="1:13">
      <c r="A277" s="39" t="s">
        <v>492</v>
      </c>
      <c r="B277" s="46" t="s">
        <v>271</v>
      </c>
      <c r="C277" s="39" t="s">
        <v>465</v>
      </c>
      <c r="D277" s="142">
        <v>317956295</v>
      </c>
      <c r="E277" s="39" t="s">
        <v>247</v>
      </c>
      <c r="F277" s="81">
        <v>35992</v>
      </c>
      <c r="G277" s="105" t="str">
        <f t="shared" si="8"/>
        <v>Jul</v>
      </c>
      <c r="H277" s="51">
        <f t="shared" ca="1" si="9"/>
        <v>18</v>
      </c>
      <c r="I277" s="52"/>
      <c r="J277" s="53">
        <v>68260</v>
      </c>
      <c r="K277" s="54">
        <v>5</v>
      </c>
    </row>
    <row r="278" spans="1:13">
      <c r="A278" s="39" t="s">
        <v>537</v>
      </c>
      <c r="B278" s="46" t="s">
        <v>271</v>
      </c>
      <c r="C278" s="39" t="s">
        <v>465</v>
      </c>
      <c r="D278" s="142">
        <v>265943078</v>
      </c>
      <c r="E278" s="39" t="s">
        <v>256</v>
      </c>
      <c r="F278" s="81">
        <v>35996</v>
      </c>
      <c r="G278" s="105" t="str">
        <f t="shared" si="8"/>
        <v>Jul</v>
      </c>
      <c r="H278" s="51">
        <f t="shared" ca="1" si="9"/>
        <v>18</v>
      </c>
      <c r="I278" s="52" t="s">
        <v>257</v>
      </c>
      <c r="J278" s="53">
        <v>40340</v>
      </c>
      <c r="K278" s="54">
        <v>2</v>
      </c>
    </row>
    <row r="279" spans="1:13" hidden="1">
      <c r="A279" s="39" t="s">
        <v>614</v>
      </c>
      <c r="B279" s="46" t="s">
        <v>285</v>
      </c>
      <c r="C279" s="39" t="s">
        <v>465</v>
      </c>
      <c r="D279" s="142">
        <v>388024351</v>
      </c>
      <c r="E279" s="39" t="s">
        <v>247</v>
      </c>
      <c r="F279" s="81">
        <v>35997</v>
      </c>
      <c r="G279" s="105" t="str">
        <f t="shared" si="8"/>
        <v>Jul</v>
      </c>
      <c r="H279" s="51">
        <f t="shared" ca="1" si="9"/>
        <v>18</v>
      </c>
      <c r="I279" s="52"/>
      <c r="J279" s="53">
        <v>72520</v>
      </c>
      <c r="K279" s="54">
        <v>3</v>
      </c>
    </row>
    <row r="280" spans="1:13" hidden="1">
      <c r="A280" s="39" t="s">
        <v>572</v>
      </c>
      <c r="B280" s="46" t="s">
        <v>266</v>
      </c>
      <c r="C280" s="39" t="s">
        <v>465</v>
      </c>
      <c r="D280" s="142">
        <v>815874610</v>
      </c>
      <c r="E280" s="39" t="s">
        <v>247</v>
      </c>
      <c r="F280" s="81">
        <v>36350</v>
      </c>
      <c r="G280" s="105" t="str">
        <f t="shared" si="8"/>
        <v>Jul</v>
      </c>
      <c r="H280" s="51">
        <f t="shared" ca="1" si="9"/>
        <v>17</v>
      </c>
      <c r="I280" s="52"/>
      <c r="J280" s="53">
        <v>27380</v>
      </c>
      <c r="K280" s="54">
        <v>3</v>
      </c>
    </row>
    <row r="281" spans="1:13" hidden="1">
      <c r="A281" s="39" t="s">
        <v>562</v>
      </c>
      <c r="B281" s="46" t="s">
        <v>285</v>
      </c>
      <c r="C281" s="39" t="s">
        <v>465</v>
      </c>
      <c r="D281" s="142">
        <v>701820186</v>
      </c>
      <c r="E281" s="39" t="s">
        <v>261</v>
      </c>
      <c r="F281" s="81">
        <v>36360</v>
      </c>
      <c r="G281" s="105" t="str">
        <f t="shared" si="8"/>
        <v>Jul</v>
      </c>
      <c r="H281" s="51">
        <f t="shared" ca="1" si="9"/>
        <v>17</v>
      </c>
      <c r="I281" s="52" t="s">
        <v>283</v>
      </c>
      <c r="J281" s="53">
        <v>11065</v>
      </c>
      <c r="K281" s="54">
        <v>1</v>
      </c>
    </row>
    <row r="282" spans="1:13" hidden="1">
      <c r="A282" s="39" t="s">
        <v>534</v>
      </c>
      <c r="B282" s="46" t="s">
        <v>285</v>
      </c>
      <c r="C282" s="39" t="s">
        <v>465</v>
      </c>
      <c r="D282" s="142">
        <v>988055802</v>
      </c>
      <c r="E282" s="39" t="s">
        <v>247</v>
      </c>
      <c r="F282" s="81">
        <v>36718</v>
      </c>
      <c r="G282" s="105" t="str">
        <f t="shared" si="8"/>
        <v>Jul</v>
      </c>
      <c r="H282" s="51">
        <f t="shared" ca="1" si="9"/>
        <v>16</v>
      </c>
      <c r="I282" s="52"/>
      <c r="J282" s="53">
        <v>89520</v>
      </c>
      <c r="K282" s="54">
        <v>5</v>
      </c>
    </row>
    <row r="283" spans="1:13" hidden="1">
      <c r="A283" s="39" t="s">
        <v>545</v>
      </c>
      <c r="B283" s="46" t="s">
        <v>285</v>
      </c>
      <c r="C283" s="39" t="s">
        <v>465</v>
      </c>
      <c r="D283" s="142">
        <v>920589535</v>
      </c>
      <c r="E283" s="39" t="s">
        <v>247</v>
      </c>
      <c r="F283" s="81">
        <v>36729</v>
      </c>
      <c r="G283" s="105" t="str">
        <f t="shared" si="8"/>
        <v>Jul</v>
      </c>
      <c r="H283" s="51">
        <f t="shared" ca="1" si="9"/>
        <v>16</v>
      </c>
      <c r="I283" s="52"/>
      <c r="J283" s="53">
        <v>45420</v>
      </c>
      <c r="K283" s="54">
        <v>1</v>
      </c>
    </row>
    <row r="284" spans="1:13" hidden="1">
      <c r="A284" s="39" t="s">
        <v>493</v>
      </c>
      <c r="B284" s="46" t="s">
        <v>266</v>
      </c>
      <c r="C284" s="39" t="s">
        <v>465</v>
      </c>
      <c r="D284" s="142">
        <v>977539699</v>
      </c>
      <c r="E284" s="39" t="s">
        <v>247</v>
      </c>
      <c r="F284" s="81">
        <v>37820</v>
      </c>
      <c r="G284" s="105" t="str">
        <f t="shared" si="8"/>
        <v>Jul</v>
      </c>
      <c r="H284" s="51">
        <f t="shared" ca="1" si="9"/>
        <v>13</v>
      </c>
      <c r="I284" s="52"/>
      <c r="J284" s="53">
        <v>75420</v>
      </c>
      <c r="K284" s="54">
        <v>1</v>
      </c>
    </row>
    <row r="285" spans="1:13" hidden="1">
      <c r="A285" s="39" t="s">
        <v>496</v>
      </c>
      <c r="B285" s="46" t="s">
        <v>245</v>
      </c>
      <c r="C285" s="39" t="s">
        <v>465</v>
      </c>
      <c r="D285" s="142">
        <v>202700092</v>
      </c>
      <c r="E285" s="39" t="s">
        <v>247</v>
      </c>
      <c r="F285" s="81">
        <v>38537</v>
      </c>
      <c r="G285" s="105" t="str">
        <f t="shared" si="8"/>
        <v>Jul</v>
      </c>
      <c r="H285" s="51">
        <f t="shared" ca="1" si="9"/>
        <v>11</v>
      </c>
      <c r="I285" s="52"/>
      <c r="J285" s="53">
        <v>39680</v>
      </c>
      <c r="K285" s="54">
        <v>1</v>
      </c>
    </row>
    <row r="286" spans="1:13" hidden="1">
      <c r="A286" s="39" t="s">
        <v>511</v>
      </c>
      <c r="B286" s="46" t="s">
        <v>251</v>
      </c>
      <c r="C286" s="39" t="s">
        <v>465</v>
      </c>
      <c r="D286" s="142">
        <v>378564305</v>
      </c>
      <c r="E286" s="39" t="s">
        <v>247</v>
      </c>
      <c r="F286" s="81">
        <v>38912</v>
      </c>
      <c r="G286" s="105" t="str">
        <f t="shared" si="8"/>
        <v>Jul</v>
      </c>
      <c r="H286" s="51">
        <f t="shared" ca="1" si="9"/>
        <v>10</v>
      </c>
      <c r="I286" s="52"/>
      <c r="J286" s="53">
        <v>80330</v>
      </c>
      <c r="K286" s="54">
        <v>4</v>
      </c>
    </row>
    <row r="287" spans="1:13">
      <c r="A287" s="39" t="s">
        <v>561</v>
      </c>
      <c r="B287" s="46" t="s">
        <v>271</v>
      </c>
      <c r="C287" s="39" t="s">
        <v>465</v>
      </c>
      <c r="D287" s="142">
        <v>134676567</v>
      </c>
      <c r="E287" s="39" t="s">
        <v>247</v>
      </c>
      <c r="F287" s="81">
        <v>33819</v>
      </c>
      <c r="G287" s="105" t="str">
        <f t="shared" si="8"/>
        <v>Aug</v>
      </c>
      <c r="H287" s="51">
        <f t="shared" ca="1" si="9"/>
        <v>24</v>
      </c>
      <c r="I287" s="52"/>
      <c r="J287" s="53">
        <v>49530</v>
      </c>
      <c r="K287" s="54">
        <v>2</v>
      </c>
    </row>
    <row r="288" spans="1:13">
      <c r="A288" s="39" t="s">
        <v>601</v>
      </c>
      <c r="B288" s="46" t="s">
        <v>271</v>
      </c>
      <c r="C288" s="39" t="s">
        <v>465</v>
      </c>
      <c r="D288" s="142">
        <v>613938083</v>
      </c>
      <c r="E288" s="39" t="s">
        <v>256</v>
      </c>
      <c r="F288" s="81">
        <v>36009</v>
      </c>
      <c r="G288" s="105" t="str">
        <f t="shared" si="8"/>
        <v>Aug</v>
      </c>
      <c r="H288" s="51">
        <f t="shared" ca="1" si="9"/>
        <v>18</v>
      </c>
      <c r="I288" s="52" t="s">
        <v>257</v>
      </c>
      <c r="J288" s="53">
        <v>75120</v>
      </c>
      <c r="K288" s="54">
        <v>5</v>
      </c>
    </row>
    <row r="289" spans="1:11" hidden="1">
      <c r="A289" s="39" t="s">
        <v>567</v>
      </c>
      <c r="B289" s="46" t="s">
        <v>280</v>
      </c>
      <c r="C289" s="39" t="s">
        <v>465</v>
      </c>
      <c r="D289" s="142">
        <v>830328279</v>
      </c>
      <c r="E289" s="39" t="s">
        <v>247</v>
      </c>
      <c r="F289" s="81">
        <v>36011</v>
      </c>
      <c r="G289" s="105" t="str">
        <f t="shared" si="8"/>
        <v>Aug</v>
      </c>
      <c r="H289" s="51">
        <f t="shared" ca="1" si="9"/>
        <v>18</v>
      </c>
      <c r="I289" s="52"/>
      <c r="J289" s="53">
        <v>45050</v>
      </c>
      <c r="K289" s="54">
        <v>1</v>
      </c>
    </row>
    <row r="290" spans="1:11" hidden="1">
      <c r="A290" s="39" t="s">
        <v>539</v>
      </c>
      <c r="B290" s="46" t="s">
        <v>266</v>
      </c>
      <c r="C290" s="39" t="s">
        <v>465</v>
      </c>
      <c r="D290" s="142">
        <v>466348526</v>
      </c>
      <c r="E290" s="39" t="s">
        <v>256</v>
      </c>
      <c r="F290" s="81">
        <v>39312</v>
      </c>
      <c r="G290" s="105" t="str">
        <f t="shared" si="8"/>
        <v>Aug</v>
      </c>
      <c r="H290" s="51">
        <f t="shared" ca="1" si="9"/>
        <v>9</v>
      </c>
      <c r="I290" s="52" t="s">
        <v>262</v>
      </c>
      <c r="J290" s="53">
        <v>71030</v>
      </c>
      <c r="K290" s="54">
        <v>3</v>
      </c>
    </row>
    <row r="291" spans="1:11" hidden="1">
      <c r="A291" s="39" t="s">
        <v>584</v>
      </c>
      <c r="B291" s="46" t="s">
        <v>251</v>
      </c>
      <c r="C291" s="39" t="s">
        <v>465</v>
      </c>
      <c r="D291" s="142">
        <v>811202895</v>
      </c>
      <c r="E291" s="39" t="s">
        <v>261</v>
      </c>
      <c r="F291" s="81">
        <v>34583</v>
      </c>
      <c r="G291" s="105" t="str">
        <f t="shared" si="8"/>
        <v>Sep</v>
      </c>
      <c r="H291" s="51">
        <f t="shared" ca="1" si="9"/>
        <v>22</v>
      </c>
      <c r="I291" s="52" t="s">
        <v>262</v>
      </c>
      <c r="J291" s="53">
        <v>15260</v>
      </c>
      <c r="K291" s="54">
        <v>2</v>
      </c>
    </row>
    <row r="292" spans="1:11" hidden="1">
      <c r="A292" s="39" t="s">
        <v>555</v>
      </c>
      <c r="B292" s="46" t="s">
        <v>285</v>
      </c>
      <c r="C292" s="39" t="s">
        <v>465</v>
      </c>
      <c r="D292" s="142">
        <v>590586478</v>
      </c>
      <c r="E292" s="39" t="s">
        <v>256</v>
      </c>
      <c r="F292" s="81">
        <v>34971</v>
      </c>
      <c r="G292" s="105" t="str">
        <f t="shared" si="8"/>
        <v>Sep</v>
      </c>
      <c r="H292" s="51">
        <f t="shared" ca="1" si="9"/>
        <v>21</v>
      </c>
      <c r="I292" s="52" t="s">
        <v>283</v>
      </c>
      <c r="J292" s="53">
        <v>67050</v>
      </c>
      <c r="K292" s="54">
        <v>4</v>
      </c>
    </row>
    <row r="293" spans="1:11" hidden="1">
      <c r="A293" s="39" t="s">
        <v>482</v>
      </c>
      <c r="B293" s="46" t="s">
        <v>251</v>
      </c>
      <c r="C293" s="39" t="s">
        <v>465</v>
      </c>
      <c r="D293" s="142">
        <v>718722872</v>
      </c>
      <c r="E293" s="39" t="s">
        <v>256</v>
      </c>
      <c r="F293" s="81">
        <v>35311</v>
      </c>
      <c r="G293" s="105" t="str">
        <f t="shared" si="8"/>
        <v>Sep</v>
      </c>
      <c r="H293" s="51">
        <f t="shared" ca="1" si="9"/>
        <v>20</v>
      </c>
      <c r="I293" s="52" t="s">
        <v>267</v>
      </c>
      <c r="J293" s="53">
        <v>39520</v>
      </c>
      <c r="K293" s="54">
        <v>5</v>
      </c>
    </row>
    <row r="294" spans="1:11">
      <c r="A294" s="39" t="s">
        <v>597</v>
      </c>
      <c r="B294" s="46" t="s">
        <v>271</v>
      </c>
      <c r="C294" s="39" t="s">
        <v>465</v>
      </c>
      <c r="D294" s="142">
        <v>436564745</v>
      </c>
      <c r="E294" s="39" t="s">
        <v>256</v>
      </c>
      <c r="F294" s="81">
        <v>35695</v>
      </c>
      <c r="G294" s="105" t="str">
        <f t="shared" si="8"/>
        <v>Sep</v>
      </c>
      <c r="H294" s="51">
        <f t="shared" ca="1" si="9"/>
        <v>19</v>
      </c>
      <c r="I294" s="52" t="s">
        <v>257</v>
      </c>
      <c r="J294" s="53">
        <v>60100</v>
      </c>
      <c r="K294" s="54">
        <v>1</v>
      </c>
    </row>
    <row r="295" spans="1:11" hidden="1">
      <c r="A295" s="39" t="s">
        <v>610</v>
      </c>
      <c r="B295" s="46" t="s">
        <v>285</v>
      </c>
      <c r="C295" s="39" t="s">
        <v>465</v>
      </c>
      <c r="D295" s="142">
        <v>962607933</v>
      </c>
      <c r="E295" s="39" t="s">
        <v>256</v>
      </c>
      <c r="F295" s="81">
        <v>35703</v>
      </c>
      <c r="G295" s="105" t="str">
        <f t="shared" si="8"/>
        <v>Sep</v>
      </c>
      <c r="H295" s="51">
        <f t="shared" ca="1" si="9"/>
        <v>19</v>
      </c>
      <c r="I295" s="52" t="s">
        <v>262</v>
      </c>
      <c r="J295" s="53">
        <v>66430</v>
      </c>
      <c r="K295" s="54">
        <v>2</v>
      </c>
    </row>
    <row r="296" spans="1:11" hidden="1">
      <c r="A296" s="39" t="s">
        <v>573</v>
      </c>
      <c r="B296" s="46" t="s">
        <v>280</v>
      </c>
      <c r="C296" s="39" t="s">
        <v>465</v>
      </c>
      <c r="D296" s="142">
        <v>404442652</v>
      </c>
      <c r="E296" s="39" t="s">
        <v>252</v>
      </c>
      <c r="F296" s="81">
        <v>36067</v>
      </c>
      <c r="G296" s="105" t="str">
        <f t="shared" si="8"/>
        <v>Sep</v>
      </c>
      <c r="H296" s="51">
        <f t="shared" ca="1" si="9"/>
        <v>18</v>
      </c>
      <c r="I296" s="52"/>
      <c r="J296" s="53">
        <v>37612</v>
      </c>
      <c r="K296" s="54">
        <v>4</v>
      </c>
    </row>
    <row r="297" spans="1:11" hidden="1">
      <c r="A297" s="39" t="s">
        <v>515</v>
      </c>
      <c r="B297" s="46" t="s">
        <v>280</v>
      </c>
      <c r="C297" s="39" t="s">
        <v>465</v>
      </c>
      <c r="D297" s="142">
        <v>984227035</v>
      </c>
      <c r="E297" s="39" t="s">
        <v>256</v>
      </c>
      <c r="F297" s="81">
        <v>36413</v>
      </c>
      <c r="G297" s="105" t="str">
        <f t="shared" si="8"/>
        <v>Sep</v>
      </c>
      <c r="H297" s="51">
        <f t="shared" ca="1" si="9"/>
        <v>17</v>
      </c>
      <c r="I297" s="52" t="s">
        <v>257</v>
      </c>
      <c r="J297" s="53">
        <v>40060</v>
      </c>
      <c r="K297" s="54">
        <v>3</v>
      </c>
    </row>
    <row r="298" spans="1:11" hidden="1">
      <c r="A298" s="39" t="s">
        <v>571</v>
      </c>
      <c r="B298" s="46" t="s">
        <v>285</v>
      </c>
      <c r="C298" s="39" t="s">
        <v>465</v>
      </c>
      <c r="D298" s="142">
        <v>723846958</v>
      </c>
      <c r="E298" s="39" t="s">
        <v>261</v>
      </c>
      <c r="F298" s="81">
        <v>36422</v>
      </c>
      <c r="G298" s="105" t="str">
        <f t="shared" si="8"/>
        <v>Sep</v>
      </c>
      <c r="H298" s="51">
        <f t="shared" ca="1" si="9"/>
        <v>17</v>
      </c>
      <c r="I298" s="52" t="s">
        <v>283</v>
      </c>
      <c r="J298" s="53">
        <v>17270</v>
      </c>
      <c r="K298" s="54">
        <v>5</v>
      </c>
    </row>
    <row r="299" spans="1:11" hidden="1">
      <c r="A299" s="39" t="s">
        <v>552</v>
      </c>
      <c r="B299" s="46" t="s">
        <v>285</v>
      </c>
      <c r="C299" s="39" t="s">
        <v>465</v>
      </c>
      <c r="D299" s="142">
        <v>721919475</v>
      </c>
      <c r="E299" s="39" t="s">
        <v>256</v>
      </c>
      <c r="F299" s="81">
        <v>36431</v>
      </c>
      <c r="G299" s="105" t="str">
        <f t="shared" si="8"/>
        <v>Sep</v>
      </c>
      <c r="H299" s="51">
        <f t="shared" ca="1" si="9"/>
        <v>17</v>
      </c>
      <c r="I299" s="52" t="s">
        <v>257</v>
      </c>
      <c r="J299" s="53">
        <v>35820</v>
      </c>
      <c r="K299" s="54">
        <v>2</v>
      </c>
    </row>
    <row r="300" spans="1:11">
      <c r="A300" s="39" t="s">
        <v>600</v>
      </c>
      <c r="B300" s="46" t="s">
        <v>271</v>
      </c>
      <c r="C300" s="39" t="s">
        <v>465</v>
      </c>
      <c r="D300" s="142">
        <v>541519635</v>
      </c>
      <c r="E300" s="39" t="s">
        <v>256</v>
      </c>
      <c r="F300" s="81">
        <v>37509</v>
      </c>
      <c r="G300" s="105" t="str">
        <f t="shared" si="8"/>
        <v>Sep</v>
      </c>
      <c r="H300" s="51">
        <f t="shared" ca="1" si="9"/>
        <v>14</v>
      </c>
      <c r="I300" s="52" t="s">
        <v>283</v>
      </c>
      <c r="J300" s="53">
        <v>69080</v>
      </c>
      <c r="K300" s="54">
        <v>3</v>
      </c>
    </row>
    <row r="301" spans="1:11" hidden="1">
      <c r="A301" s="39" t="s">
        <v>612</v>
      </c>
      <c r="B301" s="46" t="s">
        <v>285</v>
      </c>
      <c r="C301" s="39" t="s">
        <v>465</v>
      </c>
      <c r="D301" s="142">
        <v>536598946</v>
      </c>
      <c r="E301" s="39" t="s">
        <v>256</v>
      </c>
      <c r="F301" s="81">
        <v>37866</v>
      </c>
      <c r="G301" s="105" t="str">
        <f t="shared" si="8"/>
        <v>Sep</v>
      </c>
      <c r="H301" s="51">
        <f t="shared" ca="1" si="9"/>
        <v>13</v>
      </c>
      <c r="I301" s="52" t="s">
        <v>262</v>
      </c>
      <c r="J301" s="53">
        <v>54230</v>
      </c>
      <c r="K301" s="54">
        <v>5</v>
      </c>
    </row>
    <row r="302" spans="1:11" hidden="1">
      <c r="A302" s="39" t="s">
        <v>509</v>
      </c>
      <c r="B302" s="46" t="s">
        <v>280</v>
      </c>
      <c r="C302" s="39" t="s">
        <v>465</v>
      </c>
      <c r="D302" s="142">
        <v>378229868</v>
      </c>
      <c r="E302" s="39" t="s">
        <v>256</v>
      </c>
      <c r="F302" s="81">
        <v>39348</v>
      </c>
      <c r="G302" s="105" t="str">
        <f t="shared" si="8"/>
        <v>Sep</v>
      </c>
      <c r="H302" s="51">
        <f t="shared" ca="1" si="9"/>
        <v>9</v>
      </c>
      <c r="I302" s="52" t="s">
        <v>257</v>
      </c>
      <c r="J302" s="53">
        <v>46220</v>
      </c>
      <c r="K302" s="54">
        <v>2</v>
      </c>
    </row>
    <row r="303" spans="1:11">
      <c r="A303" s="39" t="s">
        <v>479</v>
      </c>
      <c r="B303" s="46" t="s">
        <v>271</v>
      </c>
      <c r="C303" s="39" t="s">
        <v>465</v>
      </c>
      <c r="D303" s="142">
        <v>340814700</v>
      </c>
      <c r="E303" s="39" t="s">
        <v>256</v>
      </c>
      <c r="F303" s="81">
        <v>39696</v>
      </c>
      <c r="G303" s="105" t="str">
        <f t="shared" si="8"/>
        <v>Sep</v>
      </c>
      <c r="H303" s="51">
        <f t="shared" ca="1" si="9"/>
        <v>8</v>
      </c>
      <c r="I303" s="52" t="s">
        <v>257</v>
      </c>
      <c r="J303" s="53">
        <v>69320</v>
      </c>
      <c r="K303" s="54">
        <v>3</v>
      </c>
    </row>
    <row r="304" spans="1:11" hidden="1">
      <c r="A304" s="39" t="s">
        <v>606</v>
      </c>
      <c r="B304" s="46" t="s">
        <v>285</v>
      </c>
      <c r="C304" s="39" t="s">
        <v>465</v>
      </c>
      <c r="D304" s="142">
        <v>658156807</v>
      </c>
      <c r="E304" s="39" t="s">
        <v>247</v>
      </c>
      <c r="F304" s="103">
        <v>40449</v>
      </c>
      <c r="G304" s="105" t="str">
        <f t="shared" si="8"/>
        <v>Sep</v>
      </c>
      <c r="H304" s="51">
        <f t="shared" ca="1" si="9"/>
        <v>6</v>
      </c>
      <c r="I304" s="52"/>
      <c r="J304" s="53">
        <v>88840</v>
      </c>
      <c r="K304" s="54">
        <v>5</v>
      </c>
    </row>
    <row r="305" spans="1:11" hidden="1">
      <c r="A305" s="39" t="s">
        <v>472</v>
      </c>
      <c r="B305" s="46" t="s">
        <v>280</v>
      </c>
      <c r="C305" s="39" t="s">
        <v>465</v>
      </c>
      <c r="D305" s="142">
        <v>405113634</v>
      </c>
      <c r="E305" s="39" t="s">
        <v>247</v>
      </c>
      <c r="F305" s="81">
        <v>34265</v>
      </c>
      <c r="G305" s="105" t="str">
        <f t="shared" si="8"/>
        <v>Oct</v>
      </c>
      <c r="H305" s="51">
        <f t="shared" ca="1" si="9"/>
        <v>23</v>
      </c>
      <c r="I305" s="52"/>
      <c r="J305" s="53">
        <v>35460</v>
      </c>
      <c r="K305" s="54">
        <v>3</v>
      </c>
    </row>
    <row r="306" spans="1:11" hidden="1">
      <c r="A306" s="39" t="s">
        <v>543</v>
      </c>
      <c r="B306" s="46" t="s">
        <v>251</v>
      </c>
      <c r="C306" s="39" t="s">
        <v>465</v>
      </c>
      <c r="D306" s="142">
        <v>304216315</v>
      </c>
      <c r="E306" s="39" t="s">
        <v>261</v>
      </c>
      <c r="F306" s="81">
        <v>35343</v>
      </c>
      <c r="G306" s="105" t="str">
        <f t="shared" si="8"/>
        <v>Oct</v>
      </c>
      <c r="H306" s="51">
        <f t="shared" ca="1" si="9"/>
        <v>20</v>
      </c>
      <c r="I306" s="52" t="s">
        <v>257</v>
      </c>
      <c r="J306" s="53">
        <v>46645</v>
      </c>
      <c r="K306" s="54">
        <v>5</v>
      </c>
    </row>
    <row r="307" spans="1:11">
      <c r="A307" s="39" t="s">
        <v>467</v>
      </c>
      <c r="B307" s="46" t="s">
        <v>271</v>
      </c>
      <c r="C307" s="39" t="s">
        <v>465</v>
      </c>
      <c r="D307" s="142">
        <v>306485800</v>
      </c>
      <c r="E307" s="39" t="s">
        <v>247</v>
      </c>
      <c r="F307" s="81">
        <v>35349</v>
      </c>
      <c r="G307" s="105" t="str">
        <f t="shared" si="8"/>
        <v>Oct</v>
      </c>
      <c r="H307" s="51">
        <f t="shared" ca="1" si="9"/>
        <v>20</v>
      </c>
      <c r="I307" s="52"/>
      <c r="J307" s="53">
        <v>52940</v>
      </c>
      <c r="K307" s="54">
        <v>4</v>
      </c>
    </row>
    <row r="308" spans="1:11">
      <c r="A308" s="39" t="s">
        <v>575</v>
      </c>
      <c r="B308" s="46" t="s">
        <v>271</v>
      </c>
      <c r="C308" s="39" t="s">
        <v>465</v>
      </c>
      <c r="D308" s="142">
        <v>259031813</v>
      </c>
      <c r="E308" s="39" t="s">
        <v>256</v>
      </c>
      <c r="F308" s="81">
        <v>35356</v>
      </c>
      <c r="G308" s="105" t="str">
        <f t="shared" si="8"/>
        <v>Oct</v>
      </c>
      <c r="H308" s="51">
        <f t="shared" ca="1" si="9"/>
        <v>20</v>
      </c>
      <c r="I308" s="52" t="s">
        <v>262</v>
      </c>
      <c r="J308" s="53">
        <v>45480</v>
      </c>
      <c r="K308" s="54">
        <v>4</v>
      </c>
    </row>
    <row r="309" spans="1:11" hidden="1">
      <c r="A309" s="39" t="s">
        <v>473</v>
      </c>
      <c r="B309" s="46" t="s">
        <v>266</v>
      </c>
      <c r="C309" s="39" t="s">
        <v>465</v>
      </c>
      <c r="D309" s="142">
        <v>433875893</v>
      </c>
      <c r="E309" s="39" t="s">
        <v>247</v>
      </c>
      <c r="F309" s="81">
        <v>35360</v>
      </c>
      <c r="G309" s="105" t="str">
        <f t="shared" si="8"/>
        <v>Oct</v>
      </c>
      <c r="H309" s="51">
        <f t="shared" ca="1" si="9"/>
        <v>20</v>
      </c>
      <c r="I309" s="52"/>
      <c r="J309" s="53">
        <v>28260</v>
      </c>
      <c r="K309" s="54">
        <v>5</v>
      </c>
    </row>
    <row r="310" spans="1:11" hidden="1">
      <c r="A310" s="39" t="s">
        <v>550</v>
      </c>
      <c r="B310" s="46" t="s">
        <v>266</v>
      </c>
      <c r="C310" s="39" t="s">
        <v>465</v>
      </c>
      <c r="D310" s="142">
        <v>384161218</v>
      </c>
      <c r="E310" s="39" t="s">
        <v>256</v>
      </c>
      <c r="F310" s="81">
        <v>35361</v>
      </c>
      <c r="G310" s="105" t="str">
        <f t="shared" si="8"/>
        <v>Oct</v>
      </c>
      <c r="H310" s="51">
        <f t="shared" ca="1" si="9"/>
        <v>20</v>
      </c>
      <c r="I310" s="52" t="s">
        <v>257</v>
      </c>
      <c r="J310" s="53">
        <v>59320</v>
      </c>
      <c r="K310" s="54">
        <v>4</v>
      </c>
    </row>
    <row r="311" spans="1:11" hidden="1">
      <c r="A311" s="39" t="s">
        <v>580</v>
      </c>
      <c r="B311" s="46" t="s">
        <v>245</v>
      </c>
      <c r="C311" s="39" t="s">
        <v>465</v>
      </c>
      <c r="D311" s="142">
        <v>555795817</v>
      </c>
      <c r="E311" s="39" t="s">
        <v>256</v>
      </c>
      <c r="F311" s="81">
        <v>35714</v>
      </c>
      <c r="G311" s="105" t="str">
        <f t="shared" si="8"/>
        <v>Oct</v>
      </c>
      <c r="H311" s="51">
        <f t="shared" ca="1" si="9"/>
        <v>19</v>
      </c>
      <c r="I311" s="52" t="s">
        <v>262</v>
      </c>
      <c r="J311" s="53">
        <v>70020</v>
      </c>
      <c r="K311" s="54">
        <v>3</v>
      </c>
    </row>
    <row r="312" spans="1:11" hidden="1">
      <c r="A312" s="39" t="s">
        <v>504</v>
      </c>
      <c r="B312" s="46" t="s">
        <v>280</v>
      </c>
      <c r="C312" s="39" t="s">
        <v>465</v>
      </c>
      <c r="D312" s="142">
        <v>552732056</v>
      </c>
      <c r="E312" s="39" t="s">
        <v>256</v>
      </c>
      <c r="F312" s="81">
        <v>36084</v>
      </c>
      <c r="G312" s="105" t="str">
        <f t="shared" si="8"/>
        <v>Oct</v>
      </c>
      <c r="H312" s="51">
        <f t="shared" ca="1" si="9"/>
        <v>18</v>
      </c>
      <c r="I312" s="52" t="s">
        <v>257</v>
      </c>
      <c r="J312" s="53">
        <v>33210</v>
      </c>
      <c r="K312" s="54">
        <v>4</v>
      </c>
    </row>
    <row r="313" spans="1:11" hidden="1">
      <c r="A313" s="39" t="s">
        <v>553</v>
      </c>
      <c r="B313" s="46" t="s">
        <v>245</v>
      </c>
      <c r="C313" s="39" t="s">
        <v>465</v>
      </c>
      <c r="D313" s="142">
        <v>723983510</v>
      </c>
      <c r="E313" s="39" t="s">
        <v>256</v>
      </c>
      <c r="F313" s="81">
        <v>36444</v>
      </c>
      <c r="G313" s="105" t="str">
        <f t="shared" si="8"/>
        <v>Oct</v>
      </c>
      <c r="H313" s="51">
        <f t="shared" ca="1" si="9"/>
        <v>17</v>
      </c>
      <c r="I313" s="52" t="s">
        <v>257</v>
      </c>
      <c r="J313" s="53">
        <v>67280</v>
      </c>
      <c r="K313" s="54">
        <v>3</v>
      </c>
    </row>
    <row r="314" spans="1:11">
      <c r="A314" s="39" t="s">
        <v>505</v>
      </c>
      <c r="B314" s="46" t="s">
        <v>271</v>
      </c>
      <c r="C314" s="39" t="s">
        <v>465</v>
      </c>
      <c r="D314" s="142">
        <v>867774046</v>
      </c>
      <c r="E314" s="39" t="s">
        <v>247</v>
      </c>
      <c r="F314" s="81">
        <v>36455</v>
      </c>
      <c r="G314" s="105" t="str">
        <f t="shared" si="8"/>
        <v>Oct</v>
      </c>
      <c r="H314" s="51">
        <f t="shared" ca="1" si="9"/>
        <v>17</v>
      </c>
      <c r="I314" s="52"/>
      <c r="J314" s="53">
        <v>23810</v>
      </c>
      <c r="K314" s="54">
        <v>4</v>
      </c>
    </row>
    <row r="315" spans="1:11" hidden="1">
      <c r="A315" s="39" t="s">
        <v>502</v>
      </c>
      <c r="B315" s="46" t="s">
        <v>266</v>
      </c>
      <c r="C315" s="39" t="s">
        <v>465</v>
      </c>
      <c r="D315" s="142">
        <v>595932450</v>
      </c>
      <c r="E315" s="39" t="s">
        <v>247</v>
      </c>
      <c r="F315" s="81">
        <v>37899</v>
      </c>
      <c r="G315" s="105" t="str">
        <f t="shared" si="8"/>
        <v>Oct</v>
      </c>
      <c r="H315" s="51">
        <f t="shared" ca="1" si="9"/>
        <v>13</v>
      </c>
      <c r="I315" s="52"/>
      <c r="J315" s="53">
        <v>64220</v>
      </c>
      <c r="K315" s="54">
        <v>5</v>
      </c>
    </row>
    <row r="316" spans="1:11" hidden="1">
      <c r="A316" s="39" t="s">
        <v>544</v>
      </c>
      <c r="B316" s="46" t="s">
        <v>245</v>
      </c>
      <c r="C316" s="39" t="s">
        <v>465</v>
      </c>
      <c r="D316" s="142">
        <v>550001349</v>
      </c>
      <c r="E316" s="39" t="s">
        <v>247</v>
      </c>
      <c r="F316" s="81">
        <v>38289</v>
      </c>
      <c r="G316" s="105" t="str">
        <f t="shared" si="8"/>
        <v>Oct</v>
      </c>
      <c r="H316" s="51">
        <f t="shared" ca="1" si="9"/>
        <v>12</v>
      </c>
      <c r="I316" s="52"/>
      <c r="J316" s="53">
        <v>71830</v>
      </c>
      <c r="K316" s="54">
        <v>3</v>
      </c>
    </row>
    <row r="317" spans="1:11" hidden="1">
      <c r="A317" s="39" t="s">
        <v>526</v>
      </c>
      <c r="B317" s="46" t="s">
        <v>266</v>
      </c>
      <c r="C317" s="39" t="s">
        <v>465</v>
      </c>
      <c r="D317" s="142">
        <v>685456187</v>
      </c>
      <c r="E317" s="39" t="s">
        <v>252</v>
      </c>
      <c r="F317" s="81">
        <v>39747</v>
      </c>
      <c r="G317" s="105" t="str">
        <f t="shared" si="8"/>
        <v>Oct</v>
      </c>
      <c r="H317" s="51">
        <f t="shared" ca="1" si="9"/>
        <v>8</v>
      </c>
      <c r="I317" s="52"/>
      <c r="J317" s="53">
        <v>10572</v>
      </c>
      <c r="K317" s="54">
        <v>4</v>
      </c>
    </row>
    <row r="318" spans="1:11">
      <c r="A318" s="39" t="s">
        <v>563</v>
      </c>
      <c r="B318" s="46" t="s">
        <v>271</v>
      </c>
      <c r="C318" s="39" t="s">
        <v>465</v>
      </c>
      <c r="D318" s="142">
        <v>161738778</v>
      </c>
      <c r="E318" s="39" t="s">
        <v>247</v>
      </c>
      <c r="F318" s="81">
        <v>40470</v>
      </c>
      <c r="G318" s="105" t="str">
        <f t="shared" si="8"/>
        <v>Oct</v>
      </c>
      <c r="H318" s="51">
        <f t="shared" ca="1" si="9"/>
        <v>6</v>
      </c>
      <c r="I318" s="52"/>
      <c r="J318" s="53">
        <v>37840</v>
      </c>
      <c r="K318" s="54">
        <v>1</v>
      </c>
    </row>
    <row r="319" spans="1:11" hidden="1">
      <c r="A319" s="39" t="s">
        <v>611</v>
      </c>
      <c r="B319" s="46" t="s">
        <v>245</v>
      </c>
      <c r="C319" s="39" t="s">
        <v>465</v>
      </c>
      <c r="D319" s="142">
        <v>842218184</v>
      </c>
      <c r="E319" s="39" t="s">
        <v>256</v>
      </c>
      <c r="F319" s="81">
        <v>35020</v>
      </c>
      <c r="G319" s="105" t="str">
        <f t="shared" si="8"/>
        <v>Nov</v>
      </c>
      <c r="H319" s="51">
        <f t="shared" ca="1" si="9"/>
        <v>20</v>
      </c>
      <c r="I319" s="52" t="s">
        <v>262</v>
      </c>
      <c r="J319" s="53">
        <v>38940</v>
      </c>
      <c r="K319" s="54">
        <v>2</v>
      </c>
    </row>
    <row r="320" spans="1:11" hidden="1">
      <c r="A320" s="39" t="s">
        <v>495</v>
      </c>
      <c r="B320" s="46" t="s">
        <v>285</v>
      </c>
      <c r="C320" s="39" t="s">
        <v>465</v>
      </c>
      <c r="D320" s="142">
        <v>443686803</v>
      </c>
      <c r="E320" s="39" t="s">
        <v>256</v>
      </c>
      <c r="F320" s="81">
        <v>35024</v>
      </c>
      <c r="G320" s="105" t="str">
        <f t="shared" si="8"/>
        <v>Nov</v>
      </c>
      <c r="H320" s="51">
        <f t="shared" ca="1" si="9"/>
        <v>20</v>
      </c>
      <c r="I320" s="52" t="s">
        <v>283</v>
      </c>
      <c r="J320" s="53">
        <v>73072</v>
      </c>
      <c r="K320" s="54">
        <v>5</v>
      </c>
    </row>
    <row r="321" spans="1:11">
      <c r="A321" s="39" t="s">
        <v>570</v>
      </c>
      <c r="B321" s="46" t="s">
        <v>271</v>
      </c>
      <c r="C321" s="39" t="s">
        <v>465</v>
      </c>
      <c r="D321" s="142">
        <v>477177544</v>
      </c>
      <c r="E321" s="39" t="s">
        <v>247</v>
      </c>
      <c r="F321" s="81">
        <v>35379</v>
      </c>
      <c r="G321" s="105" t="str">
        <f t="shared" si="8"/>
        <v>Nov</v>
      </c>
      <c r="H321" s="51">
        <f t="shared" ca="1" si="9"/>
        <v>20</v>
      </c>
      <c r="I321" s="52"/>
      <c r="J321" s="53">
        <v>66010</v>
      </c>
      <c r="K321" s="54">
        <v>2</v>
      </c>
    </row>
    <row r="322" spans="1:11">
      <c r="A322" s="39" t="s">
        <v>568</v>
      </c>
      <c r="B322" s="46" t="s">
        <v>271</v>
      </c>
      <c r="C322" s="39" t="s">
        <v>465</v>
      </c>
      <c r="D322" s="142">
        <v>546182608</v>
      </c>
      <c r="E322" s="39" t="s">
        <v>256</v>
      </c>
      <c r="F322" s="81">
        <v>36101</v>
      </c>
      <c r="G322" s="105" t="str">
        <f t="shared" ref="G322:G385" si="10">CHOOSE(MONTH(F322),"Jan","Feb","Mar","Apr","May","Jun","Jul","Aug","Sep","Oct","Nov","Dec")</f>
        <v>Nov</v>
      </c>
      <c r="H322" s="51">
        <f t="shared" ref="H322:H385" ca="1" si="11">DATEDIF(F322,TODAY(),"Y")</f>
        <v>18</v>
      </c>
      <c r="I322" s="52" t="s">
        <v>257</v>
      </c>
      <c r="J322" s="53">
        <v>88240</v>
      </c>
      <c r="K322" s="54">
        <v>5</v>
      </c>
    </row>
    <row r="323" spans="1:11" hidden="1">
      <c r="A323" s="39" t="s">
        <v>490</v>
      </c>
      <c r="B323" s="46" t="s">
        <v>245</v>
      </c>
      <c r="C323" s="39" t="s">
        <v>465</v>
      </c>
      <c r="D323" s="142">
        <v>122640584</v>
      </c>
      <c r="E323" s="39" t="s">
        <v>256</v>
      </c>
      <c r="F323" s="81">
        <v>36122</v>
      </c>
      <c r="G323" s="105" t="str">
        <f t="shared" si="10"/>
        <v>Nov</v>
      </c>
      <c r="H323" s="51">
        <f t="shared" ca="1" si="11"/>
        <v>17</v>
      </c>
      <c r="I323" s="52" t="s">
        <v>262</v>
      </c>
      <c r="J323" s="53">
        <v>22660</v>
      </c>
      <c r="K323" s="54">
        <v>2</v>
      </c>
    </row>
    <row r="324" spans="1:11" hidden="1">
      <c r="A324" s="39" t="s">
        <v>528</v>
      </c>
      <c r="B324" s="46" t="s">
        <v>266</v>
      </c>
      <c r="C324" s="39" t="s">
        <v>465</v>
      </c>
      <c r="D324" s="142">
        <v>910672133</v>
      </c>
      <c r="E324" s="39" t="s">
        <v>256</v>
      </c>
      <c r="F324" s="81">
        <v>37936</v>
      </c>
      <c r="G324" s="105" t="str">
        <f t="shared" si="10"/>
        <v>Nov</v>
      </c>
      <c r="H324" s="51">
        <f t="shared" ca="1" si="11"/>
        <v>12</v>
      </c>
      <c r="I324" s="52" t="s">
        <v>283</v>
      </c>
      <c r="J324" s="53">
        <v>30920</v>
      </c>
      <c r="K324" s="54">
        <v>5</v>
      </c>
    </row>
    <row r="325" spans="1:11">
      <c r="A325" s="39" t="s">
        <v>503</v>
      </c>
      <c r="B325" s="46" t="s">
        <v>271</v>
      </c>
      <c r="C325" s="39" t="s">
        <v>465</v>
      </c>
      <c r="D325" s="142">
        <v>705336720</v>
      </c>
      <c r="E325" s="39" t="s">
        <v>256</v>
      </c>
      <c r="F325" s="81">
        <v>37943</v>
      </c>
      <c r="G325" s="105" t="str">
        <f t="shared" si="10"/>
        <v>Nov</v>
      </c>
      <c r="H325" s="51">
        <f t="shared" ca="1" si="11"/>
        <v>12</v>
      </c>
      <c r="I325" s="52" t="s">
        <v>257</v>
      </c>
      <c r="J325" s="53">
        <v>75176</v>
      </c>
      <c r="K325" s="54">
        <v>3</v>
      </c>
    </row>
    <row r="326" spans="1:11" hidden="1">
      <c r="A326" s="39" t="s">
        <v>508</v>
      </c>
      <c r="B326" s="46" t="s">
        <v>285</v>
      </c>
      <c r="C326" s="39" t="s">
        <v>465</v>
      </c>
      <c r="D326" s="142">
        <v>272167923</v>
      </c>
      <c r="E326" s="39" t="s">
        <v>247</v>
      </c>
      <c r="F326" s="81">
        <v>38321</v>
      </c>
      <c r="G326" s="105" t="str">
        <f t="shared" si="10"/>
        <v>Nov</v>
      </c>
      <c r="H326" s="51">
        <f t="shared" ca="1" si="11"/>
        <v>11</v>
      </c>
      <c r="I326" s="52"/>
      <c r="J326" s="53">
        <v>37980</v>
      </c>
      <c r="K326" s="54">
        <v>4</v>
      </c>
    </row>
    <row r="327" spans="1:11" hidden="1">
      <c r="A327" s="39" t="s">
        <v>516</v>
      </c>
      <c r="B327" s="46" t="s">
        <v>266</v>
      </c>
      <c r="C327" s="39" t="s">
        <v>465</v>
      </c>
      <c r="D327" s="142">
        <v>907064634</v>
      </c>
      <c r="E327" s="39" t="s">
        <v>256</v>
      </c>
      <c r="F327" s="81">
        <v>38321</v>
      </c>
      <c r="G327" s="105" t="str">
        <f t="shared" si="10"/>
        <v>Nov</v>
      </c>
      <c r="H327" s="51">
        <f t="shared" ca="1" si="11"/>
        <v>11</v>
      </c>
      <c r="I327" s="52" t="s">
        <v>262</v>
      </c>
      <c r="J327" s="53">
        <v>70760</v>
      </c>
      <c r="K327" s="54">
        <v>1</v>
      </c>
    </row>
    <row r="328" spans="1:11" hidden="1">
      <c r="A328" s="39" t="s">
        <v>583</v>
      </c>
      <c r="B328" s="46" t="s">
        <v>285</v>
      </c>
      <c r="C328" s="39" t="s">
        <v>465</v>
      </c>
      <c r="D328" s="142">
        <v>958491107</v>
      </c>
      <c r="E328" s="39" t="s">
        <v>256</v>
      </c>
      <c r="F328" s="81">
        <v>38664</v>
      </c>
      <c r="G328" s="105" t="str">
        <f t="shared" si="10"/>
        <v>Nov</v>
      </c>
      <c r="H328" s="51">
        <f t="shared" ca="1" si="11"/>
        <v>11</v>
      </c>
      <c r="I328" s="52" t="s">
        <v>257</v>
      </c>
      <c r="J328" s="53">
        <v>61060</v>
      </c>
      <c r="K328" s="54">
        <v>5</v>
      </c>
    </row>
    <row r="329" spans="1:11">
      <c r="A329" s="39" t="s">
        <v>564</v>
      </c>
      <c r="B329" s="46" t="s">
        <v>271</v>
      </c>
      <c r="C329" s="39" t="s">
        <v>465</v>
      </c>
      <c r="D329" s="142">
        <v>345428470</v>
      </c>
      <c r="E329" s="39" t="s">
        <v>256</v>
      </c>
      <c r="F329" s="81">
        <v>39390</v>
      </c>
      <c r="G329" s="105" t="str">
        <f t="shared" si="10"/>
        <v>Nov</v>
      </c>
      <c r="H329" s="51">
        <f t="shared" ca="1" si="11"/>
        <v>9</v>
      </c>
      <c r="I329" s="52" t="s">
        <v>267</v>
      </c>
      <c r="J329" s="53">
        <v>71490</v>
      </c>
      <c r="K329" s="54">
        <v>5</v>
      </c>
    </row>
    <row r="330" spans="1:11" hidden="1">
      <c r="A330" s="39" t="s">
        <v>488</v>
      </c>
      <c r="B330" s="46" t="s">
        <v>266</v>
      </c>
      <c r="C330" s="39" t="s">
        <v>465</v>
      </c>
      <c r="D330" s="142">
        <v>642997417</v>
      </c>
      <c r="E330" s="39" t="s">
        <v>247</v>
      </c>
      <c r="F330" s="81">
        <v>34671</v>
      </c>
      <c r="G330" s="105" t="str">
        <f t="shared" si="10"/>
        <v>Dec</v>
      </c>
      <c r="H330" s="51">
        <f t="shared" ca="1" si="11"/>
        <v>21</v>
      </c>
      <c r="I330" s="52"/>
      <c r="J330" s="53">
        <v>80690</v>
      </c>
      <c r="K330" s="54">
        <v>3</v>
      </c>
    </row>
    <row r="331" spans="1:11">
      <c r="A331" s="39" t="s">
        <v>521</v>
      </c>
      <c r="B331" s="46" t="s">
        <v>271</v>
      </c>
      <c r="C331" s="39" t="s">
        <v>465</v>
      </c>
      <c r="D331" s="142">
        <v>345651549</v>
      </c>
      <c r="E331" s="39" t="s">
        <v>261</v>
      </c>
      <c r="F331" s="81">
        <v>36503</v>
      </c>
      <c r="G331" s="105" t="str">
        <f t="shared" si="10"/>
        <v>Dec</v>
      </c>
      <c r="H331" s="51">
        <f t="shared" ca="1" si="11"/>
        <v>16</v>
      </c>
      <c r="I331" s="52" t="s">
        <v>267</v>
      </c>
      <c r="J331" s="53">
        <v>41615</v>
      </c>
      <c r="K331" s="54">
        <v>1</v>
      </c>
    </row>
    <row r="332" spans="1:11" hidden="1">
      <c r="A332" s="39" t="s">
        <v>558</v>
      </c>
      <c r="B332" s="46" t="s">
        <v>280</v>
      </c>
      <c r="C332" s="39" t="s">
        <v>465</v>
      </c>
      <c r="D332" s="142">
        <v>559708965</v>
      </c>
      <c r="E332" s="39" t="s">
        <v>256</v>
      </c>
      <c r="F332" s="81">
        <v>37229</v>
      </c>
      <c r="G332" s="105" t="str">
        <f t="shared" si="10"/>
        <v>Dec</v>
      </c>
      <c r="H332" s="51">
        <f t="shared" ca="1" si="11"/>
        <v>14</v>
      </c>
      <c r="I332" s="52" t="s">
        <v>283</v>
      </c>
      <c r="J332" s="53">
        <v>25310</v>
      </c>
      <c r="K332" s="54">
        <v>4</v>
      </c>
    </row>
    <row r="333" spans="1:11" hidden="1">
      <c r="A333" s="39" t="s">
        <v>527</v>
      </c>
      <c r="B333" s="46" t="s">
        <v>245</v>
      </c>
      <c r="C333" s="39" t="s">
        <v>465</v>
      </c>
      <c r="D333" s="142">
        <v>756744378</v>
      </c>
      <c r="E333" s="39" t="s">
        <v>261</v>
      </c>
      <c r="F333" s="81">
        <v>37620</v>
      </c>
      <c r="G333" s="105" t="str">
        <f t="shared" si="10"/>
        <v>Dec</v>
      </c>
      <c r="H333" s="51">
        <f t="shared" ca="1" si="11"/>
        <v>13</v>
      </c>
      <c r="I333" s="52" t="s">
        <v>257</v>
      </c>
      <c r="J333" s="53">
        <v>24460</v>
      </c>
      <c r="K333" s="54">
        <v>1</v>
      </c>
    </row>
    <row r="334" spans="1:11" hidden="1">
      <c r="A334" s="39" t="s">
        <v>581</v>
      </c>
      <c r="B334" s="46" t="s">
        <v>266</v>
      </c>
      <c r="C334" s="39" t="s">
        <v>465</v>
      </c>
      <c r="D334" s="142">
        <v>685943972</v>
      </c>
      <c r="E334" s="39" t="s">
        <v>256</v>
      </c>
      <c r="F334" s="81">
        <v>40175</v>
      </c>
      <c r="G334" s="105" t="str">
        <f t="shared" si="10"/>
        <v>Dec</v>
      </c>
      <c r="H334" s="51">
        <f t="shared" ca="1" si="11"/>
        <v>6</v>
      </c>
      <c r="I334" s="52" t="s">
        <v>267</v>
      </c>
      <c r="J334" s="53">
        <v>34690</v>
      </c>
      <c r="K334" s="54">
        <v>2</v>
      </c>
    </row>
    <row r="335" spans="1:11" hidden="1">
      <c r="A335" s="39" t="s">
        <v>620</v>
      </c>
      <c r="B335" s="46" t="s">
        <v>266</v>
      </c>
      <c r="C335" s="39" t="s">
        <v>618</v>
      </c>
      <c r="D335" s="142">
        <v>120345438</v>
      </c>
      <c r="E335" s="39" t="s">
        <v>247</v>
      </c>
      <c r="F335" s="103">
        <v>40292</v>
      </c>
      <c r="G335" s="105" t="str">
        <f t="shared" si="10"/>
        <v>Apr</v>
      </c>
      <c r="H335" s="51">
        <f t="shared" ca="1" si="11"/>
        <v>6</v>
      </c>
      <c r="I335" s="52"/>
      <c r="J335" s="53">
        <v>61890</v>
      </c>
      <c r="K335" s="54">
        <v>2</v>
      </c>
    </row>
    <row r="336" spans="1:11" hidden="1">
      <c r="A336" s="39" t="s">
        <v>624</v>
      </c>
      <c r="B336" s="46" t="s">
        <v>251</v>
      </c>
      <c r="C336" s="39" t="s">
        <v>618</v>
      </c>
      <c r="D336" s="142">
        <v>207045843</v>
      </c>
      <c r="E336" s="39" t="s">
        <v>256</v>
      </c>
      <c r="F336" s="81">
        <v>37407</v>
      </c>
      <c r="G336" s="105" t="str">
        <f t="shared" si="10"/>
        <v>May</v>
      </c>
      <c r="H336" s="51">
        <f t="shared" ca="1" si="11"/>
        <v>14</v>
      </c>
      <c r="I336" s="52" t="s">
        <v>257</v>
      </c>
      <c r="J336" s="53">
        <v>59140</v>
      </c>
      <c r="K336" s="54">
        <v>5</v>
      </c>
    </row>
    <row r="337" spans="1:11" hidden="1">
      <c r="A337" s="39" t="s">
        <v>623</v>
      </c>
      <c r="B337" s="46" t="s">
        <v>266</v>
      </c>
      <c r="C337" s="39" t="s">
        <v>618</v>
      </c>
      <c r="D337" s="142">
        <v>239619427</v>
      </c>
      <c r="E337" s="39" t="s">
        <v>256</v>
      </c>
      <c r="F337" s="103">
        <v>40313</v>
      </c>
      <c r="G337" s="105" t="str">
        <f t="shared" si="10"/>
        <v>May</v>
      </c>
      <c r="H337" s="51">
        <f t="shared" ca="1" si="11"/>
        <v>6</v>
      </c>
      <c r="I337" s="52" t="s">
        <v>283</v>
      </c>
      <c r="J337" s="53">
        <v>27250</v>
      </c>
      <c r="K337" s="54">
        <v>5</v>
      </c>
    </row>
    <row r="338" spans="1:11" hidden="1">
      <c r="A338" s="39" t="s">
        <v>619</v>
      </c>
      <c r="B338" s="46" t="s">
        <v>280</v>
      </c>
      <c r="C338" s="39" t="s">
        <v>618</v>
      </c>
      <c r="D338" s="142">
        <v>990297868</v>
      </c>
      <c r="E338" s="39" t="s">
        <v>256</v>
      </c>
      <c r="F338" s="81">
        <v>33832</v>
      </c>
      <c r="G338" s="105" t="str">
        <f t="shared" si="10"/>
        <v>Aug</v>
      </c>
      <c r="H338" s="51">
        <f t="shared" ca="1" si="11"/>
        <v>24</v>
      </c>
      <c r="I338" s="52" t="s">
        <v>257</v>
      </c>
      <c r="J338" s="53">
        <v>39160</v>
      </c>
      <c r="K338" s="54">
        <v>3</v>
      </c>
    </row>
    <row r="339" spans="1:11" hidden="1">
      <c r="A339" s="39" t="s">
        <v>617</v>
      </c>
      <c r="B339" s="46" t="s">
        <v>245</v>
      </c>
      <c r="C339" s="39" t="s">
        <v>618</v>
      </c>
      <c r="D339" s="142">
        <v>514726375</v>
      </c>
      <c r="E339" s="39" t="s">
        <v>247</v>
      </c>
      <c r="F339" s="81">
        <v>36765</v>
      </c>
      <c r="G339" s="105" t="str">
        <f t="shared" si="10"/>
        <v>Aug</v>
      </c>
      <c r="H339" s="51">
        <f t="shared" ca="1" si="11"/>
        <v>16</v>
      </c>
      <c r="I339" s="52"/>
      <c r="J339" s="53">
        <v>74500</v>
      </c>
      <c r="K339" s="54">
        <v>4</v>
      </c>
    </row>
    <row r="340" spans="1:11" hidden="1">
      <c r="A340" s="39" t="s">
        <v>621</v>
      </c>
      <c r="B340" s="46" t="s">
        <v>285</v>
      </c>
      <c r="C340" s="39" t="s">
        <v>618</v>
      </c>
      <c r="D340" s="142">
        <v>322939853</v>
      </c>
      <c r="E340" s="39" t="s">
        <v>256</v>
      </c>
      <c r="F340" s="81">
        <v>37936</v>
      </c>
      <c r="G340" s="105" t="str">
        <f t="shared" si="10"/>
        <v>Nov</v>
      </c>
      <c r="H340" s="51">
        <f t="shared" ca="1" si="11"/>
        <v>12</v>
      </c>
      <c r="I340" s="52" t="s">
        <v>283</v>
      </c>
      <c r="J340" s="53">
        <v>53870</v>
      </c>
      <c r="K340" s="54">
        <v>2</v>
      </c>
    </row>
    <row r="341" spans="1:11" hidden="1">
      <c r="A341" s="39" t="s">
        <v>622</v>
      </c>
      <c r="B341" s="46" t="s">
        <v>245</v>
      </c>
      <c r="C341" s="39" t="s">
        <v>618</v>
      </c>
      <c r="D341" s="142">
        <v>827551891</v>
      </c>
      <c r="E341" s="39" t="s">
        <v>256</v>
      </c>
      <c r="F341" s="81">
        <v>39038</v>
      </c>
      <c r="G341" s="105" t="str">
        <f t="shared" si="10"/>
        <v>Nov</v>
      </c>
      <c r="H341" s="51">
        <f t="shared" ca="1" si="11"/>
        <v>9</v>
      </c>
      <c r="I341" s="52" t="s">
        <v>276</v>
      </c>
      <c r="J341" s="53">
        <v>71400</v>
      </c>
      <c r="K341" s="54">
        <v>4</v>
      </c>
    </row>
    <row r="342" spans="1:11" hidden="1">
      <c r="A342" s="39" t="s">
        <v>672</v>
      </c>
      <c r="B342" s="46" t="s">
        <v>280</v>
      </c>
      <c r="C342" s="39" t="s">
        <v>626</v>
      </c>
      <c r="D342" s="142">
        <v>171825470</v>
      </c>
      <c r="E342" s="39" t="s">
        <v>256</v>
      </c>
      <c r="F342" s="81">
        <v>33247</v>
      </c>
      <c r="G342" s="105" t="str">
        <f t="shared" si="10"/>
        <v>Jan</v>
      </c>
      <c r="H342" s="51">
        <f t="shared" ca="1" si="11"/>
        <v>25</v>
      </c>
      <c r="I342" s="52" t="s">
        <v>257</v>
      </c>
      <c r="J342" s="53">
        <v>62740</v>
      </c>
      <c r="K342" s="54">
        <v>4</v>
      </c>
    </row>
    <row r="343" spans="1:11" hidden="1">
      <c r="A343" s="39" t="s">
        <v>651</v>
      </c>
      <c r="B343" s="46" t="s">
        <v>285</v>
      </c>
      <c r="C343" s="39" t="s">
        <v>626</v>
      </c>
      <c r="D343" s="142">
        <v>694065556</v>
      </c>
      <c r="E343" s="39" t="s">
        <v>256</v>
      </c>
      <c r="F343" s="81">
        <v>33606</v>
      </c>
      <c r="G343" s="105" t="str">
        <f t="shared" si="10"/>
        <v>Jan</v>
      </c>
      <c r="H343" s="51">
        <f t="shared" ca="1" si="11"/>
        <v>24</v>
      </c>
      <c r="I343" s="52" t="s">
        <v>262</v>
      </c>
      <c r="J343" s="53">
        <v>87120</v>
      </c>
      <c r="K343" s="54">
        <v>3</v>
      </c>
    </row>
    <row r="344" spans="1:11" hidden="1">
      <c r="A344" s="39" t="s">
        <v>627</v>
      </c>
      <c r="B344" s="46" t="s">
        <v>285</v>
      </c>
      <c r="C344" s="39" t="s">
        <v>626</v>
      </c>
      <c r="D344" s="142">
        <v>943448320</v>
      </c>
      <c r="E344" s="39" t="s">
        <v>261</v>
      </c>
      <c r="F344" s="81">
        <v>38362</v>
      </c>
      <c r="G344" s="105" t="str">
        <f t="shared" si="10"/>
        <v>Jan</v>
      </c>
      <c r="H344" s="51">
        <f t="shared" ca="1" si="11"/>
        <v>11</v>
      </c>
      <c r="I344" s="52" t="s">
        <v>257</v>
      </c>
      <c r="J344" s="53">
        <v>31255</v>
      </c>
      <c r="K344" s="54">
        <v>5</v>
      </c>
    </row>
    <row r="345" spans="1:11" hidden="1">
      <c r="A345" s="39" t="s">
        <v>629</v>
      </c>
      <c r="B345" s="46" t="s">
        <v>245</v>
      </c>
      <c r="C345" s="39" t="s">
        <v>626</v>
      </c>
      <c r="D345" s="142">
        <v>862506782</v>
      </c>
      <c r="E345" s="39" t="s">
        <v>261</v>
      </c>
      <c r="F345" s="81">
        <v>39098</v>
      </c>
      <c r="G345" s="105" t="str">
        <f t="shared" si="10"/>
        <v>Jan</v>
      </c>
      <c r="H345" s="51">
        <f t="shared" ca="1" si="11"/>
        <v>9</v>
      </c>
      <c r="I345" s="52" t="s">
        <v>283</v>
      </c>
      <c r="J345" s="53">
        <v>47705</v>
      </c>
      <c r="K345" s="54">
        <v>5</v>
      </c>
    </row>
    <row r="346" spans="1:11">
      <c r="A346" s="39" t="s">
        <v>644</v>
      </c>
      <c r="B346" s="46" t="s">
        <v>271</v>
      </c>
      <c r="C346" s="39" t="s">
        <v>626</v>
      </c>
      <c r="D346" s="142">
        <v>885791115</v>
      </c>
      <c r="E346" s="39" t="s">
        <v>256</v>
      </c>
      <c r="F346" s="81">
        <v>40209</v>
      </c>
      <c r="G346" s="105" t="str">
        <f t="shared" si="10"/>
        <v>Jan</v>
      </c>
      <c r="H346" s="51">
        <f t="shared" ca="1" si="11"/>
        <v>6</v>
      </c>
      <c r="I346" s="52" t="s">
        <v>283</v>
      </c>
      <c r="J346" s="53">
        <v>45260</v>
      </c>
      <c r="K346" s="54">
        <v>4</v>
      </c>
    </row>
    <row r="347" spans="1:11" hidden="1">
      <c r="A347" s="39" t="s">
        <v>657</v>
      </c>
      <c r="B347" s="46" t="s">
        <v>245</v>
      </c>
      <c r="C347" s="39" t="s">
        <v>626</v>
      </c>
      <c r="D347" s="142">
        <v>677986742</v>
      </c>
      <c r="E347" s="39" t="s">
        <v>247</v>
      </c>
      <c r="F347" s="81">
        <v>36192</v>
      </c>
      <c r="G347" s="105" t="str">
        <f t="shared" si="10"/>
        <v>Feb</v>
      </c>
      <c r="H347" s="51">
        <f t="shared" ca="1" si="11"/>
        <v>17</v>
      </c>
      <c r="I347" s="52"/>
      <c r="J347" s="53">
        <v>47620</v>
      </c>
      <c r="K347" s="54">
        <v>5</v>
      </c>
    </row>
    <row r="348" spans="1:11" hidden="1">
      <c r="A348" s="39" t="s">
        <v>664</v>
      </c>
      <c r="B348" s="46" t="s">
        <v>251</v>
      </c>
      <c r="C348" s="39" t="s">
        <v>626</v>
      </c>
      <c r="D348" s="142">
        <v>917381822</v>
      </c>
      <c r="E348" s="39" t="s">
        <v>247</v>
      </c>
      <c r="F348" s="81">
        <v>36199</v>
      </c>
      <c r="G348" s="105" t="str">
        <f t="shared" si="10"/>
        <v>Feb</v>
      </c>
      <c r="H348" s="51">
        <f t="shared" ca="1" si="11"/>
        <v>17</v>
      </c>
      <c r="I348" s="52"/>
      <c r="J348" s="53">
        <v>31270</v>
      </c>
      <c r="K348" s="54">
        <v>5</v>
      </c>
    </row>
    <row r="349" spans="1:11" hidden="1">
      <c r="A349" s="39" t="s">
        <v>665</v>
      </c>
      <c r="B349" s="46" t="s">
        <v>245</v>
      </c>
      <c r="C349" s="39" t="s">
        <v>626</v>
      </c>
      <c r="D349" s="142">
        <v>979116858</v>
      </c>
      <c r="E349" s="39" t="s">
        <v>256</v>
      </c>
      <c r="F349" s="81">
        <v>36940</v>
      </c>
      <c r="G349" s="105" t="str">
        <f t="shared" si="10"/>
        <v>Feb</v>
      </c>
      <c r="H349" s="51">
        <f t="shared" ca="1" si="11"/>
        <v>15</v>
      </c>
      <c r="I349" s="52" t="s">
        <v>257</v>
      </c>
      <c r="J349" s="53">
        <v>48990</v>
      </c>
      <c r="K349" s="54">
        <v>5</v>
      </c>
    </row>
    <row r="350" spans="1:11" hidden="1">
      <c r="A350" s="39" t="s">
        <v>653</v>
      </c>
      <c r="B350" s="46" t="s">
        <v>245</v>
      </c>
      <c r="C350" s="39" t="s">
        <v>626</v>
      </c>
      <c r="D350" s="142">
        <v>682361988</v>
      </c>
      <c r="E350" s="39" t="s">
        <v>261</v>
      </c>
      <c r="F350" s="81">
        <v>39871</v>
      </c>
      <c r="G350" s="105" t="str">
        <f t="shared" si="10"/>
        <v>Feb</v>
      </c>
      <c r="H350" s="51">
        <f t="shared" ca="1" si="11"/>
        <v>7</v>
      </c>
      <c r="I350" s="52" t="s">
        <v>267</v>
      </c>
      <c r="J350" s="53">
        <v>38575</v>
      </c>
      <c r="K350" s="54">
        <v>2</v>
      </c>
    </row>
    <row r="351" spans="1:11" hidden="1">
      <c r="A351" s="39" t="s">
        <v>654</v>
      </c>
      <c r="B351" s="46" t="s">
        <v>285</v>
      </c>
      <c r="C351" s="39" t="s">
        <v>626</v>
      </c>
      <c r="D351" s="142">
        <v>767017228</v>
      </c>
      <c r="E351" s="39" t="s">
        <v>252</v>
      </c>
      <c r="F351" s="81">
        <v>33305</v>
      </c>
      <c r="G351" s="105" t="str">
        <f t="shared" si="10"/>
        <v>Mar</v>
      </c>
      <c r="H351" s="51">
        <f t="shared" ca="1" si="11"/>
        <v>25</v>
      </c>
      <c r="I351" s="52"/>
      <c r="J351" s="53">
        <v>36844</v>
      </c>
      <c r="K351" s="54">
        <v>4</v>
      </c>
    </row>
    <row r="352" spans="1:11">
      <c r="A352" s="39" t="s">
        <v>643</v>
      </c>
      <c r="B352" s="46" t="s">
        <v>271</v>
      </c>
      <c r="C352" s="39" t="s">
        <v>626</v>
      </c>
      <c r="D352" s="142">
        <v>399139820</v>
      </c>
      <c r="E352" s="39" t="s">
        <v>261</v>
      </c>
      <c r="F352" s="81">
        <v>33319</v>
      </c>
      <c r="G352" s="105" t="str">
        <f t="shared" si="10"/>
        <v>Mar</v>
      </c>
      <c r="H352" s="51">
        <f t="shared" ca="1" si="11"/>
        <v>25</v>
      </c>
      <c r="I352" s="52" t="s">
        <v>267</v>
      </c>
      <c r="J352" s="53">
        <v>13090</v>
      </c>
      <c r="K352" s="54">
        <v>4</v>
      </c>
    </row>
    <row r="353" spans="1:11" hidden="1">
      <c r="A353" s="39" t="s">
        <v>638</v>
      </c>
      <c r="B353" s="46" t="s">
        <v>285</v>
      </c>
      <c r="C353" s="39" t="s">
        <v>626</v>
      </c>
      <c r="D353" s="142">
        <v>210874862</v>
      </c>
      <c r="E353" s="39" t="s">
        <v>256</v>
      </c>
      <c r="F353" s="81">
        <v>34034</v>
      </c>
      <c r="G353" s="105" t="str">
        <f t="shared" si="10"/>
        <v>Mar</v>
      </c>
      <c r="H353" s="51">
        <f t="shared" ca="1" si="11"/>
        <v>23</v>
      </c>
      <c r="I353" s="52" t="s">
        <v>267</v>
      </c>
      <c r="J353" s="53">
        <v>45180</v>
      </c>
      <c r="K353" s="54">
        <v>5</v>
      </c>
    </row>
    <row r="354" spans="1:11" hidden="1">
      <c r="A354" s="39" t="s">
        <v>652</v>
      </c>
      <c r="B354" s="46" t="s">
        <v>266</v>
      </c>
      <c r="C354" s="39" t="s">
        <v>626</v>
      </c>
      <c r="D354" s="142">
        <v>674184236</v>
      </c>
      <c r="E354" s="39" t="s">
        <v>247</v>
      </c>
      <c r="F354" s="81">
        <v>34054</v>
      </c>
      <c r="G354" s="105" t="str">
        <f t="shared" si="10"/>
        <v>Mar</v>
      </c>
      <c r="H354" s="51">
        <f t="shared" ca="1" si="11"/>
        <v>23</v>
      </c>
      <c r="I354" s="52"/>
      <c r="J354" s="53">
        <v>29000</v>
      </c>
      <c r="K354" s="54">
        <v>5</v>
      </c>
    </row>
    <row r="355" spans="1:11" hidden="1">
      <c r="A355" s="39" t="s">
        <v>671</v>
      </c>
      <c r="B355" s="46" t="s">
        <v>266</v>
      </c>
      <c r="C355" s="39" t="s">
        <v>626</v>
      </c>
      <c r="D355" s="142">
        <v>843245863</v>
      </c>
      <c r="E355" s="39" t="s">
        <v>247</v>
      </c>
      <c r="F355" s="81">
        <v>35518</v>
      </c>
      <c r="G355" s="105" t="str">
        <f t="shared" si="10"/>
        <v>Mar</v>
      </c>
      <c r="H355" s="51">
        <f t="shared" ca="1" si="11"/>
        <v>19</v>
      </c>
      <c r="I355" s="52"/>
      <c r="J355" s="53">
        <v>53870</v>
      </c>
      <c r="K355" s="54">
        <v>2</v>
      </c>
    </row>
    <row r="356" spans="1:11" hidden="1">
      <c r="A356" s="39" t="s">
        <v>660</v>
      </c>
      <c r="B356" s="46" t="s">
        <v>245</v>
      </c>
      <c r="C356" s="39" t="s">
        <v>626</v>
      </c>
      <c r="D356" s="142">
        <v>895361839</v>
      </c>
      <c r="E356" s="39" t="s">
        <v>256</v>
      </c>
      <c r="F356" s="81">
        <v>35856</v>
      </c>
      <c r="G356" s="105" t="str">
        <f t="shared" si="10"/>
        <v>Mar</v>
      </c>
      <c r="H356" s="51">
        <f t="shared" ca="1" si="11"/>
        <v>18</v>
      </c>
      <c r="I356" s="52" t="s">
        <v>276</v>
      </c>
      <c r="J356" s="53">
        <v>86830</v>
      </c>
      <c r="K356" s="54">
        <v>3</v>
      </c>
    </row>
    <row r="357" spans="1:11">
      <c r="A357" s="39" t="s">
        <v>635</v>
      </c>
      <c r="B357" s="46" t="s">
        <v>271</v>
      </c>
      <c r="C357" s="39" t="s">
        <v>626</v>
      </c>
      <c r="D357" s="142">
        <v>970855038</v>
      </c>
      <c r="E357" s="39" t="s">
        <v>256</v>
      </c>
      <c r="F357" s="81">
        <v>35857</v>
      </c>
      <c r="G357" s="105" t="str">
        <f t="shared" si="10"/>
        <v>Mar</v>
      </c>
      <c r="H357" s="51">
        <f t="shared" ca="1" si="11"/>
        <v>18</v>
      </c>
      <c r="I357" s="52" t="s">
        <v>283</v>
      </c>
      <c r="J357" s="53">
        <v>82110</v>
      </c>
      <c r="K357" s="54">
        <v>3</v>
      </c>
    </row>
    <row r="358" spans="1:11" hidden="1">
      <c r="A358" s="39" t="s">
        <v>645</v>
      </c>
      <c r="B358" s="46" t="s">
        <v>245</v>
      </c>
      <c r="C358" s="39" t="s">
        <v>626</v>
      </c>
      <c r="D358" s="142">
        <v>935313931</v>
      </c>
      <c r="E358" s="39" t="s">
        <v>256</v>
      </c>
      <c r="F358" s="81">
        <v>39157</v>
      </c>
      <c r="G358" s="105" t="str">
        <f t="shared" si="10"/>
        <v>Mar</v>
      </c>
      <c r="H358" s="51">
        <f t="shared" ca="1" si="11"/>
        <v>9</v>
      </c>
      <c r="I358" s="52" t="s">
        <v>283</v>
      </c>
      <c r="J358" s="53">
        <v>47610</v>
      </c>
      <c r="K358" s="54">
        <v>4</v>
      </c>
    </row>
    <row r="359" spans="1:11" hidden="1">
      <c r="A359" s="39" t="s">
        <v>642</v>
      </c>
      <c r="B359" s="46" t="s">
        <v>285</v>
      </c>
      <c r="C359" s="39" t="s">
        <v>626</v>
      </c>
      <c r="D359" s="142">
        <v>605738977</v>
      </c>
      <c r="E359" s="39" t="s">
        <v>256</v>
      </c>
      <c r="F359" s="81">
        <v>33695</v>
      </c>
      <c r="G359" s="105" t="str">
        <f t="shared" si="10"/>
        <v>Apr</v>
      </c>
      <c r="H359" s="51">
        <f t="shared" ca="1" si="11"/>
        <v>24</v>
      </c>
      <c r="I359" s="52" t="s">
        <v>262</v>
      </c>
      <c r="J359" s="53">
        <v>60560</v>
      </c>
      <c r="K359" s="54">
        <v>4</v>
      </c>
    </row>
    <row r="360" spans="1:11" hidden="1">
      <c r="A360" s="39" t="s">
        <v>661</v>
      </c>
      <c r="B360" s="46" t="s">
        <v>245</v>
      </c>
      <c r="C360" s="39" t="s">
        <v>626</v>
      </c>
      <c r="D360" s="142">
        <v>155922498</v>
      </c>
      <c r="E360" s="39" t="s">
        <v>256</v>
      </c>
      <c r="F360" s="81">
        <v>33702</v>
      </c>
      <c r="G360" s="105" t="str">
        <f t="shared" si="10"/>
        <v>Apr</v>
      </c>
      <c r="H360" s="51">
        <f t="shared" ca="1" si="11"/>
        <v>24</v>
      </c>
      <c r="I360" s="52" t="s">
        <v>257</v>
      </c>
      <c r="J360" s="53">
        <v>37020</v>
      </c>
      <c r="K360" s="54">
        <v>2</v>
      </c>
    </row>
    <row r="361" spans="1:11" hidden="1">
      <c r="A361" s="39" t="s">
        <v>662</v>
      </c>
      <c r="B361" s="46" t="s">
        <v>285</v>
      </c>
      <c r="C361" s="39" t="s">
        <v>626</v>
      </c>
      <c r="D361" s="142">
        <v>952364976</v>
      </c>
      <c r="E361" s="39" t="s">
        <v>256</v>
      </c>
      <c r="F361" s="81">
        <v>34067</v>
      </c>
      <c r="G361" s="105" t="str">
        <f t="shared" si="10"/>
        <v>Apr</v>
      </c>
      <c r="H361" s="51">
        <f t="shared" ca="1" si="11"/>
        <v>23</v>
      </c>
      <c r="I361" s="52" t="s">
        <v>267</v>
      </c>
      <c r="J361" s="53">
        <v>86540</v>
      </c>
      <c r="K361" s="54">
        <v>4</v>
      </c>
    </row>
    <row r="362" spans="1:11" hidden="1">
      <c r="A362" s="39" t="s">
        <v>663</v>
      </c>
      <c r="B362" s="46" t="s">
        <v>285</v>
      </c>
      <c r="C362" s="39" t="s">
        <v>626</v>
      </c>
      <c r="D362" s="142">
        <v>991088309</v>
      </c>
      <c r="E362" s="39" t="s">
        <v>256</v>
      </c>
      <c r="F362" s="81">
        <v>35547</v>
      </c>
      <c r="G362" s="105" t="str">
        <f t="shared" si="10"/>
        <v>Apr</v>
      </c>
      <c r="H362" s="51">
        <f t="shared" ca="1" si="11"/>
        <v>19</v>
      </c>
      <c r="I362" s="52" t="s">
        <v>257</v>
      </c>
      <c r="J362" s="53">
        <v>81640</v>
      </c>
      <c r="K362" s="54">
        <v>4</v>
      </c>
    </row>
    <row r="363" spans="1:11" hidden="1">
      <c r="A363" s="39" t="s">
        <v>655</v>
      </c>
      <c r="B363" s="46" t="s">
        <v>266</v>
      </c>
      <c r="C363" s="39" t="s">
        <v>626</v>
      </c>
      <c r="D363" s="142">
        <v>233241165</v>
      </c>
      <c r="E363" s="39" t="s">
        <v>256</v>
      </c>
      <c r="F363" s="81">
        <v>36297</v>
      </c>
      <c r="G363" s="105" t="str">
        <f t="shared" si="10"/>
        <v>May</v>
      </c>
      <c r="H363" s="51">
        <f t="shared" ca="1" si="11"/>
        <v>17</v>
      </c>
      <c r="I363" s="52" t="s">
        <v>257</v>
      </c>
      <c r="J363" s="53">
        <v>46030</v>
      </c>
      <c r="K363" s="54">
        <v>2</v>
      </c>
    </row>
    <row r="364" spans="1:11" hidden="1">
      <c r="A364" s="39" t="s">
        <v>634</v>
      </c>
      <c r="B364" s="46" t="s">
        <v>245</v>
      </c>
      <c r="C364" s="39" t="s">
        <v>626</v>
      </c>
      <c r="D364" s="142">
        <v>937778217</v>
      </c>
      <c r="E364" s="39" t="s">
        <v>256</v>
      </c>
      <c r="F364" s="81">
        <v>36662</v>
      </c>
      <c r="G364" s="105" t="str">
        <f t="shared" si="10"/>
        <v>May</v>
      </c>
      <c r="H364" s="51">
        <f t="shared" ca="1" si="11"/>
        <v>16</v>
      </c>
      <c r="I364" s="52" t="s">
        <v>283</v>
      </c>
      <c r="J364" s="53">
        <v>52490</v>
      </c>
      <c r="K364" s="54">
        <v>4</v>
      </c>
    </row>
    <row r="365" spans="1:11" hidden="1">
      <c r="A365" s="39" t="s">
        <v>674</v>
      </c>
      <c r="B365" s="46" t="s">
        <v>251</v>
      </c>
      <c r="C365" s="39" t="s">
        <v>626</v>
      </c>
      <c r="D365" s="142">
        <v>622315898</v>
      </c>
      <c r="E365" s="39" t="s">
        <v>247</v>
      </c>
      <c r="F365" s="81">
        <v>38496</v>
      </c>
      <c r="G365" s="105" t="str">
        <f t="shared" si="10"/>
        <v>May</v>
      </c>
      <c r="H365" s="51">
        <f t="shared" ca="1" si="11"/>
        <v>11</v>
      </c>
      <c r="I365" s="52"/>
      <c r="J365" s="53">
        <v>57520</v>
      </c>
      <c r="K365" s="54">
        <v>3</v>
      </c>
    </row>
    <row r="366" spans="1:11" hidden="1">
      <c r="A366" s="39" t="s">
        <v>641</v>
      </c>
      <c r="B366" s="46" t="s">
        <v>251</v>
      </c>
      <c r="C366" s="39" t="s">
        <v>626</v>
      </c>
      <c r="D366" s="142">
        <v>548535224</v>
      </c>
      <c r="E366" s="39" t="s">
        <v>256</v>
      </c>
      <c r="F366" s="81">
        <v>33407</v>
      </c>
      <c r="G366" s="105" t="str">
        <f t="shared" si="10"/>
        <v>Jun</v>
      </c>
      <c r="H366" s="51">
        <f t="shared" ca="1" si="11"/>
        <v>25</v>
      </c>
      <c r="I366" s="52" t="s">
        <v>257</v>
      </c>
      <c r="J366" s="53">
        <v>22900</v>
      </c>
      <c r="K366" s="54">
        <v>1</v>
      </c>
    </row>
    <row r="367" spans="1:11" hidden="1">
      <c r="A367" s="39" t="s">
        <v>631</v>
      </c>
      <c r="B367" s="46" t="s">
        <v>251</v>
      </c>
      <c r="C367" s="39" t="s">
        <v>626</v>
      </c>
      <c r="D367" s="142">
        <v>234113739</v>
      </c>
      <c r="E367" s="39" t="s">
        <v>256</v>
      </c>
      <c r="F367" s="81">
        <v>33765</v>
      </c>
      <c r="G367" s="105" t="str">
        <f t="shared" si="10"/>
        <v>Jun</v>
      </c>
      <c r="H367" s="51">
        <f t="shared" ca="1" si="11"/>
        <v>24</v>
      </c>
      <c r="I367" s="52" t="s">
        <v>262</v>
      </c>
      <c r="J367" s="53">
        <v>73930</v>
      </c>
      <c r="K367" s="54">
        <v>1</v>
      </c>
    </row>
    <row r="368" spans="1:11" hidden="1">
      <c r="A368" s="39" t="s">
        <v>637</v>
      </c>
      <c r="B368" s="46" t="s">
        <v>285</v>
      </c>
      <c r="C368" s="39" t="s">
        <v>626</v>
      </c>
      <c r="D368" s="142">
        <v>762238863</v>
      </c>
      <c r="E368" s="39" t="s">
        <v>256</v>
      </c>
      <c r="F368" s="81">
        <v>34875</v>
      </c>
      <c r="G368" s="105" t="str">
        <f t="shared" si="10"/>
        <v>Jun</v>
      </c>
      <c r="H368" s="51">
        <f t="shared" ca="1" si="11"/>
        <v>21</v>
      </c>
      <c r="I368" s="52" t="s">
        <v>276</v>
      </c>
      <c r="J368" s="53">
        <v>66920</v>
      </c>
      <c r="K368" s="54">
        <v>2</v>
      </c>
    </row>
    <row r="369" spans="1:11" hidden="1">
      <c r="A369" s="39" t="s">
        <v>670</v>
      </c>
      <c r="B369" s="46" t="s">
        <v>245</v>
      </c>
      <c r="C369" s="39" t="s">
        <v>626</v>
      </c>
      <c r="D369" s="142">
        <v>294537211</v>
      </c>
      <c r="E369" s="39" t="s">
        <v>256</v>
      </c>
      <c r="F369" s="81">
        <v>35220</v>
      </c>
      <c r="G369" s="105" t="str">
        <f t="shared" si="10"/>
        <v>Jun</v>
      </c>
      <c r="H369" s="51">
        <f t="shared" ca="1" si="11"/>
        <v>20</v>
      </c>
      <c r="I369" s="52" t="s">
        <v>267</v>
      </c>
      <c r="J369" s="53">
        <v>70480</v>
      </c>
      <c r="K369" s="54">
        <v>4</v>
      </c>
    </row>
    <row r="370" spans="1:11" hidden="1">
      <c r="A370" s="39" t="s">
        <v>658</v>
      </c>
      <c r="B370" s="46" t="s">
        <v>285</v>
      </c>
      <c r="C370" s="39" t="s">
        <v>626</v>
      </c>
      <c r="D370" s="142">
        <v>585798273</v>
      </c>
      <c r="E370" s="39" t="s">
        <v>247</v>
      </c>
      <c r="F370" s="81">
        <v>36703</v>
      </c>
      <c r="G370" s="105" t="str">
        <f t="shared" si="10"/>
        <v>Jun</v>
      </c>
      <c r="H370" s="51">
        <f t="shared" ca="1" si="11"/>
        <v>16</v>
      </c>
      <c r="I370" s="52"/>
      <c r="J370" s="53">
        <v>50200</v>
      </c>
      <c r="K370" s="54">
        <v>4</v>
      </c>
    </row>
    <row r="371" spans="1:11">
      <c r="A371" s="39" t="s">
        <v>636</v>
      </c>
      <c r="B371" s="46" t="s">
        <v>271</v>
      </c>
      <c r="C371" s="39" t="s">
        <v>626</v>
      </c>
      <c r="D371" s="142">
        <v>158724247</v>
      </c>
      <c r="E371" s="39" t="s">
        <v>261</v>
      </c>
      <c r="F371" s="81">
        <v>40351</v>
      </c>
      <c r="G371" s="105" t="str">
        <f t="shared" si="10"/>
        <v>Jun</v>
      </c>
      <c r="H371" s="51">
        <f t="shared" ca="1" si="11"/>
        <v>6</v>
      </c>
      <c r="I371" s="52" t="s">
        <v>283</v>
      </c>
      <c r="J371" s="53">
        <v>20040</v>
      </c>
      <c r="K371" s="54">
        <v>3</v>
      </c>
    </row>
    <row r="372" spans="1:11" hidden="1">
      <c r="A372" s="39" t="s">
        <v>666</v>
      </c>
      <c r="B372" s="46" t="s">
        <v>285</v>
      </c>
      <c r="C372" s="39" t="s">
        <v>626</v>
      </c>
      <c r="D372" s="142">
        <v>599051506</v>
      </c>
      <c r="E372" s="39" t="s">
        <v>256</v>
      </c>
      <c r="F372" s="81">
        <v>34177</v>
      </c>
      <c r="G372" s="105" t="str">
        <f t="shared" si="10"/>
        <v>Jul</v>
      </c>
      <c r="H372" s="51">
        <f t="shared" ca="1" si="11"/>
        <v>23</v>
      </c>
      <c r="I372" s="52" t="s">
        <v>283</v>
      </c>
      <c r="J372" s="53">
        <v>65250</v>
      </c>
      <c r="K372" s="54">
        <v>2</v>
      </c>
    </row>
    <row r="373" spans="1:11" hidden="1">
      <c r="A373" s="39" t="s">
        <v>646</v>
      </c>
      <c r="B373" s="46" t="s">
        <v>245</v>
      </c>
      <c r="C373" s="39" t="s">
        <v>626</v>
      </c>
      <c r="D373" s="142">
        <v>507652823</v>
      </c>
      <c r="E373" s="39" t="s">
        <v>256</v>
      </c>
      <c r="F373" s="81">
        <v>35254</v>
      </c>
      <c r="G373" s="105" t="str">
        <f t="shared" si="10"/>
        <v>Jul</v>
      </c>
      <c r="H373" s="51">
        <f t="shared" ca="1" si="11"/>
        <v>20</v>
      </c>
      <c r="I373" s="52" t="s">
        <v>257</v>
      </c>
      <c r="J373" s="53">
        <v>48800</v>
      </c>
      <c r="K373" s="54">
        <v>4</v>
      </c>
    </row>
    <row r="374" spans="1:11" hidden="1">
      <c r="A374" s="39" t="s">
        <v>667</v>
      </c>
      <c r="B374" s="46" t="s">
        <v>280</v>
      </c>
      <c r="C374" s="39" t="s">
        <v>626</v>
      </c>
      <c r="D374" s="142">
        <v>941271824</v>
      </c>
      <c r="E374" s="39" t="s">
        <v>261</v>
      </c>
      <c r="F374" s="81">
        <v>36371</v>
      </c>
      <c r="G374" s="105" t="str">
        <f t="shared" si="10"/>
        <v>Jul</v>
      </c>
      <c r="H374" s="51">
        <f t="shared" ca="1" si="11"/>
        <v>17</v>
      </c>
      <c r="I374" s="52" t="s">
        <v>283</v>
      </c>
      <c r="J374" s="53">
        <v>26790</v>
      </c>
      <c r="K374" s="54">
        <v>2</v>
      </c>
    </row>
    <row r="375" spans="1:11">
      <c r="A375" s="39" t="s">
        <v>656</v>
      </c>
      <c r="B375" s="46" t="s">
        <v>271</v>
      </c>
      <c r="C375" s="39" t="s">
        <v>626</v>
      </c>
      <c r="D375" s="142">
        <v>901475948</v>
      </c>
      <c r="E375" s="39" t="s">
        <v>247</v>
      </c>
      <c r="F375" s="81">
        <v>39283</v>
      </c>
      <c r="G375" s="105" t="str">
        <f t="shared" si="10"/>
        <v>Jul</v>
      </c>
      <c r="H375" s="51">
        <f t="shared" ca="1" si="11"/>
        <v>9</v>
      </c>
      <c r="I375" s="52"/>
      <c r="J375" s="53">
        <v>74470</v>
      </c>
      <c r="K375" s="54">
        <v>3</v>
      </c>
    </row>
    <row r="376" spans="1:11">
      <c r="A376" s="39" t="s">
        <v>639</v>
      </c>
      <c r="B376" s="46" t="s">
        <v>271</v>
      </c>
      <c r="C376" s="39" t="s">
        <v>626</v>
      </c>
      <c r="D376" s="142">
        <v>483076823</v>
      </c>
      <c r="E376" s="39" t="s">
        <v>256</v>
      </c>
      <c r="F376" s="81">
        <v>40361</v>
      </c>
      <c r="G376" s="105" t="str">
        <f t="shared" si="10"/>
        <v>Jul</v>
      </c>
      <c r="H376" s="51">
        <f t="shared" ca="1" si="11"/>
        <v>6</v>
      </c>
      <c r="I376" s="52" t="s">
        <v>267</v>
      </c>
      <c r="J376" s="53">
        <v>75780</v>
      </c>
      <c r="K376" s="54">
        <v>2</v>
      </c>
    </row>
    <row r="377" spans="1:11" hidden="1">
      <c r="A377" s="39" t="s">
        <v>628</v>
      </c>
      <c r="B377" s="46" t="s">
        <v>251</v>
      </c>
      <c r="C377" s="39" t="s">
        <v>626</v>
      </c>
      <c r="D377" s="142">
        <v>199085929</v>
      </c>
      <c r="E377" s="39" t="s">
        <v>256</v>
      </c>
      <c r="F377" s="81">
        <v>35282</v>
      </c>
      <c r="G377" s="105" t="str">
        <f t="shared" si="10"/>
        <v>Aug</v>
      </c>
      <c r="H377" s="51">
        <f t="shared" ca="1" si="11"/>
        <v>20</v>
      </c>
      <c r="I377" s="52" t="s">
        <v>257</v>
      </c>
      <c r="J377" s="53">
        <v>57560</v>
      </c>
      <c r="K377" s="54">
        <v>4</v>
      </c>
    </row>
    <row r="378" spans="1:11" hidden="1">
      <c r="A378" s="39" t="s">
        <v>650</v>
      </c>
      <c r="B378" s="46" t="s">
        <v>251</v>
      </c>
      <c r="C378" s="39" t="s">
        <v>626</v>
      </c>
      <c r="D378" s="142">
        <v>996159905</v>
      </c>
      <c r="E378" s="39" t="s">
        <v>256</v>
      </c>
      <c r="F378" s="81">
        <v>36392</v>
      </c>
      <c r="G378" s="105" t="str">
        <f t="shared" si="10"/>
        <v>Aug</v>
      </c>
      <c r="H378" s="51">
        <f t="shared" ca="1" si="11"/>
        <v>17</v>
      </c>
      <c r="I378" s="52" t="s">
        <v>283</v>
      </c>
      <c r="J378" s="53">
        <v>51410</v>
      </c>
      <c r="K378" s="54">
        <v>4</v>
      </c>
    </row>
    <row r="379" spans="1:11" hidden="1">
      <c r="A379" s="39" t="s">
        <v>632</v>
      </c>
      <c r="B379" s="46" t="s">
        <v>280</v>
      </c>
      <c r="C379" s="39" t="s">
        <v>626</v>
      </c>
      <c r="D379" s="142">
        <v>197502491</v>
      </c>
      <c r="E379" s="39" t="s">
        <v>247</v>
      </c>
      <c r="F379" s="81">
        <v>34947</v>
      </c>
      <c r="G379" s="105" t="str">
        <f t="shared" si="10"/>
        <v>Sep</v>
      </c>
      <c r="H379" s="51">
        <f t="shared" ca="1" si="11"/>
        <v>21</v>
      </c>
      <c r="I379" s="52"/>
      <c r="J379" s="53">
        <v>81930</v>
      </c>
      <c r="K379" s="54">
        <v>5</v>
      </c>
    </row>
    <row r="380" spans="1:11" hidden="1">
      <c r="A380" s="39" t="s">
        <v>669</v>
      </c>
      <c r="B380" s="46" t="s">
        <v>285</v>
      </c>
      <c r="C380" s="39" t="s">
        <v>626</v>
      </c>
      <c r="D380" s="142">
        <v>895098676</v>
      </c>
      <c r="E380" s="39" t="s">
        <v>247</v>
      </c>
      <c r="F380" s="81">
        <v>35682</v>
      </c>
      <c r="G380" s="105" t="str">
        <f t="shared" si="10"/>
        <v>Sep</v>
      </c>
      <c r="H380" s="51">
        <f t="shared" ca="1" si="11"/>
        <v>19</v>
      </c>
      <c r="I380" s="52"/>
      <c r="J380" s="53">
        <v>63850</v>
      </c>
      <c r="K380" s="54">
        <v>2</v>
      </c>
    </row>
    <row r="381" spans="1:11" hidden="1">
      <c r="A381" s="39" t="s">
        <v>649</v>
      </c>
      <c r="B381" s="46" t="s">
        <v>245</v>
      </c>
      <c r="C381" s="39" t="s">
        <v>626</v>
      </c>
      <c r="D381" s="142">
        <v>349561540</v>
      </c>
      <c r="E381" s="39" t="s">
        <v>261</v>
      </c>
      <c r="F381" s="81">
        <v>37138</v>
      </c>
      <c r="G381" s="105" t="str">
        <f t="shared" si="10"/>
        <v>Sep</v>
      </c>
      <c r="H381" s="51">
        <f t="shared" ca="1" si="11"/>
        <v>15</v>
      </c>
      <c r="I381" s="52" t="s">
        <v>262</v>
      </c>
      <c r="J381" s="53">
        <v>31110</v>
      </c>
      <c r="K381" s="54">
        <v>1</v>
      </c>
    </row>
    <row r="382" spans="1:11" hidden="1">
      <c r="A382" s="39" t="s">
        <v>673</v>
      </c>
      <c r="B382" s="46" t="s">
        <v>280</v>
      </c>
      <c r="C382" s="39" t="s">
        <v>626</v>
      </c>
      <c r="D382" s="142">
        <v>676505063</v>
      </c>
      <c r="E382" s="39" t="s">
        <v>261</v>
      </c>
      <c r="F382" s="81">
        <v>37141</v>
      </c>
      <c r="G382" s="105" t="str">
        <f t="shared" si="10"/>
        <v>Sep</v>
      </c>
      <c r="H382" s="51">
        <f t="shared" ca="1" si="11"/>
        <v>15</v>
      </c>
      <c r="I382" s="52" t="s">
        <v>276</v>
      </c>
      <c r="J382" s="53">
        <v>15910</v>
      </c>
      <c r="K382" s="54">
        <v>3</v>
      </c>
    </row>
    <row r="383" spans="1:11" hidden="1">
      <c r="A383" s="39" t="s">
        <v>648</v>
      </c>
      <c r="B383" s="46" t="s">
        <v>266</v>
      </c>
      <c r="C383" s="39" t="s">
        <v>626</v>
      </c>
      <c r="D383" s="142">
        <v>312007523</v>
      </c>
      <c r="E383" s="39" t="s">
        <v>256</v>
      </c>
      <c r="F383" s="81">
        <v>40083</v>
      </c>
      <c r="G383" s="105" t="str">
        <f t="shared" si="10"/>
        <v>Sep</v>
      </c>
      <c r="H383" s="51">
        <f t="shared" ca="1" si="11"/>
        <v>7</v>
      </c>
      <c r="I383" s="52" t="s">
        <v>283</v>
      </c>
      <c r="J383" s="53">
        <v>44150</v>
      </c>
      <c r="K383" s="54">
        <v>4</v>
      </c>
    </row>
    <row r="384" spans="1:11">
      <c r="A384" s="39" t="s">
        <v>640</v>
      </c>
      <c r="B384" s="46" t="s">
        <v>271</v>
      </c>
      <c r="C384" s="39" t="s">
        <v>626</v>
      </c>
      <c r="D384" s="142">
        <v>782026732</v>
      </c>
      <c r="E384" s="39" t="s">
        <v>256</v>
      </c>
      <c r="F384" s="81">
        <v>40447</v>
      </c>
      <c r="G384" s="105" t="str">
        <f t="shared" si="10"/>
        <v>Sep</v>
      </c>
      <c r="H384" s="51">
        <f t="shared" ca="1" si="11"/>
        <v>6</v>
      </c>
      <c r="I384" s="52" t="s">
        <v>257</v>
      </c>
      <c r="J384" s="53">
        <v>33970</v>
      </c>
      <c r="K384" s="54">
        <v>4</v>
      </c>
    </row>
    <row r="385" spans="1:16" hidden="1">
      <c r="A385" s="39" t="s">
        <v>675</v>
      </c>
      <c r="B385" s="46" t="s">
        <v>285</v>
      </c>
      <c r="C385" s="39" t="s">
        <v>626</v>
      </c>
      <c r="D385" s="142">
        <v>937722165</v>
      </c>
      <c r="E385" s="39" t="s">
        <v>261</v>
      </c>
      <c r="F385" s="81">
        <v>36094</v>
      </c>
      <c r="G385" s="105" t="str">
        <f t="shared" si="10"/>
        <v>Oct</v>
      </c>
      <c r="H385" s="51">
        <f t="shared" ca="1" si="11"/>
        <v>18</v>
      </c>
      <c r="I385" s="52" t="s">
        <v>257</v>
      </c>
      <c r="J385" s="53">
        <v>47885</v>
      </c>
      <c r="K385" s="54">
        <v>1</v>
      </c>
    </row>
    <row r="386" spans="1:16">
      <c r="A386" s="39" t="s">
        <v>633</v>
      </c>
      <c r="B386" s="46" t="s">
        <v>271</v>
      </c>
      <c r="C386" s="39" t="s">
        <v>626</v>
      </c>
      <c r="D386" s="142">
        <v>586533673</v>
      </c>
      <c r="E386" s="39" t="s">
        <v>256</v>
      </c>
      <c r="F386" s="81">
        <v>36456</v>
      </c>
      <c r="G386" s="105" t="str">
        <f t="shared" ref="G386:G449" si="12">CHOOSE(MONTH(F386),"Jan","Feb","Mar","Apr","May","Jun","Jul","Aug","Sep","Oct","Nov","Dec")</f>
        <v>Oct</v>
      </c>
      <c r="H386" s="51">
        <f t="shared" ref="H386:H449" ca="1" si="13">DATEDIF(F386,TODAY(),"Y")</f>
        <v>17</v>
      </c>
      <c r="I386" s="52" t="s">
        <v>283</v>
      </c>
      <c r="J386" s="53">
        <v>43460</v>
      </c>
      <c r="K386" s="54">
        <v>5</v>
      </c>
    </row>
    <row r="387" spans="1:16" hidden="1">
      <c r="A387" s="39" t="s">
        <v>630</v>
      </c>
      <c r="B387" s="46" t="s">
        <v>285</v>
      </c>
      <c r="C387" s="39" t="s">
        <v>626</v>
      </c>
      <c r="D387" s="142">
        <v>763766240</v>
      </c>
      <c r="E387" s="39" t="s">
        <v>256</v>
      </c>
      <c r="F387" s="81">
        <v>36463</v>
      </c>
      <c r="G387" s="105" t="str">
        <f t="shared" si="12"/>
        <v>Oct</v>
      </c>
      <c r="H387" s="51">
        <f t="shared" ca="1" si="13"/>
        <v>17</v>
      </c>
      <c r="I387" s="52" t="s">
        <v>257</v>
      </c>
      <c r="J387" s="53">
        <v>44220</v>
      </c>
      <c r="K387" s="54">
        <v>3</v>
      </c>
    </row>
    <row r="388" spans="1:16">
      <c r="A388" s="39" t="s">
        <v>676</v>
      </c>
      <c r="B388" s="46" t="s">
        <v>271</v>
      </c>
      <c r="C388" s="39" t="s">
        <v>626</v>
      </c>
      <c r="D388" s="142">
        <v>738428268</v>
      </c>
      <c r="E388" s="39" t="s">
        <v>261</v>
      </c>
      <c r="F388" s="81">
        <v>37166</v>
      </c>
      <c r="G388" s="105" t="str">
        <f t="shared" si="12"/>
        <v>Oct</v>
      </c>
      <c r="H388" s="51">
        <f t="shared" ca="1" si="13"/>
        <v>15</v>
      </c>
      <c r="I388" s="52" t="s">
        <v>262</v>
      </c>
      <c r="J388" s="53">
        <v>47295</v>
      </c>
      <c r="K388" s="54">
        <v>4</v>
      </c>
    </row>
    <row r="389" spans="1:16" hidden="1">
      <c r="A389" s="39" t="s">
        <v>625</v>
      </c>
      <c r="B389" s="46" t="s">
        <v>285</v>
      </c>
      <c r="C389" s="39" t="s">
        <v>626</v>
      </c>
      <c r="D389" s="142">
        <v>837295427</v>
      </c>
      <c r="E389" s="39" t="s">
        <v>256</v>
      </c>
      <c r="F389" s="81">
        <v>36116</v>
      </c>
      <c r="G389" s="105" t="str">
        <f t="shared" si="12"/>
        <v>Nov</v>
      </c>
      <c r="H389" s="51">
        <f t="shared" ca="1" si="13"/>
        <v>17</v>
      </c>
      <c r="I389" s="52" t="s">
        <v>276</v>
      </c>
      <c r="J389" s="53">
        <v>49770</v>
      </c>
      <c r="K389" s="54">
        <v>1</v>
      </c>
    </row>
    <row r="390" spans="1:16" hidden="1">
      <c r="A390" s="39" t="s">
        <v>647</v>
      </c>
      <c r="B390" s="46" t="s">
        <v>245</v>
      </c>
      <c r="C390" s="39" t="s">
        <v>626</v>
      </c>
      <c r="D390" s="142">
        <v>184143893</v>
      </c>
      <c r="E390" s="39" t="s">
        <v>261</v>
      </c>
      <c r="F390" s="81">
        <v>36121</v>
      </c>
      <c r="G390" s="105" t="str">
        <f t="shared" si="12"/>
        <v>Nov</v>
      </c>
      <c r="H390" s="51">
        <f t="shared" ca="1" si="13"/>
        <v>17</v>
      </c>
      <c r="I390" s="52" t="s">
        <v>283</v>
      </c>
      <c r="J390" s="53">
        <v>28880</v>
      </c>
      <c r="K390" s="54">
        <v>3</v>
      </c>
    </row>
    <row r="391" spans="1:16" hidden="1">
      <c r="A391" s="39" t="s">
        <v>659</v>
      </c>
      <c r="B391" s="46" t="s">
        <v>245</v>
      </c>
      <c r="C391" s="39" t="s">
        <v>626</v>
      </c>
      <c r="D391" s="142">
        <v>260692174</v>
      </c>
      <c r="E391" s="39" t="s">
        <v>256</v>
      </c>
      <c r="F391" s="81">
        <v>33223</v>
      </c>
      <c r="G391" s="105" t="str">
        <f t="shared" si="12"/>
        <v>Dec</v>
      </c>
      <c r="H391" s="51">
        <f t="shared" ca="1" si="13"/>
        <v>25</v>
      </c>
      <c r="I391" s="52" t="s">
        <v>262</v>
      </c>
      <c r="J391" s="53">
        <v>31260</v>
      </c>
      <c r="K391" s="54">
        <v>5</v>
      </c>
    </row>
    <row r="392" spans="1:16">
      <c r="A392" s="39" t="s">
        <v>668</v>
      </c>
      <c r="B392" s="46" t="s">
        <v>271</v>
      </c>
      <c r="C392" s="39" t="s">
        <v>626</v>
      </c>
      <c r="D392" s="142">
        <v>734335400</v>
      </c>
      <c r="E392" s="39" t="s">
        <v>247</v>
      </c>
      <c r="F392" s="81">
        <v>35776</v>
      </c>
      <c r="G392" s="105" t="str">
        <f t="shared" si="12"/>
        <v>Dec</v>
      </c>
      <c r="H392" s="51">
        <f t="shared" ca="1" si="13"/>
        <v>18</v>
      </c>
      <c r="I392" s="52"/>
      <c r="J392" s="53">
        <v>77930</v>
      </c>
      <c r="K392" s="54">
        <v>5</v>
      </c>
    </row>
    <row r="393" spans="1:16" hidden="1">
      <c r="A393" s="39" t="s">
        <v>690</v>
      </c>
      <c r="B393" s="46" t="s">
        <v>280</v>
      </c>
      <c r="C393" s="39" t="s">
        <v>678</v>
      </c>
      <c r="D393" s="142">
        <v>190774334</v>
      </c>
      <c r="E393" s="39" t="s">
        <v>256</v>
      </c>
      <c r="F393" s="81">
        <v>33617</v>
      </c>
      <c r="G393" s="105" t="str">
        <f t="shared" si="12"/>
        <v>Jan</v>
      </c>
      <c r="H393" s="51">
        <f t="shared" ca="1" si="13"/>
        <v>24</v>
      </c>
      <c r="I393" s="52" t="s">
        <v>257</v>
      </c>
      <c r="J393" s="53">
        <v>39110</v>
      </c>
      <c r="K393" s="54">
        <v>5</v>
      </c>
      <c r="O393" s="75"/>
      <c r="P393" s="75"/>
    </row>
    <row r="394" spans="1:16" hidden="1">
      <c r="A394" s="39" t="s">
        <v>694</v>
      </c>
      <c r="B394" s="46" t="s">
        <v>285</v>
      </c>
      <c r="C394" s="39" t="s">
        <v>678</v>
      </c>
      <c r="D394" s="142">
        <v>147187549</v>
      </c>
      <c r="E394" s="39" t="s">
        <v>247</v>
      </c>
      <c r="F394" s="81">
        <v>35447</v>
      </c>
      <c r="G394" s="105" t="str">
        <f t="shared" si="12"/>
        <v>Jan</v>
      </c>
      <c r="H394" s="51">
        <f t="shared" ca="1" si="13"/>
        <v>19</v>
      </c>
      <c r="I394" s="52"/>
      <c r="J394" s="53">
        <v>54190</v>
      </c>
      <c r="K394" s="54">
        <v>4</v>
      </c>
    </row>
    <row r="395" spans="1:16">
      <c r="A395" s="39" t="s">
        <v>687</v>
      </c>
      <c r="B395" s="46" t="s">
        <v>271</v>
      </c>
      <c r="C395" s="39" t="s">
        <v>678</v>
      </c>
      <c r="D395" s="142">
        <v>379565911</v>
      </c>
      <c r="E395" s="39" t="s">
        <v>256</v>
      </c>
      <c r="F395" s="81">
        <v>36175</v>
      </c>
      <c r="G395" s="105" t="str">
        <f t="shared" si="12"/>
        <v>Jan</v>
      </c>
      <c r="H395" s="51">
        <f t="shared" ca="1" si="13"/>
        <v>17</v>
      </c>
      <c r="I395" s="52" t="s">
        <v>283</v>
      </c>
      <c r="J395" s="53">
        <v>23520</v>
      </c>
      <c r="K395" s="54">
        <v>2</v>
      </c>
    </row>
    <row r="396" spans="1:16">
      <c r="A396" s="39" t="s">
        <v>698</v>
      </c>
      <c r="B396" s="46" t="s">
        <v>271</v>
      </c>
      <c r="C396" s="39" t="s">
        <v>678</v>
      </c>
      <c r="D396" s="142">
        <v>516952157</v>
      </c>
      <c r="E396" s="39" t="s">
        <v>256</v>
      </c>
      <c r="F396" s="81">
        <v>36898</v>
      </c>
      <c r="G396" s="105" t="str">
        <f t="shared" si="12"/>
        <v>Jan</v>
      </c>
      <c r="H396" s="51">
        <f t="shared" ca="1" si="13"/>
        <v>15</v>
      </c>
      <c r="I396" s="52" t="s">
        <v>257</v>
      </c>
      <c r="J396" s="53">
        <v>71820</v>
      </c>
      <c r="K396" s="54">
        <v>2</v>
      </c>
    </row>
    <row r="397" spans="1:16" hidden="1">
      <c r="A397" s="39" t="s">
        <v>677</v>
      </c>
      <c r="B397" s="46" t="s">
        <v>285</v>
      </c>
      <c r="C397" s="39" t="s">
        <v>678</v>
      </c>
      <c r="D397" s="142">
        <v>881953845</v>
      </c>
      <c r="E397" s="39" t="s">
        <v>256</v>
      </c>
      <c r="F397" s="81">
        <v>35121</v>
      </c>
      <c r="G397" s="105" t="str">
        <f t="shared" si="12"/>
        <v>Feb</v>
      </c>
      <c r="H397" s="51">
        <f t="shared" ca="1" si="13"/>
        <v>20</v>
      </c>
      <c r="I397" s="52" t="s">
        <v>283</v>
      </c>
      <c r="J397" s="53">
        <v>22860</v>
      </c>
      <c r="K397" s="54">
        <v>5</v>
      </c>
    </row>
    <row r="398" spans="1:16" hidden="1">
      <c r="A398" s="39" t="s">
        <v>686</v>
      </c>
      <c r="B398" s="46" t="s">
        <v>280</v>
      </c>
      <c r="C398" s="39" t="s">
        <v>678</v>
      </c>
      <c r="D398" s="142">
        <v>351873196</v>
      </c>
      <c r="E398" s="39" t="s">
        <v>256</v>
      </c>
      <c r="F398" s="81">
        <v>36567</v>
      </c>
      <c r="G398" s="105" t="str">
        <f t="shared" si="12"/>
        <v>Feb</v>
      </c>
      <c r="H398" s="51">
        <f t="shared" ca="1" si="13"/>
        <v>16</v>
      </c>
      <c r="I398" s="52" t="s">
        <v>276</v>
      </c>
      <c r="J398" s="53">
        <v>45450</v>
      </c>
      <c r="K398" s="54">
        <v>5</v>
      </c>
    </row>
    <row r="399" spans="1:16" hidden="1">
      <c r="A399" s="39" t="s">
        <v>680</v>
      </c>
      <c r="B399" s="46" t="s">
        <v>280</v>
      </c>
      <c r="C399" s="39" t="s">
        <v>678</v>
      </c>
      <c r="D399" s="142">
        <v>450868567</v>
      </c>
      <c r="E399" s="39" t="s">
        <v>261</v>
      </c>
      <c r="F399" s="81">
        <v>35150</v>
      </c>
      <c r="G399" s="105" t="str">
        <f t="shared" si="12"/>
        <v>Mar</v>
      </c>
      <c r="H399" s="51">
        <f t="shared" ca="1" si="13"/>
        <v>20</v>
      </c>
      <c r="I399" s="52" t="s">
        <v>257</v>
      </c>
      <c r="J399" s="53">
        <v>49405</v>
      </c>
      <c r="K399" s="54">
        <v>4</v>
      </c>
      <c r="O399" s="75"/>
      <c r="P399" s="75"/>
    </row>
    <row r="400" spans="1:16" hidden="1">
      <c r="A400" s="39" t="s">
        <v>692</v>
      </c>
      <c r="B400" s="46" t="s">
        <v>285</v>
      </c>
      <c r="C400" s="39" t="s">
        <v>678</v>
      </c>
      <c r="D400" s="142">
        <v>704405967</v>
      </c>
      <c r="E400" s="39" t="s">
        <v>256</v>
      </c>
      <c r="F400" s="81">
        <v>33741</v>
      </c>
      <c r="G400" s="105" t="str">
        <f t="shared" si="12"/>
        <v>May</v>
      </c>
      <c r="H400" s="51">
        <f t="shared" ca="1" si="13"/>
        <v>24</v>
      </c>
      <c r="I400" s="52" t="s">
        <v>257</v>
      </c>
      <c r="J400" s="53">
        <v>48550</v>
      </c>
      <c r="K400" s="54">
        <v>5</v>
      </c>
    </row>
    <row r="401" spans="1:11">
      <c r="A401" s="39" t="s">
        <v>695</v>
      </c>
      <c r="B401" s="46" t="s">
        <v>271</v>
      </c>
      <c r="C401" s="39" t="s">
        <v>678</v>
      </c>
      <c r="D401" s="142">
        <v>602454157</v>
      </c>
      <c r="E401" s="39" t="s">
        <v>261</v>
      </c>
      <c r="F401" s="81">
        <v>35961</v>
      </c>
      <c r="G401" s="105" t="str">
        <f t="shared" si="12"/>
        <v>Jun</v>
      </c>
      <c r="H401" s="51">
        <f t="shared" ca="1" si="13"/>
        <v>18</v>
      </c>
      <c r="I401" s="52" t="s">
        <v>257</v>
      </c>
      <c r="J401" s="53">
        <v>20500</v>
      </c>
      <c r="K401" s="54">
        <v>3</v>
      </c>
    </row>
    <row r="402" spans="1:11" hidden="1">
      <c r="A402" s="39" t="s">
        <v>688</v>
      </c>
      <c r="B402" s="46" t="s">
        <v>251</v>
      </c>
      <c r="C402" s="39" t="s">
        <v>678</v>
      </c>
      <c r="D402" s="142">
        <v>414238218</v>
      </c>
      <c r="E402" s="39" t="s">
        <v>247</v>
      </c>
      <c r="F402" s="81">
        <v>40333</v>
      </c>
      <c r="G402" s="105" t="str">
        <f t="shared" si="12"/>
        <v>Jun</v>
      </c>
      <c r="H402" s="51">
        <f t="shared" ca="1" si="13"/>
        <v>6</v>
      </c>
      <c r="I402" s="52"/>
      <c r="J402" s="53">
        <v>74020</v>
      </c>
      <c r="K402" s="54">
        <v>2</v>
      </c>
    </row>
    <row r="403" spans="1:11" hidden="1">
      <c r="A403" s="39" t="s">
        <v>689</v>
      </c>
      <c r="B403" s="46" t="s">
        <v>285</v>
      </c>
      <c r="C403" s="39" t="s">
        <v>678</v>
      </c>
      <c r="D403" s="142">
        <v>185843653</v>
      </c>
      <c r="E403" s="39" t="s">
        <v>247</v>
      </c>
      <c r="F403" s="81">
        <v>37803</v>
      </c>
      <c r="G403" s="105" t="str">
        <f t="shared" si="12"/>
        <v>Jul</v>
      </c>
      <c r="H403" s="51">
        <f t="shared" ca="1" si="13"/>
        <v>13</v>
      </c>
      <c r="I403" s="52"/>
      <c r="J403" s="53">
        <v>78100</v>
      </c>
      <c r="K403" s="54">
        <v>3</v>
      </c>
    </row>
    <row r="404" spans="1:11" hidden="1">
      <c r="A404" s="39" t="s">
        <v>683</v>
      </c>
      <c r="B404" s="46" t="s">
        <v>266</v>
      </c>
      <c r="C404" s="39" t="s">
        <v>678</v>
      </c>
      <c r="D404" s="142">
        <v>890487042</v>
      </c>
      <c r="E404" s="39" t="s">
        <v>252</v>
      </c>
      <c r="F404" s="81">
        <v>37827</v>
      </c>
      <c r="G404" s="105" t="str">
        <f t="shared" si="12"/>
        <v>Jul</v>
      </c>
      <c r="H404" s="51">
        <f t="shared" ca="1" si="13"/>
        <v>13</v>
      </c>
      <c r="I404" s="52"/>
      <c r="J404" s="53">
        <v>11044</v>
      </c>
      <c r="K404" s="54">
        <v>2</v>
      </c>
    </row>
    <row r="405" spans="1:11">
      <c r="A405" s="39" t="s">
        <v>697</v>
      </c>
      <c r="B405" s="46" t="s">
        <v>271</v>
      </c>
      <c r="C405" s="39" t="s">
        <v>678</v>
      </c>
      <c r="D405" s="142">
        <v>363638517</v>
      </c>
      <c r="E405" s="39" t="s">
        <v>247</v>
      </c>
      <c r="F405" s="81">
        <v>40372</v>
      </c>
      <c r="G405" s="105" t="str">
        <f t="shared" si="12"/>
        <v>Jul</v>
      </c>
      <c r="H405" s="51">
        <f t="shared" ca="1" si="13"/>
        <v>6</v>
      </c>
      <c r="I405" s="52"/>
      <c r="J405" s="53">
        <v>75100</v>
      </c>
      <c r="K405" s="54">
        <v>4</v>
      </c>
    </row>
    <row r="406" spans="1:11" hidden="1">
      <c r="A406" s="39" t="s">
        <v>691</v>
      </c>
      <c r="B406" s="46" t="s">
        <v>245</v>
      </c>
      <c r="C406" s="39" t="s">
        <v>678</v>
      </c>
      <c r="D406" s="142">
        <v>766919462</v>
      </c>
      <c r="E406" s="39" t="s">
        <v>247</v>
      </c>
      <c r="F406" s="81">
        <v>36047</v>
      </c>
      <c r="G406" s="105" t="str">
        <f t="shared" si="12"/>
        <v>Sep</v>
      </c>
      <c r="H406" s="51">
        <f t="shared" ca="1" si="13"/>
        <v>18</v>
      </c>
      <c r="I406" s="52"/>
      <c r="J406" s="53">
        <v>72480</v>
      </c>
      <c r="K406" s="54">
        <v>2</v>
      </c>
    </row>
    <row r="407" spans="1:11" hidden="1">
      <c r="A407" s="39" t="s">
        <v>679</v>
      </c>
      <c r="B407" s="46" t="s">
        <v>285</v>
      </c>
      <c r="C407" s="39" t="s">
        <v>678</v>
      </c>
      <c r="D407" s="142">
        <v>894465994</v>
      </c>
      <c r="E407" s="39" t="s">
        <v>256</v>
      </c>
      <c r="F407" s="81">
        <v>33904</v>
      </c>
      <c r="G407" s="105" t="str">
        <f t="shared" si="12"/>
        <v>Oct</v>
      </c>
      <c r="H407" s="51">
        <f t="shared" ca="1" si="13"/>
        <v>24</v>
      </c>
      <c r="I407" s="52" t="s">
        <v>262</v>
      </c>
      <c r="J407" s="53">
        <v>87980</v>
      </c>
      <c r="K407" s="54">
        <v>1</v>
      </c>
    </row>
    <row r="408" spans="1:11" hidden="1">
      <c r="A408" s="39" t="s">
        <v>682</v>
      </c>
      <c r="B408" s="46" t="s">
        <v>251</v>
      </c>
      <c r="C408" s="39" t="s">
        <v>678</v>
      </c>
      <c r="D408" s="142">
        <v>849767709</v>
      </c>
      <c r="E408" s="39" t="s">
        <v>247</v>
      </c>
      <c r="F408" s="81">
        <v>35724</v>
      </c>
      <c r="G408" s="105" t="str">
        <f t="shared" si="12"/>
        <v>Oct</v>
      </c>
      <c r="H408" s="51">
        <f t="shared" ca="1" si="13"/>
        <v>19</v>
      </c>
      <c r="I408" s="52"/>
      <c r="J408" s="53">
        <v>86470</v>
      </c>
      <c r="K408" s="54">
        <v>4</v>
      </c>
    </row>
    <row r="409" spans="1:11">
      <c r="A409" s="39" t="s">
        <v>696</v>
      </c>
      <c r="B409" s="46" t="s">
        <v>271</v>
      </c>
      <c r="C409" s="39" t="s">
        <v>678</v>
      </c>
      <c r="D409" s="142">
        <v>613593375</v>
      </c>
      <c r="E409" s="39" t="s">
        <v>252</v>
      </c>
      <c r="F409" s="81">
        <v>36084</v>
      </c>
      <c r="G409" s="105" t="str">
        <f t="shared" si="12"/>
        <v>Oct</v>
      </c>
      <c r="H409" s="51">
        <f t="shared" ca="1" si="13"/>
        <v>18</v>
      </c>
      <c r="I409" s="52"/>
      <c r="J409" s="53">
        <v>21668</v>
      </c>
      <c r="K409" s="54">
        <v>4</v>
      </c>
    </row>
    <row r="410" spans="1:11">
      <c r="A410" s="39" t="s">
        <v>684</v>
      </c>
      <c r="B410" s="46" t="s">
        <v>271</v>
      </c>
      <c r="C410" s="39" t="s">
        <v>678</v>
      </c>
      <c r="D410" s="142">
        <v>394150914</v>
      </c>
      <c r="E410" s="39" t="s">
        <v>252</v>
      </c>
      <c r="F410" s="81">
        <v>35381</v>
      </c>
      <c r="G410" s="105" t="str">
        <f t="shared" si="12"/>
        <v>Nov</v>
      </c>
      <c r="H410" s="51">
        <f t="shared" ca="1" si="13"/>
        <v>19</v>
      </c>
      <c r="I410" s="52"/>
      <c r="J410" s="53">
        <v>35312</v>
      </c>
      <c r="K410" s="54">
        <v>3</v>
      </c>
    </row>
    <row r="411" spans="1:11" hidden="1">
      <c r="A411" s="39" t="s">
        <v>685</v>
      </c>
      <c r="B411" s="46" t="s">
        <v>266</v>
      </c>
      <c r="C411" s="39" t="s">
        <v>678</v>
      </c>
      <c r="D411" s="142">
        <v>262263344</v>
      </c>
      <c r="E411" s="39" t="s">
        <v>256</v>
      </c>
      <c r="F411" s="81">
        <v>36466</v>
      </c>
      <c r="G411" s="105" t="str">
        <f t="shared" si="12"/>
        <v>Nov</v>
      </c>
      <c r="H411" s="51">
        <f t="shared" ca="1" si="13"/>
        <v>17</v>
      </c>
      <c r="I411" s="52" t="s">
        <v>283</v>
      </c>
      <c r="J411" s="53">
        <v>68410</v>
      </c>
      <c r="K411" s="54">
        <v>5</v>
      </c>
    </row>
    <row r="412" spans="1:11" hidden="1">
      <c r="A412" s="39" t="s">
        <v>693</v>
      </c>
      <c r="B412" s="46" t="s">
        <v>245</v>
      </c>
      <c r="C412" s="39" t="s">
        <v>678</v>
      </c>
      <c r="D412" s="142">
        <v>272827169</v>
      </c>
      <c r="E412" s="39" t="s">
        <v>247</v>
      </c>
      <c r="F412" s="81">
        <v>37236</v>
      </c>
      <c r="G412" s="105" t="str">
        <f t="shared" si="12"/>
        <v>Dec</v>
      </c>
      <c r="H412" s="51">
        <f t="shared" ca="1" si="13"/>
        <v>14</v>
      </c>
      <c r="I412" s="52"/>
      <c r="J412" s="53">
        <v>29540</v>
      </c>
      <c r="K412" s="54">
        <v>3</v>
      </c>
    </row>
    <row r="413" spans="1:11" hidden="1">
      <c r="A413" s="39" t="s">
        <v>681</v>
      </c>
      <c r="B413" s="46" t="s">
        <v>280</v>
      </c>
      <c r="C413" s="39" t="s">
        <v>678</v>
      </c>
      <c r="D413" s="142">
        <v>926116407</v>
      </c>
      <c r="E413" s="39" t="s">
        <v>256</v>
      </c>
      <c r="F413" s="81">
        <v>40533</v>
      </c>
      <c r="G413" s="105" t="str">
        <f t="shared" si="12"/>
        <v>Dec</v>
      </c>
      <c r="H413" s="51">
        <f t="shared" ca="1" si="13"/>
        <v>5</v>
      </c>
      <c r="I413" s="52" t="s">
        <v>276</v>
      </c>
      <c r="J413" s="53">
        <v>62180</v>
      </c>
      <c r="K413" s="54">
        <v>2</v>
      </c>
    </row>
    <row r="414" spans="1:11" hidden="1">
      <c r="A414" s="39" t="s">
        <v>699</v>
      </c>
      <c r="B414" s="46" t="s">
        <v>245</v>
      </c>
      <c r="C414" s="39" t="s">
        <v>700</v>
      </c>
      <c r="D414" s="142">
        <v>414520983</v>
      </c>
      <c r="E414" s="39" t="s">
        <v>247</v>
      </c>
      <c r="F414" s="81">
        <v>35451</v>
      </c>
      <c r="G414" s="105" t="str">
        <f t="shared" si="12"/>
        <v>Jan</v>
      </c>
      <c r="H414" s="51">
        <f t="shared" ca="1" si="13"/>
        <v>19</v>
      </c>
      <c r="I414" s="52"/>
      <c r="J414" s="53">
        <v>25120</v>
      </c>
      <c r="K414" s="54">
        <v>2</v>
      </c>
    </row>
    <row r="415" spans="1:11" hidden="1">
      <c r="A415" s="39" t="s">
        <v>702</v>
      </c>
      <c r="B415" s="46" t="s">
        <v>245</v>
      </c>
      <c r="C415" s="39" t="s">
        <v>700</v>
      </c>
      <c r="D415" s="142">
        <v>446962077</v>
      </c>
      <c r="E415" s="39" t="s">
        <v>247</v>
      </c>
      <c r="F415" s="81">
        <v>34408</v>
      </c>
      <c r="G415" s="105" t="str">
        <f t="shared" si="12"/>
        <v>Mar</v>
      </c>
      <c r="H415" s="51">
        <f t="shared" ca="1" si="13"/>
        <v>22</v>
      </c>
      <c r="I415" s="52"/>
      <c r="J415" s="53">
        <v>71700</v>
      </c>
      <c r="K415" s="54">
        <v>2</v>
      </c>
    </row>
    <row r="416" spans="1:11" hidden="1">
      <c r="A416" s="39" t="s">
        <v>701</v>
      </c>
      <c r="B416" s="46" t="s">
        <v>285</v>
      </c>
      <c r="C416" s="39" t="s">
        <v>700</v>
      </c>
      <c r="D416" s="142">
        <v>376554022</v>
      </c>
      <c r="E416" s="39" t="s">
        <v>256</v>
      </c>
      <c r="F416" s="81">
        <v>34814</v>
      </c>
      <c r="G416" s="105" t="str">
        <f t="shared" si="12"/>
        <v>Apr</v>
      </c>
      <c r="H416" s="51">
        <f t="shared" ca="1" si="13"/>
        <v>21</v>
      </c>
      <c r="I416" s="52" t="s">
        <v>257</v>
      </c>
      <c r="J416" s="53">
        <v>63190</v>
      </c>
      <c r="K416" s="54">
        <v>1</v>
      </c>
    </row>
    <row r="417" spans="1:11">
      <c r="A417" s="39" t="s">
        <v>703</v>
      </c>
      <c r="B417" s="46" t="s">
        <v>271</v>
      </c>
      <c r="C417" s="39" t="s">
        <v>700</v>
      </c>
      <c r="D417" s="142">
        <v>606239710</v>
      </c>
      <c r="E417" s="39" t="s">
        <v>247</v>
      </c>
      <c r="F417" s="81">
        <v>35567</v>
      </c>
      <c r="G417" s="105" t="str">
        <f t="shared" si="12"/>
        <v>May</v>
      </c>
      <c r="H417" s="51">
        <f t="shared" ca="1" si="13"/>
        <v>19</v>
      </c>
      <c r="I417" s="52"/>
      <c r="J417" s="53">
        <v>44820</v>
      </c>
      <c r="K417" s="54">
        <v>4</v>
      </c>
    </row>
    <row r="418" spans="1:11" hidden="1">
      <c r="A418" s="39" t="s">
        <v>715</v>
      </c>
      <c r="B418" s="46" t="s">
        <v>245</v>
      </c>
      <c r="C418" s="39" t="s">
        <v>705</v>
      </c>
      <c r="D418" s="142">
        <v>419202405</v>
      </c>
      <c r="E418" s="39" t="s">
        <v>256</v>
      </c>
      <c r="F418" s="81">
        <v>33620</v>
      </c>
      <c r="G418" s="105" t="str">
        <f t="shared" si="12"/>
        <v>Jan</v>
      </c>
      <c r="H418" s="51">
        <f t="shared" ca="1" si="13"/>
        <v>24</v>
      </c>
      <c r="I418" s="52" t="s">
        <v>283</v>
      </c>
      <c r="J418" s="53">
        <v>43190</v>
      </c>
      <c r="K418" s="54">
        <v>2</v>
      </c>
    </row>
    <row r="419" spans="1:11" hidden="1">
      <c r="A419" s="39" t="s">
        <v>707</v>
      </c>
      <c r="B419" s="46" t="s">
        <v>280</v>
      </c>
      <c r="C419" s="39" t="s">
        <v>705</v>
      </c>
      <c r="D419" s="142">
        <v>718714594</v>
      </c>
      <c r="E419" s="39" t="s">
        <v>256</v>
      </c>
      <c r="F419" s="81">
        <v>34702</v>
      </c>
      <c r="G419" s="105" t="str">
        <f t="shared" si="12"/>
        <v>Jan</v>
      </c>
      <c r="H419" s="51">
        <f t="shared" ca="1" si="13"/>
        <v>21</v>
      </c>
      <c r="I419" s="52" t="s">
        <v>257</v>
      </c>
      <c r="J419" s="53">
        <v>87030</v>
      </c>
      <c r="K419" s="54">
        <v>3</v>
      </c>
    </row>
    <row r="420" spans="1:11" hidden="1">
      <c r="A420" s="39" t="s">
        <v>737</v>
      </c>
      <c r="B420" s="46" t="s">
        <v>245</v>
      </c>
      <c r="C420" s="39" t="s">
        <v>705</v>
      </c>
      <c r="D420" s="142">
        <v>793002378</v>
      </c>
      <c r="E420" s="39" t="s">
        <v>256</v>
      </c>
      <c r="F420" s="81">
        <v>33636</v>
      </c>
      <c r="G420" s="105" t="str">
        <f t="shared" si="12"/>
        <v>Feb</v>
      </c>
      <c r="H420" s="51">
        <f t="shared" ca="1" si="13"/>
        <v>24</v>
      </c>
      <c r="I420" s="52" t="s">
        <v>257</v>
      </c>
      <c r="J420" s="53">
        <v>26360</v>
      </c>
      <c r="K420" s="54">
        <v>1</v>
      </c>
    </row>
    <row r="421" spans="1:11" hidden="1">
      <c r="A421" s="39" t="s">
        <v>743</v>
      </c>
      <c r="B421" s="46" t="s">
        <v>285</v>
      </c>
      <c r="C421" s="39" t="s">
        <v>705</v>
      </c>
      <c r="D421" s="142">
        <v>803030240</v>
      </c>
      <c r="E421" s="39" t="s">
        <v>256</v>
      </c>
      <c r="F421" s="81">
        <v>33642</v>
      </c>
      <c r="G421" s="105" t="str">
        <f t="shared" si="12"/>
        <v>Feb</v>
      </c>
      <c r="H421" s="51">
        <f t="shared" ca="1" si="13"/>
        <v>24</v>
      </c>
      <c r="I421" s="52" t="s">
        <v>257</v>
      </c>
      <c r="J421" s="53">
        <v>79770</v>
      </c>
      <c r="K421" s="54">
        <v>4</v>
      </c>
    </row>
    <row r="422" spans="1:11" hidden="1">
      <c r="A422" s="39" t="s">
        <v>722</v>
      </c>
      <c r="B422" s="46" t="s">
        <v>285</v>
      </c>
      <c r="C422" s="39" t="s">
        <v>705</v>
      </c>
      <c r="D422" s="142">
        <v>566905037</v>
      </c>
      <c r="E422" s="39" t="s">
        <v>256</v>
      </c>
      <c r="F422" s="81">
        <v>34737</v>
      </c>
      <c r="G422" s="105" t="str">
        <f t="shared" si="12"/>
        <v>Feb</v>
      </c>
      <c r="H422" s="51">
        <f t="shared" ca="1" si="13"/>
        <v>21</v>
      </c>
      <c r="I422" s="52" t="s">
        <v>257</v>
      </c>
      <c r="J422" s="53">
        <v>88850</v>
      </c>
      <c r="K422" s="54">
        <v>3</v>
      </c>
    </row>
    <row r="423" spans="1:11" hidden="1">
      <c r="A423" s="39" t="s">
        <v>728</v>
      </c>
      <c r="B423" s="46" t="s">
        <v>266</v>
      </c>
      <c r="C423" s="39" t="s">
        <v>705</v>
      </c>
      <c r="D423" s="142">
        <v>275249162</v>
      </c>
      <c r="E423" s="39" t="s">
        <v>256</v>
      </c>
      <c r="F423" s="81">
        <v>34740</v>
      </c>
      <c r="G423" s="105" t="str">
        <f t="shared" si="12"/>
        <v>Feb</v>
      </c>
      <c r="H423" s="51">
        <f t="shared" ca="1" si="13"/>
        <v>21</v>
      </c>
      <c r="I423" s="52" t="s">
        <v>267</v>
      </c>
      <c r="J423" s="53">
        <v>77840</v>
      </c>
      <c r="K423" s="54">
        <v>2</v>
      </c>
    </row>
    <row r="424" spans="1:11" hidden="1">
      <c r="A424" s="39" t="s">
        <v>740</v>
      </c>
      <c r="B424" s="46" t="s">
        <v>280</v>
      </c>
      <c r="C424" s="39" t="s">
        <v>705</v>
      </c>
      <c r="D424" s="142">
        <v>638162970</v>
      </c>
      <c r="E424" s="39" t="s">
        <v>256</v>
      </c>
      <c r="F424" s="81">
        <v>35133</v>
      </c>
      <c r="G424" s="105" t="str">
        <f t="shared" si="12"/>
        <v>Mar</v>
      </c>
      <c r="H424" s="51">
        <f t="shared" ca="1" si="13"/>
        <v>20</v>
      </c>
      <c r="I424" s="52" t="s">
        <v>283</v>
      </c>
      <c r="J424" s="53">
        <v>63080</v>
      </c>
      <c r="K424" s="54">
        <v>5</v>
      </c>
    </row>
    <row r="425" spans="1:11">
      <c r="A425" s="39" t="s">
        <v>708</v>
      </c>
      <c r="B425" s="46" t="s">
        <v>271</v>
      </c>
      <c r="C425" s="39" t="s">
        <v>705</v>
      </c>
      <c r="D425" s="142">
        <v>424177851</v>
      </c>
      <c r="E425" s="39" t="s">
        <v>252</v>
      </c>
      <c r="F425" s="81">
        <v>37711</v>
      </c>
      <c r="G425" s="105" t="str">
        <f t="shared" si="12"/>
        <v>Mar</v>
      </c>
      <c r="H425" s="51">
        <f t="shared" ca="1" si="13"/>
        <v>13</v>
      </c>
      <c r="I425" s="52"/>
      <c r="J425" s="53">
        <v>21648</v>
      </c>
      <c r="K425" s="54">
        <v>2</v>
      </c>
    </row>
    <row r="426" spans="1:11" hidden="1">
      <c r="A426" s="39" t="s">
        <v>717</v>
      </c>
      <c r="B426" s="46" t="s">
        <v>285</v>
      </c>
      <c r="C426" s="39" t="s">
        <v>705</v>
      </c>
      <c r="D426" s="142">
        <v>760320981</v>
      </c>
      <c r="E426" s="39" t="s">
        <v>256</v>
      </c>
      <c r="F426" s="81">
        <v>38807</v>
      </c>
      <c r="G426" s="105" t="str">
        <f t="shared" si="12"/>
        <v>Mar</v>
      </c>
      <c r="H426" s="51">
        <f t="shared" ca="1" si="13"/>
        <v>10</v>
      </c>
      <c r="I426" s="52" t="s">
        <v>257</v>
      </c>
      <c r="J426" s="53">
        <v>47060</v>
      </c>
      <c r="K426" s="54">
        <v>4</v>
      </c>
    </row>
    <row r="427" spans="1:11" hidden="1">
      <c r="A427" s="39" t="s">
        <v>719</v>
      </c>
      <c r="B427" s="46" t="s">
        <v>251</v>
      </c>
      <c r="C427" s="39" t="s">
        <v>705</v>
      </c>
      <c r="D427" s="142">
        <v>507365704</v>
      </c>
      <c r="E427" s="39" t="s">
        <v>247</v>
      </c>
      <c r="F427" s="109">
        <v>40620</v>
      </c>
      <c r="G427" s="105" t="str">
        <f t="shared" si="12"/>
        <v>Mar</v>
      </c>
      <c r="H427" s="51">
        <f t="shared" ca="1" si="13"/>
        <v>5</v>
      </c>
      <c r="I427" s="52"/>
      <c r="J427" s="53">
        <v>84300</v>
      </c>
      <c r="K427" s="54">
        <v>1</v>
      </c>
    </row>
    <row r="428" spans="1:11" hidden="1">
      <c r="A428" s="39" t="s">
        <v>718</v>
      </c>
      <c r="B428" s="46" t="s">
        <v>285</v>
      </c>
      <c r="C428" s="39" t="s">
        <v>705</v>
      </c>
      <c r="D428" s="142">
        <v>866526302</v>
      </c>
      <c r="E428" s="39" t="s">
        <v>256</v>
      </c>
      <c r="F428" s="81">
        <v>35903</v>
      </c>
      <c r="G428" s="105" t="str">
        <f t="shared" si="12"/>
        <v>Apr</v>
      </c>
      <c r="H428" s="51">
        <f t="shared" ca="1" si="13"/>
        <v>18</v>
      </c>
      <c r="I428" s="52" t="s">
        <v>257</v>
      </c>
      <c r="J428" s="53">
        <v>68520</v>
      </c>
      <c r="K428" s="54">
        <v>5</v>
      </c>
    </row>
    <row r="429" spans="1:11">
      <c r="A429" s="39" t="s">
        <v>735</v>
      </c>
      <c r="B429" s="46" t="s">
        <v>271</v>
      </c>
      <c r="C429" s="39" t="s">
        <v>705</v>
      </c>
      <c r="D429" s="142">
        <v>562036646</v>
      </c>
      <c r="E429" s="39" t="s">
        <v>247</v>
      </c>
      <c r="F429" s="81">
        <v>36623</v>
      </c>
      <c r="G429" s="105" t="str">
        <f t="shared" si="12"/>
        <v>Apr</v>
      </c>
      <c r="H429" s="51">
        <f t="shared" ca="1" si="13"/>
        <v>16</v>
      </c>
      <c r="I429" s="52"/>
      <c r="J429" s="53">
        <v>30300</v>
      </c>
      <c r="K429" s="54">
        <v>1</v>
      </c>
    </row>
    <row r="430" spans="1:11">
      <c r="A430" s="39" t="s">
        <v>742</v>
      </c>
      <c r="B430" s="46" t="s">
        <v>271</v>
      </c>
      <c r="C430" s="39" t="s">
        <v>705</v>
      </c>
      <c r="D430" s="142">
        <v>418649834</v>
      </c>
      <c r="E430" s="39" t="s">
        <v>256</v>
      </c>
      <c r="F430" s="81">
        <v>34111</v>
      </c>
      <c r="G430" s="105" t="str">
        <f t="shared" si="12"/>
        <v>May</v>
      </c>
      <c r="H430" s="51">
        <f t="shared" ca="1" si="13"/>
        <v>23</v>
      </c>
      <c r="I430" s="52" t="s">
        <v>283</v>
      </c>
      <c r="J430" s="53">
        <v>73030</v>
      </c>
      <c r="K430" s="54">
        <v>5</v>
      </c>
    </row>
    <row r="431" spans="1:11" hidden="1">
      <c r="A431" s="39" t="s">
        <v>714</v>
      </c>
      <c r="B431" s="46" t="s">
        <v>280</v>
      </c>
      <c r="C431" s="39" t="s">
        <v>705</v>
      </c>
      <c r="D431" s="142">
        <v>211988558</v>
      </c>
      <c r="E431" s="39" t="s">
        <v>247</v>
      </c>
      <c r="F431" s="81">
        <v>35921</v>
      </c>
      <c r="G431" s="105" t="str">
        <f t="shared" si="12"/>
        <v>May</v>
      </c>
      <c r="H431" s="51">
        <f t="shared" ca="1" si="13"/>
        <v>18</v>
      </c>
      <c r="I431" s="52"/>
      <c r="J431" s="53">
        <v>63330</v>
      </c>
      <c r="K431" s="54">
        <v>4</v>
      </c>
    </row>
    <row r="432" spans="1:11" hidden="1">
      <c r="A432" s="39" t="s">
        <v>716</v>
      </c>
      <c r="B432" s="46" t="s">
        <v>251</v>
      </c>
      <c r="C432" s="39" t="s">
        <v>705</v>
      </c>
      <c r="D432" s="142">
        <v>673697528</v>
      </c>
      <c r="E432" s="39" t="s">
        <v>247</v>
      </c>
      <c r="F432" s="81">
        <v>34502</v>
      </c>
      <c r="G432" s="105" t="str">
        <f t="shared" si="12"/>
        <v>Jun</v>
      </c>
      <c r="H432" s="51">
        <f t="shared" ca="1" si="13"/>
        <v>22</v>
      </c>
      <c r="I432" s="52"/>
      <c r="J432" s="53">
        <v>66710</v>
      </c>
      <c r="K432" s="54">
        <v>2</v>
      </c>
    </row>
    <row r="433" spans="1:11">
      <c r="A433" s="39" t="s">
        <v>739</v>
      </c>
      <c r="B433" s="46" t="s">
        <v>271</v>
      </c>
      <c r="C433" s="39" t="s">
        <v>705</v>
      </c>
      <c r="D433" s="142">
        <v>220013050</v>
      </c>
      <c r="E433" s="39" t="s">
        <v>256</v>
      </c>
      <c r="F433" s="81">
        <v>35969</v>
      </c>
      <c r="G433" s="105" t="str">
        <f t="shared" si="12"/>
        <v>Jun</v>
      </c>
      <c r="H433" s="51">
        <f t="shared" ca="1" si="13"/>
        <v>18</v>
      </c>
      <c r="I433" s="52" t="s">
        <v>257</v>
      </c>
      <c r="J433" s="53">
        <v>74530</v>
      </c>
      <c r="K433" s="54">
        <v>5</v>
      </c>
    </row>
    <row r="434" spans="1:11">
      <c r="A434" s="39" t="s">
        <v>712</v>
      </c>
      <c r="B434" s="46" t="s">
        <v>271</v>
      </c>
      <c r="C434" s="39" t="s">
        <v>705</v>
      </c>
      <c r="D434" s="142">
        <v>930559370</v>
      </c>
      <c r="E434" s="39" t="s">
        <v>252</v>
      </c>
      <c r="F434" s="81">
        <v>36329</v>
      </c>
      <c r="G434" s="105" t="str">
        <f t="shared" si="12"/>
        <v>Jun</v>
      </c>
      <c r="H434" s="51">
        <f t="shared" ca="1" si="13"/>
        <v>17</v>
      </c>
      <c r="I434" s="52"/>
      <c r="J434" s="53">
        <v>39764</v>
      </c>
      <c r="K434" s="54">
        <v>1</v>
      </c>
    </row>
    <row r="435" spans="1:11" hidden="1">
      <c r="A435" s="39" t="s">
        <v>731</v>
      </c>
      <c r="B435" s="46" t="s">
        <v>285</v>
      </c>
      <c r="C435" s="39" t="s">
        <v>705</v>
      </c>
      <c r="D435" s="142">
        <v>690598441</v>
      </c>
      <c r="E435" s="39" t="s">
        <v>261</v>
      </c>
      <c r="F435" s="81">
        <v>36695</v>
      </c>
      <c r="G435" s="105" t="str">
        <f t="shared" si="12"/>
        <v>Jun</v>
      </c>
      <c r="H435" s="51">
        <f t="shared" ca="1" si="13"/>
        <v>16</v>
      </c>
      <c r="I435" s="52" t="s">
        <v>283</v>
      </c>
      <c r="J435" s="53">
        <v>29005</v>
      </c>
      <c r="K435" s="54">
        <v>1</v>
      </c>
    </row>
    <row r="436" spans="1:11" hidden="1">
      <c r="A436" s="39" t="s">
        <v>738</v>
      </c>
      <c r="B436" s="46" t="s">
        <v>285</v>
      </c>
      <c r="C436" s="39" t="s">
        <v>705</v>
      </c>
      <c r="D436" s="142">
        <v>895428197</v>
      </c>
      <c r="E436" s="39" t="s">
        <v>252</v>
      </c>
      <c r="F436" s="81">
        <v>38144</v>
      </c>
      <c r="G436" s="105" t="str">
        <f t="shared" si="12"/>
        <v>Jun</v>
      </c>
      <c r="H436" s="51">
        <f t="shared" ca="1" si="13"/>
        <v>12</v>
      </c>
      <c r="I436" s="52"/>
      <c r="J436" s="53">
        <v>33512</v>
      </c>
      <c r="K436" s="54">
        <v>4</v>
      </c>
    </row>
    <row r="437" spans="1:11" hidden="1">
      <c r="A437" s="39" t="s">
        <v>746</v>
      </c>
      <c r="B437" s="46" t="s">
        <v>285</v>
      </c>
      <c r="C437" s="39" t="s">
        <v>705</v>
      </c>
      <c r="D437" s="142">
        <v>794456068</v>
      </c>
      <c r="E437" s="39" t="s">
        <v>247</v>
      </c>
      <c r="F437" s="81">
        <v>33811</v>
      </c>
      <c r="G437" s="105" t="str">
        <f t="shared" si="12"/>
        <v>Jul</v>
      </c>
      <c r="H437" s="51">
        <f t="shared" ca="1" si="13"/>
        <v>24</v>
      </c>
      <c r="I437" s="52"/>
      <c r="J437" s="53">
        <v>32650</v>
      </c>
      <c r="K437" s="54">
        <v>1</v>
      </c>
    </row>
    <row r="438" spans="1:11">
      <c r="A438" s="39" t="s">
        <v>730</v>
      </c>
      <c r="B438" s="46" t="s">
        <v>271</v>
      </c>
      <c r="C438" s="39" t="s">
        <v>705</v>
      </c>
      <c r="D438" s="142">
        <v>572814011</v>
      </c>
      <c r="E438" s="39" t="s">
        <v>256</v>
      </c>
      <c r="F438" s="81">
        <v>34901</v>
      </c>
      <c r="G438" s="105" t="str">
        <f t="shared" si="12"/>
        <v>Jul</v>
      </c>
      <c r="H438" s="51">
        <f t="shared" ca="1" si="13"/>
        <v>21</v>
      </c>
      <c r="I438" s="52" t="s">
        <v>257</v>
      </c>
      <c r="J438" s="53">
        <v>25830</v>
      </c>
      <c r="K438" s="54">
        <v>5</v>
      </c>
    </row>
    <row r="439" spans="1:11" hidden="1">
      <c r="A439" s="39" t="s">
        <v>723</v>
      </c>
      <c r="B439" s="46" t="s">
        <v>285</v>
      </c>
      <c r="C439" s="39" t="s">
        <v>705</v>
      </c>
      <c r="D439" s="142">
        <v>675325362</v>
      </c>
      <c r="E439" s="39" t="s">
        <v>256</v>
      </c>
      <c r="F439" s="81">
        <v>38916</v>
      </c>
      <c r="G439" s="105" t="str">
        <f t="shared" si="12"/>
        <v>Jul</v>
      </c>
      <c r="H439" s="51">
        <f t="shared" ca="1" si="13"/>
        <v>10</v>
      </c>
      <c r="I439" s="52" t="s">
        <v>262</v>
      </c>
      <c r="J439" s="53">
        <v>27560</v>
      </c>
      <c r="K439" s="54">
        <v>2</v>
      </c>
    </row>
    <row r="440" spans="1:11" hidden="1">
      <c r="A440" s="39" t="s">
        <v>729</v>
      </c>
      <c r="B440" s="46" t="s">
        <v>245</v>
      </c>
      <c r="C440" s="39" t="s">
        <v>705</v>
      </c>
      <c r="D440" s="142">
        <v>947793915</v>
      </c>
      <c r="E440" s="39" t="s">
        <v>256</v>
      </c>
      <c r="F440" s="81">
        <v>39657</v>
      </c>
      <c r="G440" s="105" t="str">
        <f t="shared" si="12"/>
        <v>Jul</v>
      </c>
      <c r="H440" s="51">
        <f t="shared" ca="1" si="13"/>
        <v>8</v>
      </c>
      <c r="I440" s="52" t="s">
        <v>276</v>
      </c>
      <c r="J440" s="53">
        <v>80880</v>
      </c>
      <c r="K440" s="54">
        <v>1</v>
      </c>
    </row>
    <row r="441" spans="1:11" hidden="1">
      <c r="A441" s="39" t="s">
        <v>710</v>
      </c>
      <c r="B441" s="46" t="s">
        <v>251</v>
      </c>
      <c r="C441" s="39" t="s">
        <v>705</v>
      </c>
      <c r="D441" s="142">
        <v>433317176</v>
      </c>
      <c r="E441" s="39" t="s">
        <v>256</v>
      </c>
      <c r="F441" s="81">
        <v>40370</v>
      </c>
      <c r="G441" s="105" t="str">
        <f t="shared" si="12"/>
        <v>Jul</v>
      </c>
      <c r="H441" s="51">
        <f t="shared" ca="1" si="13"/>
        <v>6</v>
      </c>
      <c r="I441" s="52" t="s">
        <v>257</v>
      </c>
      <c r="J441" s="53">
        <v>66840</v>
      </c>
      <c r="K441" s="54">
        <v>4</v>
      </c>
    </row>
    <row r="442" spans="1:11" hidden="1">
      <c r="A442" s="39" t="s">
        <v>725</v>
      </c>
      <c r="B442" s="46" t="s">
        <v>285</v>
      </c>
      <c r="C442" s="39" t="s">
        <v>705</v>
      </c>
      <c r="D442" s="142">
        <v>130375210</v>
      </c>
      <c r="E442" s="39" t="s">
        <v>256</v>
      </c>
      <c r="F442" s="81">
        <v>33457</v>
      </c>
      <c r="G442" s="105" t="str">
        <f t="shared" si="12"/>
        <v>Aug</v>
      </c>
      <c r="H442" s="51">
        <f t="shared" ca="1" si="13"/>
        <v>25</v>
      </c>
      <c r="I442" s="52" t="s">
        <v>267</v>
      </c>
      <c r="J442" s="53">
        <v>61470</v>
      </c>
      <c r="K442" s="54">
        <v>5</v>
      </c>
    </row>
    <row r="443" spans="1:11" hidden="1">
      <c r="A443" s="39" t="s">
        <v>709</v>
      </c>
      <c r="B443" s="46" t="s">
        <v>245</v>
      </c>
      <c r="C443" s="39" t="s">
        <v>705</v>
      </c>
      <c r="D443" s="142">
        <v>314742078</v>
      </c>
      <c r="E443" s="39" t="s">
        <v>261</v>
      </c>
      <c r="F443" s="81">
        <v>37470</v>
      </c>
      <c r="G443" s="105" t="str">
        <f t="shared" si="12"/>
        <v>Aug</v>
      </c>
      <c r="H443" s="51">
        <f t="shared" ca="1" si="13"/>
        <v>14</v>
      </c>
      <c r="I443" s="52" t="s">
        <v>257</v>
      </c>
      <c r="J443" s="53">
        <v>33810</v>
      </c>
      <c r="K443" s="54">
        <v>5</v>
      </c>
    </row>
    <row r="444" spans="1:11">
      <c r="A444" s="39" t="s">
        <v>711</v>
      </c>
      <c r="B444" s="46" t="s">
        <v>271</v>
      </c>
      <c r="C444" s="39" t="s">
        <v>705</v>
      </c>
      <c r="D444" s="142">
        <v>427849768</v>
      </c>
      <c r="E444" s="39" t="s">
        <v>256</v>
      </c>
      <c r="F444" s="81">
        <v>38227</v>
      </c>
      <c r="G444" s="105" t="str">
        <f t="shared" si="12"/>
        <v>Aug</v>
      </c>
      <c r="H444" s="51">
        <f t="shared" ca="1" si="13"/>
        <v>12</v>
      </c>
      <c r="I444" s="52" t="s">
        <v>283</v>
      </c>
      <c r="J444" s="53">
        <v>86200</v>
      </c>
      <c r="K444" s="54">
        <v>3</v>
      </c>
    </row>
    <row r="445" spans="1:11" hidden="1">
      <c r="A445" s="39" t="s">
        <v>721</v>
      </c>
      <c r="B445" s="46" t="s">
        <v>251</v>
      </c>
      <c r="C445" s="39" t="s">
        <v>705</v>
      </c>
      <c r="D445" s="142">
        <v>404332756</v>
      </c>
      <c r="E445" s="39" t="s">
        <v>261</v>
      </c>
      <c r="F445" s="81">
        <v>39299</v>
      </c>
      <c r="G445" s="105" t="str">
        <f t="shared" si="12"/>
        <v>Aug</v>
      </c>
      <c r="H445" s="51">
        <f t="shared" ca="1" si="13"/>
        <v>9</v>
      </c>
      <c r="I445" s="52" t="s">
        <v>276</v>
      </c>
      <c r="J445" s="53">
        <v>47760</v>
      </c>
      <c r="K445" s="54">
        <v>3</v>
      </c>
    </row>
    <row r="446" spans="1:11" hidden="1">
      <c r="A446" s="39" t="s">
        <v>732</v>
      </c>
      <c r="B446" s="46" t="s">
        <v>266</v>
      </c>
      <c r="C446" s="39" t="s">
        <v>705</v>
      </c>
      <c r="D446" s="142">
        <v>992015244</v>
      </c>
      <c r="E446" s="39" t="s">
        <v>256</v>
      </c>
      <c r="F446" s="81">
        <v>39678</v>
      </c>
      <c r="G446" s="105" t="str">
        <f t="shared" si="12"/>
        <v>Aug</v>
      </c>
      <c r="H446" s="51">
        <f t="shared" ca="1" si="13"/>
        <v>8</v>
      </c>
      <c r="I446" s="52" t="s">
        <v>283</v>
      </c>
      <c r="J446" s="53">
        <v>80090</v>
      </c>
      <c r="K446" s="54">
        <v>2</v>
      </c>
    </row>
    <row r="447" spans="1:11" hidden="1">
      <c r="A447" s="39" t="s">
        <v>706</v>
      </c>
      <c r="B447" s="46" t="s">
        <v>266</v>
      </c>
      <c r="C447" s="39" t="s">
        <v>705</v>
      </c>
      <c r="D447" s="142">
        <v>935468652</v>
      </c>
      <c r="E447" s="39" t="s">
        <v>261</v>
      </c>
      <c r="F447" s="103">
        <v>40393</v>
      </c>
      <c r="G447" s="105" t="str">
        <f t="shared" si="12"/>
        <v>Aug</v>
      </c>
      <c r="H447" s="51">
        <f t="shared" ca="1" si="13"/>
        <v>6</v>
      </c>
      <c r="I447" s="52" t="s">
        <v>257</v>
      </c>
      <c r="J447" s="53">
        <v>16925</v>
      </c>
      <c r="K447" s="54">
        <v>1</v>
      </c>
    </row>
    <row r="448" spans="1:11" hidden="1">
      <c r="A448" s="39" t="s">
        <v>741</v>
      </c>
      <c r="B448" s="46" t="s">
        <v>245</v>
      </c>
      <c r="C448" s="39" t="s">
        <v>705</v>
      </c>
      <c r="D448" s="142">
        <v>558455337</v>
      </c>
      <c r="E448" s="39" t="s">
        <v>252</v>
      </c>
      <c r="F448" s="109">
        <v>40403</v>
      </c>
      <c r="G448" s="105" t="str">
        <f t="shared" si="12"/>
        <v>Aug</v>
      </c>
      <c r="H448" s="51">
        <f t="shared" ca="1" si="13"/>
        <v>6</v>
      </c>
      <c r="I448" s="52"/>
      <c r="J448" s="53">
        <v>15056</v>
      </c>
      <c r="K448" s="54">
        <v>5</v>
      </c>
    </row>
    <row r="449" spans="1:11">
      <c r="A449" s="39" t="s">
        <v>704</v>
      </c>
      <c r="B449" s="46" t="s">
        <v>271</v>
      </c>
      <c r="C449" s="39" t="s">
        <v>705</v>
      </c>
      <c r="D449" s="142">
        <v>585929857</v>
      </c>
      <c r="E449" s="39" t="s">
        <v>261</v>
      </c>
      <c r="F449" s="81">
        <v>33502</v>
      </c>
      <c r="G449" s="105" t="str">
        <f t="shared" si="12"/>
        <v>Sep</v>
      </c>
      <c r="H449" s="51">
        <f t="shared" ca="1" si="13"/>
        <v>25</v>
      </c>
      <c r="I449" s="52" t="s">
        <v>262</v>
      </c>
      <c r="J449" s="53">
        <v>35045</v>
      </c>
      <c r="K449" s="54">
        <v>4</v>
      </c>
    </row>
    <row r="450" spans="1:11" hidden="1">
      <c r="A450" s="39" t="s">
        <v>733</v>
      </c>
      <c r="B450" s="46" t="s">
        <v>285</v>
      </c>
      <c r="C450" s="39" t="s">
        <v>705</v>
      </c>
      <c r="D450" s="142">
        <v>342090270</v>
      </c>
      <c r="E450" s="39" t="s">
        <v>256</v>
      </c>
      <c r="F450" s="81">
        <v>33878</v>
      </c>
      <c r="G450" s="105" t="str">
        <f t="shared" ref="G450:G513" si="14">CHOOSE(MONTH(F450),"Jan","Feb","Mar","Apr","May","Jun","Jul","Aug","Sep","Oct","Nov","Dec")</f>
        <v>Oct</v>
      </c>
      <c r="H450" s="51">
        <f t="shared" ref="H450:H513" ca="1" si="15">DATEDIF(F450,TODAY(),"Y")</f>
        <v>24</v>
      </c>
      <c r="I450" s="52" t="s">
        <v>276</v>
      </c>
      <c r="J450" s="53">
        <v>75370</v>
      </c>
      <c r="K450" s="54">
        <v>2</v>
      </c>
    </row>
    <row r="451" spans="1:11">
      <c r="A451" s="39" t="s">
        <v>736</v>
      </c>
      <c r="B451" s="46" t="s">
        <v>271</v>
      </c>
      <c r="C451" s="39" t="s">
        <v>705</v>
      </c>
      <c r="D451" s="142">
        <v>557370159</v>
      </c>
      <c r="E451" s="39" t="s">
        <v>256</v>
      </c>
      <c r="F451" s="81">
        <v>33881</v>
      </c>
      <c r="G451" s="105" t="str">
        <f t="shared" si="14"/>
        <v>Oct</v>
      </c>
      <c r="H451" s="51">
        <f t="shared" ca="1" si="15"/>
        <v>24</v>
      </c>
      <c r="I451" s="52" t="s">
        <v>276</v>
      </c>
      <c r="J451" s="53">
        <v>46910</v>
      </c>
      <c r="K451" s="54">
        <v>3</v>
      </c>
    </row>
    <row r="452" spans="1:11" hidden="1">
      <c r="A452" s="39" t="s">
        <v>734</v>
      </c>
      <c r="B452" s="46" t="s">
        <v>251</v>
      </c>
      <c r="C452" s="39" t="s">
        <v>705</v>
      </c>
      <c r="D452" s="142">
        <v>115619257</v>
      </c>
      <c r="E452" s="39" t="s">
        <v>261</v>
      </c>
      <c r="F452" s="81">
        <v>34617</v>
      </c>
      <c r="G452" s="105" t="str">
        <f t="shared" si="14"/>
        <v>Oct</v>
      </c>
      <c r="H452" s="51">
        <f t="shared" ca="1" si="15"/>
        <v>22</v>
      </c>
      <c r="I452" s="52" t="s">
        <v>257</v>
      </c>
      <c r="J452" s="53">
        <v>13435</v>
      </c>
      <c r="K452" s="54">
        <v>1</v>
      </c>
    </row>
    <row r="453" spans="1:11" hidden="1">
      <c r="A453" s="39" t="s">
        <v>713</v>
      </c>
      <c r="B453" s="46" t="s">
        <v>245</v>
      </c>
      <c r="C453" s="39" t="s">
        <v>705</v>
      </c>
      <c r="D453" s="142">
        <v>529668828</v>
      </c>
      <c r="E453" s="39" t="s">
        <v>256</v>
      </c>
      <c r="F453" s="81">
        <v>35339</v>
      </c>
      <c r="G453" s="105" t="str">
        <f t="shared" si="14"/>
        <v>Oct</v>
      </c>
      <c r="H453" s="51">
        <f t="shared" ca="1" si="15"/>
        <v>20</v>
      </c>
      <c r="I453" s="52" t="s">
        <v>283</v>
      </c>
      <c r="J453" s="53">
        <v>43410</v>
      </c>
      <c r="K453" s="54">
        <v>1</v>
      </c>
    </row>
    <row r="454" spans="1:11">
      <c r="A454" s="39" t="s">
        <v>724</v>
      </c>
      <c r="B454" s="46" t="s">
        <v>271</v>
      </c>
      <c r="C454" s="39" t="s">
        <v>705</v>
      </c>
      <c r="D454" s="142">
        <v>500754969</v>
      </c>
      <c r="E454" s="39" t="s">
        <v>252</v>
      </c>
      <c r="F454" s="103">
        <v>40452</v>
      </c>
      <c r="G454" s="105" t="str">
        <f t="shared" si="14"/>
        <v>Oct</v>
      </c>
      <c r="H454" s="51">
        <f t="shared" ca="1" si="15"/>
        <v>6</v>
      </c>
      <c r="I454" s="52"/>
      <c r="J454" s="53">
        <v>9180</v>
      </c>
      <c r="K454" s="54">
        <v>3</v>
      </c>
    </row>
    <row r="455" spans="1:11" hidden="1">
      <c r="A455" s="39" t="s">
        <v>745</v>
      </c>
      <c r="B455" s="46" t="s">
        <v>251</v>
      </c>
      <c r="C455" s="39" t="s">
        <v>705</v>
      </c>
      <c r="D455" s="142">
        <v>658776479</v>
      </c>
      <c r="E455" s="39" t="s">
        <v>247</v>
      </c>
      <c r="F455" s="81">
        <v>40468</v>
      </c>
      <c r="G455" s="105" t="str">
        <f t="shared" si="14"/>
        <v>Oct</v>
      </c>
      <c r="H455" s="51">
        <f t="shared" ca="1" si="15"/>
        <v>6</v>
      </c>
      <c r="I455" s="52"/>
      <c r="J455" s="53">
        <v>39440</v>
      </c>
      <c r="K455" s="54">
        <v>4</v>
      </c>
    </row>
    <row r="456" spans="1:11" hidden="1">
      <c r="A456" s="39" t="s">
        <v>744</v>
      </c>
      <c r="B456" s="46" t="s">
        <v>285</v>
      </c>
      <c r="C456" s="39" t="s">
        <v>705</v>
      </c>
      <c r="D456" s="142">
        <v>816149820</v>
      </c>
      <c r="E456" s="39" t="s">
        <v>256</v>
      </c>
      <c r="F456" s="81">
        <v>33928</v>
      </c>
      <c r="G456" s="105" t="str">
        <f t="shared" si="14"/>
        <v>Nov</v>
      </c>
      <c r="H456" s="51">
        <f t="shared" ca="1" si="15"/>
        <v>23</v>
      </c>
      <c r="I456" s="52" t="s">
        <v>262</v>
      </c>
      <c r="J456" s="53">
        <v>68010</v>
      </c>
      <c r="K456" s="54">
        <v>1</v>
      </c>
    </row>
    <row r="457" spans="1:11" hidden="1">
      <c r="A457" s="39" t="s">
        <v>748</v>
      </c>
      <c r="B457" s="46" t="s">
        <v>285</v>
      </c>
      <c r="C457" s="39" t="s">
        <v>705</v>
      </c>
      <c r="D457" s="142">
        <v>986794519</v>
      </c>
      <c r="E457" s="39" t="s">
        <v>256</v>
      </c>
      <c r="F457" s="81">
        <v>35379</v>
      </c>
      <c r="G457" s="105" t="str">
        <f t="shared" si="14"/>
        <v>Nov</v>
      </c>
      <c r="H457" s="51">
        <f t="shared" ca="1" si="15"/>
        <v>20</v>
      </c>
      <c r="I457" s="52" t="s">
        <v>276</v>
      </c>
      <c r="J457" s="53">
        <v>67230</v>
      </c>
      <c r="K457" s="54">
        <v>4</v>
      </c>
    </row>
    <row r="458" spans="1:11" hidden="1">
      <c r="A458" s="39" t="s">
        <v>726</v>
      </c>
      <c r="B458" s="46" t="s">
        <v>285</v>
      </c>
      <c r="C458" s="39" t="s">
        <v>705</v>
      </c>
      <c r="D458" s="142">
        <v>873236934</v>
      </c>
      <c r="E458" s="39" t="s">
        <v>256</v>
      </c>
      <c r="F458" s="81">
        <v>39404</v>
      </c>
      <c r="G458" s="105" t="str">
        <f t="shared" si="14"/>
        <v>Nov</v>
      </c>
      <c r="H458" s="51">
        <f t="shared" ca="1" si="15"/>
        <v>8</v>
      </c>
      <c r="I458" s="52" t="s">
        <v>267</v>
      </c>
      <c r="J458" s="53">
        <v>50990</v>
      </c>
      <c r="K458" s="54">
        <v>4</v>
      </c>
    </row>
    <row r="459" spans="1:11">
      <c r="A459" s="39" t="s">
        <v>747</v>
      </c>
      <c r="B459" s="46" t="s">
        <v>271</v>
      </c>
      <c r="C459" s="39" t="s">
        <v>705</v>
      </c>
      <c r="D459" s="142">
        <v>434731137</v>
      </c>
      <c r="E459" s="39" t="s">
        <v>256</v>
      </c>
      <c r="F459" s="81">
        <v>33578</v>
      </c>
      <c r="G459" s="105" t="str">
        <f t="shared" si="14"/>
        <v>Dec</v>
      </c>
      <c r="H459" s="51">
        <f t="shared" ca="1" si="15"/>
        <v>24</v>
      </c>
      <c r="I459" s="52" t="s">
        <v>257</v>
      </c>
      <c r="J459" s="53">
        <v>43580</v>
      </c>
      <c r="K459" s="54">
        <v>5</v>
      </c>
    </row>
    <row r="460" spans="1:11">
      <c r="A460" s="39" t="s">
        <v>727</v>
      </c>
      <c r="B460" s="46" t="s">
        <v>271</v>
      </c>
      <c r="C460" s="39" t="s">
        <v>705</v>
      </c>
      <c r="D460" s="142">
        <v>498916811</v>
      </c>
      <c r="E460" s="39" t="s">
        <v>256</v>
      </c>
      <c r="F460" s="81">
        <v>35412</v>
      </c>
      <c r="G460" s="105" t="str">
        <f t="shared" si="14"/>
        <v>Dec</v>
      </c>
      <c r="H460" s="51">
        <f t="shared" ca="1" si="15"/>
        <v>19</v>
      </c>
      <c r="I460" s="52" t="s">
        <v>262</v>
      </c>
      <c r="J460" s="53">
        <v>77950</v>
      </c>
      <c r="K460" s="54">
        <v>4</v>
      </c>
    </row>
    <row r="461" spans="1:11" hidden="1">
      <c r="A461" s="39" t="s">
        <v>720</v>
      </c>
      <c r="B461" s="46" t="s">
        <v>280</v>
      </c>
      <c r="C461" s="39" t="s">
        <v>705</v>
      </c>
      <c r="D461" s="142">
        <v>817293557</v>
      </c>
      <c r="E461" s="39" t="s">
        <v>247</v>
      </c>
      <c r="F461" s="81">
        <v>39783</v>
      </c>
      <c r="G461" s="105" t="str">
        <f t="shared" si="14"/>
        <v>Dec</v>
      </c>
      <c r="H461" s="51">
        <f t="shared" ca="1" si="15"/>
        <v>7</v>
      </c>
      <c r="I461" s="52"/>
      <c r="J461" s="53">
        <v>54000</v>
      </c>
      <c r="K461" s="54">
        <v>3</v>
      </c>
    </row>
    <row r="462" spans="1:11" hidden="1">
      <c r="A462" s="39" t="s">
        <v>751</v>
      </c>
      <c r="B462" s="46" t="s">
        <v>285</v>
      </c>
      <c r="C462" s="39" t="s">
        <v>750</v>
      </c>
      <c r="D462" s="142">
        <v>198920395</v>
      </c>
      <c r="E462" s="39" t="s">
        <v>256</v>
      </c>
      <c r="F462" s="81">
        <v>33246</v>
      </c>
      <c r="G462" s="105" t="str">
        <f t="shared" si="14"/>
        <v>Jan</v>
      </c>
      <c r="H462" s="51">
        <f t="shared" ca="1" si="15"/>
        <v>25</v>
      </c>
      <c r="I462" s="52" t="s">
        <v>257</v>
      </c>
      <c r="J462" s="53">
        <v>71730</v>
      </c>
      <c r="K462" s="54">
        <v>1</v>
      </c>
    </row>
    <row r="463" spans="1:11" hidden="1">
      <c r="A463" s="39" t="s">
        <v>757</v>
      </c>
      <c r="B463" s="46" t="s">
        <v>285</v>
      </c>
      <c r="C463" s="39" t="s">
        <v>750</v>
      </c>
      <c r="D463" s="142">
        <v>750544646</v>
      </c>
      <c r="E463" s="39" t="s">
        <v>256</v>
      </c>
      <c r="F463" s="81">
        <v>33280</v>
      </c>
      <c r="G463" s="105" t="str">
        <f t="shared" si="14"/>
        <v>Feb</v>
      </c>
      <c r="H463" s="51">
        <f t="shared" ca="1" si="15"/>
        <v>25</v>
      </c>
      <c r="I463" s="52" t="s">
        <v>257</v>
      </c>
      <c r="J463" s="53">
        <v>87950</v>
      </c>
      <c r="K463" s="54">
        <v>4</v>
      </c>
    </row>
    <row r="464" spans="1:11" hidden="1">
      <c r="A464" s="39" t="s">
        <v>765</v>
      </c>
      <c r="B464" s="46" t="s">
        <v>251</v>
      </c>
      <c r="C464" s="39" t="s">
        <v>750</v>
      </c>
      <c r="D464" s="142">
        <v>519460681</v>
      </c>
      <c r="E464" s="39" t="s">
        <v>247</v>
      </c>
      <c r="F464" s="81">
        <v>33286</v>
      </c>
      <c r="G464" s="105" t="str">
        <f t="shared" si="14"/>
        <v>Feb</v>
      </c>
      <c r="H464" s="51">
        <f t="shared" ca="1" si="15"/>
        <v>25</v>
      </c>
      <c r="I464" s="52"/>
      <c r="J464" s="53">
        <v>49070</v>
      </c>
      <c r="K464" s="54">
        <v>3</v>
      </c>
    </row>
    <row r="465" spans="1:11">
      <c r="A465" s="39" t="s">
        <v>759</v>
      </c>
      <c r="B465" s="46" t="s">
        <v>271</v>
      </c>
      <c r="C465" s="39" t="s">
        <v>750</v>
      </c>
      <c r="D465" s="142">
        <v>463718381</v>
      </c>
      <c r="E465" s="39" t="s">
        <v>256</v>
      </c>
      <c r="F465" s="81">
        <v>33320</v>
      </c>
      <c r="G465" s="105" t="str">
        <f t="shared" si="14"/>
        <v>Mar</v>
      </c>
      <c r="H465" s="51">
        <f t="shared" ca="1" si="15"/>
        <v>25</v>
      </c>
      <c r="I465" s="52" t="s">
        <v>276</v>
      </c>
      <c r="J465" s="53">
        <v>35320</v>
      </c>
      <c r="K465" s="54">
        <v>3</v>
      </c>
    </row>
    <row r="466" spans="1:11" hidden="1">
      <c r="A466" s="39" t="s">
        <v>761</v>
      </c>
      <c r="B466" s="46" t="s">
        <v>285</v>
      </c>
      <c r="C466" s="39" t="s">
        <v>750</v>
      </c>
      <c r="D466" s="142">
        <v>756956523</v>
      </c>
      <c r="E466" s="39" t="s">
        <v>261</v>
      </c>
      <c r="F466" s="81">
        <v>33349</v>
      </c>
      <c r="G466" s="105" t="str">
        <f t="shared" si="14"/>
        <v>Apr</v>
      </c>
      <c r="H466" s="51">
        <f t="shared" ca="1" si="15"/>
        <v>25</v>
      </c>
      <c r="I466" s="52" t="s">
        <v>276</v>
      </c>
      <c r="J466" s="53">
        <v>16015</v>
      </c>
      <c r="K466" s="54">
        <v>3</v>
      </c>
    </row>
    <row r="467" spans="1:11">
      <c r="A467" s="39" t="s">
        <v>752</v>
      </c>
      <c r="B467" s="46" t="s">
        <v>271</v>
      </c>
      <c r="C467" s="39" t="s">
        <v>750</v>
      </c>
      <c r="D467" s="142">
        <v>195998584</v>
      </c>
      <c r="E467" s="39" t="s">
        <v>256</v>
      </c>
      <c r="F467" s="81">
        <v>33440</v>
      </c>
      <c r="G467" s="105" t="str">
        <f t="shared" si="14"/>
        <v>Jul</v>
      </c>
      <c r="H467" s="51">
        <f t="shared" ca="1" si="15"/>
        <v>25</v>
      </c>
      <c r="I467" s="52" t="s">
        <v>257</v>
      </c>
      <c r="J467" s="53">
        <v>69400</v>
      </c>
      <c r="K467" s="54">
        <v>5</v>
      </c>
    </row>
    <row r="468" spans="1:11" hidden="1">
      <c r="A468" s="39" t="s">
        <v>754</v>
      </c>
      <c r="B468" s="46" t="s">
        <v>285</v>
      </c>
      <c r="C468" s="39" t="s">
        <v>750</v>
      </c>
      <c r="D468" s="142">
        <v>903331932</v>
      </c>
      <c r="E468" s="39" t="s">
        <v>261</v>
      </c>
      <c r="F468" s="81">
        <v>33112</v>
      </c>
      <c r="G468" s="105" t="str">
        <f t="shared" si="14"/>
        <v>Aug</v>
      </c>
      <c r="H468" s="51">
        <f t="shared" ca="1" si="15"/>
        <v>26</v>
      </c>
      <c r="I468" s="52" t="s">
        <v>267</v>
      </c>
      <c r="J468" s="53">
        <v>24815</v>
      </c>
      <c r="K468" s="54">
        <v>1</v>
      </c>
    </row>
    <row r="469" spans="1:11">
      <c r="A469" s="39" t="s">
        <v>762</v>
      </c>
      <c r="B469" s="46" t="s">
        <v>271</v>
      </c>
      <c r="C469" s="39" t="s">
        <v>750</v>
      </c>
      <c r="D469" s="142">
        <v>139074946</v>
      </c>
      <c r="E469" s="39" t="s">
        <v>256</v>
      </c>
      <c r="F469" s="81">
        <v>33113</v>
      </c>
      <c r="G469" s="105" t="str">
        <f t="shared" si="14"/>
        <v>Aug</v>
      </c>
      <c r="H469" s="51">
        <f t="shared" ca="1" si="15"/>
        <v>26</v>
      </c>
      <c r="I469" s="52" t="s">
        <v>257</v>
      </c>
      <c r="J469" s="53">
        <v>32600</v>
      </c>
      <c r="K469" s="54">
        <v>5</v>
      </c>
    </row>
    <row r="470" spans="1:11">
      <c r="A470" s="39" t="s">
        <v>764</v>
      </c>
      <c r="B470" s="46" t="s">
        <v>271</v>
      </c>
      <c r="C470" s="39" t="s">
        <v>750</v>
      </c>
      <c r="D470" s="142">
        <v>999012010</v>
      </c>
      <c r="E470" s="39" t="s">
        <v>256</v>
      </c>
      <c r="F470" s="81">
        <v>33460</v>
      </c>
      <c r="G470" s="105" t="str">
        <f t="shared" si="14"/>
        <v>Aug</v>
      </c>
      <c r="H470" s="51">
        <f t="shared" ca="1" si="15"/>
        <v>25</v>
      </c>
      <c r="I470" s="52" t="s">
        <v>283</v>
      </c>
      <c r="J470" s="53">
        <v>77720</v>
      </c>
      <c r="K470" s="54">
        <v>3</v>
      </c>
    </row>
    <row r="471" spans="1:11" hidden="1">
      <c r="A471" s="39" t="s">
        <v>753</v>
      </c>
      <c r="B471" s="46" t="s">
        <v>285</v>
      </c>
      <c r="C471" s="39" t="s">
        <v>750</v>
      </c>
      <c r="D471" s="142">
        <v>767586272</v>
      </c>
      <c r="E471" s="39" t="s">
        <v>252</v>
      </c>
      <c r="F471" s="81">
        <v>33158</v>
      </c>
      <c r="G471" s="105" t="str">
        <f t="shared" si="14"/>
        <v>Oct</v>
      </c>
      <c r="H471" s="51">
        <f t="shared" ca="1" si="15"/>
        <v>26</v>
      </c>
      <c r="I471" s="52"/>
      <c r="J471" s="53">
        <v>33232</v>
      </c>
      <c r="K471" s="54">
        <v>4</v>
      </c>
    </row>
    <row r="472" spans="1:11" hidden="1">
      <c r="A472" s="39" t="s">
        <v>763</v>
      </c>
      <c r="B472" s="46" t="s">
        <v>245</v>
      </c>
      <c r="C472" s="39" t="s">
        <v>750</v>
      </c>
      <c r="D472" s="142">
        <v>987757397</v>
      </c>
      <c r="E472" s="39" t="s">
        <v>261</v>
      </c>
      <c r="F472" s="108">
        <v>33160</v>
      </c>
      <c r="G472" s="105" t="str">
        <f t="shared" si="14"/>
        <v>Oct</v>
      </c>
      <c r="H472" s="51">
        <f t="shared" ca="1" si="15"/>
        <v>26</v>
      </c>
      <c r="I472" s="52" t="s">
        <v>262</v>
      </c>
      <c r="J472" s="53">
        <v>39620</v>
      </c>
      <c r="K472" s="54">
        <v>5</v>
      </c>
    </row>
    <row r="473" spans="1:11" hidden="1">
      <c r="A473" s="39" t="s">
        <v>749</v>
      </c>
      <c r="B473" s="46" t="s">
        <v>266</v>
      </c>
      <c r="C473" s="39" t="s">
        <v>750</v>
      </c>
      <c r="D473" s="142">
        <v>272737508</v>
      </c>
      <c r="E473" s="39" t="s">
        <v>256</v>
      </c>
      <c r="F473" s="81">
        <v>33513</v>
      </c>
      <c r="G473" s="105" t="str">
        <f t="shared" si="14"/>
        <v>Oct</v>
      </c>
      <c r="H473" s="51">
        <f t="shared" ca="1" si="15"/>
        <v>25</v>
      </c>
      <c r="I473" s="52" t="s">
        <v>267</v>
      </c>
      <c r="J473" s="53">
        <v>44560</v>
      </c>
      <c r="K473" s="54">
        <v>2</v>
      </c>
    </row>
    <row r="474" spans="1:11">
      <c r="A474" s="39" t="s">
        <v>756</v>
      </c>
      <c r="B474" s="46" t="s">
        <v>271</v>
      </c>
      <c r="C474" s="39" t="s">
        <v>750</v>
      </c>
      <c r="D474" s="142">
        <v>907144341</v>
      </c>
      <c r="E474" s="39" t="s">
        <v>256</v>
      </c>
      <c r="F474" s="81">
        <v>33536</v>
      </c>
      <c r="G474" s="105" t="str">
        <f t="shared" si="14"/>
        <v>Oct</v>
      </c>
      <c r="H474" s="51">
        <f t="shared" ca="1" si="15"/>
        <v>25</v>
      </c>
      <c r="I474" s="52" t="s">
        <v>257</v>
      </c>
      <c r="J474" s="53">
        <v>81530</v>
      </c>
      <c r="K474" s="54">
        <v>5</v>
      </c>
    </row>
    <row r="475" spans="1:11" hidden="1">
      <c r="A475" s="39" t="s">
        <v>760</v>
      </c>
      <c r="B475" s="46" t="s">
        <v>266</v>
      </c>
      <c r="C475" s="39" t="s">
        <v>750</v>
      </c>
      <c r="D475" s="142">
        <v>995151036</v>
      </c>
      <c r="E475" s="39" t="s">
        <v>256</v>
      </c>
      <c r="F475" s="81">
        <v>33179</v>
      </c>
      <c r="G475" s="105" t="str">
        <f t="shared" si="14"/>
        <v>Nov</v>
      </c>
      <c r="H475" s="51">
        <f t="shared" ca="1" si="15"/>
        <v>26</v>
      </c>
      <c r="I475" s="52" t="s">
        <v>283</v>
      </c>
      <c r="J475" s="53">
        <v>43110</v>
      </c>
      <c r="K475" s="54">
        <v>2</v>
      </c>
    </row>
    <row r="476" spans="1:11" hidden="1">
      <c r="A476" s="39" t="s">
        <v>755</v>
      </c>
      <c r="B476" s="46" t="s">
        <v>285</v>
      </c>
      <c r="C476" s="39" t="s">
        <v>750</v>
      </c>
      <c r="D476" s="142">
        <v>247819217</v>
      </c>
      <c r="E476" s="39" t="s">
        <v>256</v>
      </c>
      <c r="F476" s="81">
        <v>33186</v>
      </c>
      <c r="G476" s="105" t="str">
        <f t="shared" si="14"/>
        <v>Nov</v>
      </c>
      <c r="H476" s="51">
        <f t="shared" ca="1" si="15"/>
        <v>26</v>
      </c>
      <c r="I476" s="52" t="s">
        <v>257</v>
      </c>
      <c r="J476" s="53">
        <v>40940</v>
      </c>
      <c r="K476" s="54">
        <v>3</v>
      </c>
    </row>
    <row r="477" spans="1:11" hidden="1">
      <c r="A477" s="39" t="s">
        <v>758</v>
      </c>
      <c r="B477" s="46" t="s">
        <v>245</v>
      </c>
      <c r="C477" s="39" t="s">
        <v>750</v>
      </c>
      <c r="D477" s="142">
        <v>473777710</v>
      </c>
      <c r="E477" s="39" t="s">
        <v>256</v>
      </c>
      <c r="F477" s="81">
        <v>33588</v>
      </c>
      <c r="G477" s="105" t="str">
        <f t="shared" si="14"/>
        <v>Dec</v>
      </c>
      <c r="H477" s="51">
        <f t="shared" ca="1" si="15"/>
        <v>24</v>
      </c>
      <c r="I477" s="52" t="s">
        <v>283</v>
      </c>
      <c r="J477" s="53">
        <v>44620</v>
      </c>
      <c r="K477" s="54">
        <v>5</v>
      </c>
    </row>
    <row r="478" spans="1:11">
      <c r="A478" s="39" t="s">
        <v>804</v>
      </c>
      <c r="B478" s="46" t="s">
        <v>271</v>
      </c>
      <c r="C478" s="39" t="s">
        <v>767</v>
      </c>
      <c r="D478" s="142">
        <v>995552930</v>
      </c>
      <c r="E478" s="39" t="s">
        <v>247</v>
      </c>
      <c r="F478" s="81">
        <v>34726</v>
      </c>
      <c r="G478" s="105" t="str">
        <f t="shared" si="14"/>
        <v>Jan</v>
      </c>
      <c r="H478" s="51">
        <f t="shared" ca="1" si="15"/>
        <v>21</v>
      </c>
      <c r="I478" s="52"/>
      <c r="J478" s="53">
        <v>33120</v>
      </c>
      <c r="K478" s="54">
        <v>2</v>
      </c>
    </row>
    <row r="479" spans="1:11" hidden="1">
      <c r="A479" s="39" t="s">
        <v>850</v>
      </c>
      <c r="B479" s="46" t="s">
        <v>245</v>
      </c>
      <c r="C479" s="39" t="s">
        <v>767</v>
      </c>
      <c r="D479" s="142">
        <v>770043384</v>
      </c>
      <c r="E479" s="39" t="s">
        <v>256</v>
      </c>
      <c r="F479" s="81">
        <v>35094</v>
      </c>
      <c r="G479" s="105" t="str">
        <f t="shared" si="14"/>
        <v>Jan</v>
      </c>
      <c r="H479" s="51">
        <f t="shared" ca="1" si="15"/>
        <v>20</v>
      </c>
      <c r="I479" s="52" t="s">
        <v>262</v>
      </c>
      <c r="J479" s="53">
        <v>61148</v>
      </c>
      <c r="K479" s="54">
        <v>2</v>
      </c>
    </row>
    <row r="480" spans="1:11" hidden="1">
      <c r="A480" s="39" t="s">
        <v>792</v>
      </c>
      <c r="B480" s="46" t="s">
        <v>245</v>
      </c>
      <c r="C480" s="39" t="s">
        <v>767</v>
      </c>
      <c r="D480" s="142">
        <v>769575078</v>
      </c>
      <c r="E480" s="39" t="s">
        <v>256</v>
      </c>
      <c r="F480" s="81">
        <v>35821</v>
      </c>
      <c r="G480" s="105" t="str">
        <f t="shared" si="14"/>
        <v>Jan</v>
      </c>
      <c r="H480" s="51">
        <f t="shared" ca="1" si="15"/>
        <v>18</v>
      </c>
      <c r="I480" s="52" t="s">
        <v>267</v>
      </c>
      <c r="J480" s="53">
        <v>22870</v>
      </c>
      <c r="K480" s="54">
        <v>3</v>
      </c>
    </row>
    <row r="481" spans="1:16" hidden="1">
      <c r="A481" s="39" t="s">
        <v>803</v>
      </c>
      <c r="B481" s="46" t="s">
        <v>280</v>
      </c>
      <c r="C481" s="39" t="s">
        <v>767</v>
      </c>
      <c r="D481" s="142">
        <v>411582249</v>
      </c>
      <c r="E481" s="39" t="s">
        <v>261</v>
      </c>
      <c r="F481" s="81">
        <v>35826</v>
      </c>
      <c r="G481" s="105" t="str">
        <f t="shared" si="14"/>
        <v>Jan</v>
      </c>
      <c r="H481" s="51">
        <f t="shared" ca="1" si="15"/>
        <v>18</v>
      </c>
      <c r="I481" s="52" t="s">
        <v>257</v>
      </c>
      <c r="J481" s="53">
        <v>31205</v>
      </c>
      <c r="K481" s="54">
        <v>2</v>
      </c>
    </row>
    <row r="482" spans="1:16">
      <c r="A482" s="39" t="s">
        <v>806</v>
      </c>
      <c r="B482" s="46" t="s">
        <v>271</v>
      </c>
      <c r="C482" s="39" t="s">
        <v>767</v>
      </c>
      <c r="D482" s="142">
        <v>597176358</v>
      </c>
      <c r="E482" s="39" t="s">
        <v>256</v>
      </c>
      <c r="F482" s="81">
        <v>36536</v>
      </c>
      <c r="G482" s="105" t="str">
        <f t="shared" si="14"/>
        <v>Jan</v>
      </c>
      <c r="H482" s="51">
        <f t="shared" ca="1" si="15"/>
        <v>16</v>
      </c>
      <c r="I482" s="52" t="s">
        <v>257</v>
      </c>
      <c r="J482" s="53">
        <v>62400</v>
      </c>
      <c r="K482" s="54">
        <v>4</v>
      </c>
    </row>
    <row r="483" spans="1:16" hidden="1">
      <c r="A483" s="39" t="s">
        <v>811</v>
      </c>
      <c r="B483" s="46" t="s">
        <v>266</v>
      </c>
      <c r="C483" s="39" t="s">
        <v>767</v>
      </c>
      <c r="D483" s="142">
        <v>992259277</v>
      </c>
      <c r="E483" s="39" t="s">
        <v>261</v>
      </c>
      <c r="F483" s="81">
        <v>38723</v>
      </c>
      <c r="G483" s="105" t="str">
        <f t="shared" si="14"/>
        <v>Jan</v>
      </c>
      <c r="H483" s="51">
        <f t="shared" ca="1" si="15"/>
        <v>10</v>
      </c>
      <c r="I483" s="52" t="s">
        <v>283</v>
      </c>
      <c r="J483" s="53">
        <v>10630</v>
      </c>
      <c r="K483" s="54">
        <v>3</v>
      </c>
    </row>
    <row r="484" spans="1:16" hidden="1">
      <c r="A484" s="39" t="s">
        <v>799</v>
      </c>
      <c r="B484" s="46" t="s">
        <v>245</v>
      </c>
      <c r="C484" s="39" t="s">
        <v>767</v>
      </c>
      <c r="D484" s="142">
        <v>502841158</v>
      </c>
      <c r="E484" s="39" t="s">
        <v>247</v>
      </c>
      <c r="F484" s="81">
        <v>33638</v>
      </c>
      <c r="G484" s="105" t="str">
        <f t="shared" si="14"/>
        <v>Feb</v>
      </c>
      <c r="H484" s="51">
        <f t="shared" ca="1" si="15"/>
        <v>24</v>
      </c>
      <c r="I484" s="52"/>
      <c r="J484" s="53">
        <v>47590</v>
      </c>
      <c r="K484" s="54">
        <v>3</v>
      </c>
    </row>
    <row r="485" spans="1:16" hidden="1">
      <c r="A485" s="39" t="s">
        <v>793</v>
      </c>
      <c r="B485" s="46" t="s">
        <v>245</v>
      </c>
      <c r="C485" s="39" t="s">
        <v>767</v>
      </c>
      <c r="D485" s="142">
        <v>162101346</v>
      </c>
      <c r="E485" s="39" t="s">
        <v>247</v>
      </c>
      <c r="F485" s="81">
        <v>33658</v>
      </c>
      <c r="G485" s="105" t="str">
        <f t="shared" si="14"/>
        <v>Feb</v>
      </c>
      <c r="H485" s="51">
        <f t="shared" ca="1" si="15"/>
        <v>24</v>
      </c>
      <c r="I485" s="52"/>
      <c r="J485" s="53">
        <v>60550</v>
      </c>
      <c r="K485" s="54">
        <v>2</v>
      </c>
    </row>
    <row r="486" spans="1:16">
      <c r="A486" s="39" t="s">
        <v>782</v>
      </c>
      <c r="B486" s="46" t="s">
        <v>271</v>
      </c>
      <c r="C486" s="39" t="s">
        <v>767</v>
      </c>
      <c r="D486" s="142">
        <v>430024398</v>
      </c>
      <c r="E486" s="39" t="s">
        <v>256</v>
      </c>
      <c r="F486" s="81">
        <v>36195</v>
      </c>
      <c r="G486" s="105" t="str">
        <f t="shared" si="14"/>
        <v>Feb</v>
      </c>
      <c r="H486" s="51">
        <f t="shared" ca="1" si="15"/>
        <v>17</v>
      </c>
      <c r="I486" s="52" t="s">
        <v>267</v>
      </c>
      <c r="J486" s="53">
        <v>46360</v>
      </c>
      <c r="K486" s="54">
        <v>5</v>
      </c>
    </row>
    <row r="487" spans="1:16" hidden="1">
      <c r="A487" s="39" t="s">
        <v>818</v>
      </c>
      <c r="B487" s="46" t="s">
        <v>280</v>
      </c>
      <c r="C487" s="39" t="s">
        <v>767</v>
      </c>
      <c r="D487" s="142">
        <v>847045764</v>
      </c>
      <c r="E487" s="39" t="s">
        <v>261</v>
      </c>
      <c r="F487" s="81">
        <v>36217</v>
      </c>
      <c r="G487" s="105" t="str">
        <f t="shared" si="14"/>
        <v>Feb</v>
      </c>
      <c r="H487" s="51">
        <f t="shared" ca="1" si="15"/>
        <v>17</v>
      </c>
      <c r="I487" s="52" t="s">
        <v>283</v>
      </c>
      <c r="J487" s="53">
        <v>22475</v>
      </c>
      <c r="K487" s="54">
        <v>4</v>
      </c>
    </row>
    <row r="488" spans="1:16" hidden="1">
      <c r="A488" s="39" t="s">
        <v>807</v>
      </c>
      <c r="B488" s="46" t="s">
        <v>285</v>
      </c>
      <c r="C488" s="39" t="s">
        <v>767</v>
      </c>
      <c r="D488" s="142">
        <v>412373847</v>
      </c>
      <c r="E488" s="39" t="s">
        <v>256</v>
      </c>
      <c r="F488" s="81">
        <v>39864</v>
      </c>
      <c r="G488" s="105" t="str">
        <f t="shared" si="14"/>
        <v>Feb</v>
      </c>
      <c r="H488" s="51">
        <f t="shared" ca="1" si="15"/>
        <v>7</v>
      </c>
      <c r="I488" s="52" t="s">
        <v>257</v>
      </c>
      <c r="J488" s="53">
        <v>64320</v>
      </c>
      <c r="K488" s="54">
        <v>5</v>
      </c>
    </row>
    <row r="489" spans="1:16" hidden="1">
      <c r="A489" s="39" t="s">
        <v>809</v>
      </c>
      <c r="B489" s="46" t="s">
        <v>245</v>
      </c>
      <c r="C489" s="39" t="s">
        <v>767</v>
      </c>
      <c r="D489" s="142">
        <v>973367569</v>
      </c>
      <c r="E489" s="39" t="s">
        <v>261</v>
      </c>
      <c r="F489" s="81">
        <v>33671</v>
      </c>
      <c r="G489" s="105" t="str">
        <f t="shared" si="14"/>
        <v>Mar</v>
      </c>
      <c r="H489" s="51">
        <f t="shared" ca="1" si="15"/>
        <v>24</v>
      </c>
      <c r="I489" s="52" t="s">
        <v>257</v>
      </c>
      <c r="J489" s="53">
        <v>46380</v>
      </c>
      <c r="K489" s="54">
        <v>3</v>
      </c>
      <c r="O489" s="75"/>
      <c r="P489" s="75"/>
    </row>
    <row r="490" spans="1:16" hidden="1">
      <c r="A490" s="39" t="s">
        <v>786</v>
      </c>
      <c r="B490" s="46" t="s">
        <v>285</v>
      </c>
      <c r="C490" s="39" t="s">
        <v>767</v>
      </c>
      <c r="D490" s="142">
        <v>368521669</v>
      </c>
      <c r="E490" s="39" t="s">
        <v>247</v>
      </c>
      <c r="F490" s="81">
        <v>35146</v>
      </c>
      <c r="G490" s="105" t="str">
        <f t="shared" si="14"/>
        <v>Mar</v>
      </c>
      <c r="H490" s="51">
        <f t="shared" ca="1" si="15"/>
        <v>20</v>
      </c>
      <c r="I490" s="52"/>
      <c r="J490" s="53">
        <v>73190</v>
      </c>
      <c r="K490" s="54">
        <v>1</v>
      </c>
    </row>
    <row r="491" spans="1:16" hidden="1">
      <c r="A491" s="39" t="s">
        <v>773</v>
      </c>
      <c r="B491" s="46" t="s">
        <v>245</v>
      </c>
      <c r="C491" s="39" t="s">
        <v>767</v>
      </c>
      <c r="D491" s="142">
        <v>788970964</v>
      </c>
      <c r="E491" s="39" t="s">
        <v>256</v>
      </c>
      <c r="F491" s="81">
        <v>35151</v>
      </c>
      <c r="G491" s="105" t="str">
        <f t="shared" si="14"/>
        <v>Mar</v>
      </c>
      <c r="H491" s="51">
        <f t="shared" ca="1" si="15"/>
        <v>20</v>
      </c>
      <c r="I491" s="52" t="s">
        <v>276</v>
      </c>
      <c r="J491" s="53">
        <v>29760</v>
      </c>
      <c r="K491" s="54">
        <v>2</v>
      </c>
    </row>
    <row r="492" spans="1:16" hidden="1">
      <c r="A492" s="39" t="s">
        <v>770</v>
      </c>
      <c r="B492" s="46" t="s">
        <v>285</v>
      </c>
      <c r="C492" s="39" t="s">
        <v>767</v>
      </c>
      <c r="D492" s="142">
        <v>775849338</v>
      </c>
      <c r="E492" s="39" t="s">
        <v>256</v>
      </c>
      <c r="F492" s="81">
        <v>37701</v>
      </c>
      <c r="G492" s="105" t="str">
        <f t="shared" si="14"/>
        <v>Mar</v>
      </c>
      <c r="H492" s="51">
        <f t="shared" ca="1" si="15"/>
        <v>13</v>
      </c>
      <c r="I492" s="52" t="s">
        <v>262</v>
      </c>
      <c r="J492" s="53">
        <v>23560</v>
      </c>
      <c r="K492" s="54">
        <v>3</v>
      </c>
    </row>
    <row r="493" spans="1:16" hidden="1">
      <c r="A493" s="39" t="s">
        <v>848</v>
      </c>
      <c r="B493" s="46" t="s">
        <v>266</v>
      </c>
      <c r="C493" s="39" t="s">
        <v>767</v>
      </c>
      <c r="D493" s="142">
        <v>297130809</v>
      </c>
      <c r="E493" s="39" t="s">
        <v>256</v>
      </c>
      <c r="F493" s="81">
        <v>38423</v>
      </c>
      <c r="G493" s="105" t="str">
        <f t="shared" si="14"/>
        <v>Mar</v>
      </c>
      <c r="H493" s="51">
        <f t="shared" ca="1" si="15"/>
        <v>11</v>
      </c>
      <c r="I493" s="52" t="s">
        <v>276</v>
      </c>
      <c r="J493" s="53">
        <v>61330</v>
      </c>
      <c r="K493" s="54">
        <v>2</v>
      </c>
    </row>
    <row r="494" spans="1:16" hidden="1">
      <c r="A494" s="39" t="s">
        <v>800</v>
      </c>
      <c r="B494" s="46" t="s">
        <v>266</v>
      </c>
      <c r="C494" s="39" t="s">
        <v>767</v>
      </c>
      <c r="D494" s="142">
        <v>536780700</v>
      </c>
      <c r="E494" s="39" t="s">
        <v>256</v>
      </c>
      <c r="F494" s="81">
        <v>38790</v>
      </c>
      <c r="G494" s="105" t="str">
        <f t="shared" si="14"/>
        <v>Mar</v>
      </c>
      <c r="H494" s="51">
        <f t="shared" ca="1" si="15"/>
        <v>10</v>
      </c>
      <c r="I494" s="52" t="s">
        <v>262</v>
      </c>
      <c r="J494" s="53">
        <v>62688</v>
      </c>
      <c r="K494" s="54">
        <v>3</v>
      </c>
    </row>
    <row r="495" spans="1:16" hidden="1">
      <c r="A495" s="39" t="s">
        <v>785</v>
      </c>
      <c r="B495" s="46" t="s">
        <v>245</v>
      </c>
      <c r="C495" s="39" t="s">
        <v>767</v>
      </c>
      <c r="D495" s="142">
        <v>198202323</v>
      </c>
      <c r="E495" s="39" t="s">
        <v>256</v>
      </c>
      <c r="F495" s="81">
        <v>39899</v>
      </c>
      <c r="G495" s="105" t="str">
        <f t="shared" si="14"/>
        <v>Mar</v>
      </c>
      <c r="H495" s="51">
        <f t="shared" ca="1" si="15"/>
        <v>7</v>
      </c>
      <c r="I495" s="52" t="s">
        <v>257</v>
      </c>
      <c r="J495" s="53">
        <v>24790</v>
      </c>
      <c r="K495" s="54">
        <v>3</v>
      </c>
    </row>
    <row r="496" spans="1:16" hidden="1">
      <c r="A496" s="39" t="s">
        <v>834</v>
      </c>
      <c r="B496" s="46" t="s">
        <v>251</v>
      </c>
      <c r="C496" s="39" t="s">
        <v>767</v>
      </c>
      <c r="D496" s="142">
        <v>995735344</v>
      </c>
      <c r="E496" s="39" t="s">
        <v>261</v>
      </c>
      <c r="F496" s="103">
        <v>40254</v>
      </c>
      <c r="G496" s="105" t="str">
        <f t="shared" si="14"/>
        <v>Mar</v>
      </c>
      <c r="H496" s="51">
        <f t="shared" ca="1" si="15"/>
        <v>6</v>
      </c>
      <c r="I496" s="52" t="s">
        <v>283</v>
      </c>
      <c r="J496" s="53">
        <v>48700</v>
      </c>
      <c r="K496" s="54">
        <v>3</v>
      </c>
    </row>
    <row r="497" spans="1:16">
      <c r="A497" s="39" t="s">
        <v>777</v>
      </c>
      <c r="B497" s="46" t="s">
        <v>271</v>
      </c>
      <c r="C497" s="39" t="s">
        <v>767</v>
      </c>
      <c r="D497" s="142">
        <v>161660789</v>
      </c>
      <c r="E497" s="39" t="s">
        <v>256</v>
      </c>
      <c r="F497" s="81">
        <v>40624</v>
      </c>
      <c r="G497" s="105" t="str">
        <f t="shared" si="14"/>
        <v>Mar</v>
      </c>
      <c r="H497" s="51">
        <f t="shared" ca="1" si="15"/>
        <v>5</v>
      </c>
      <c r="I497" s="52" t="s">
        <v>276</v>
      </c>
      <c r="J497" s="53">
        <v>86500</v>
      </c>
      <c r="K497" s="54">
        <v>1</v>
      </c>
    </row>
    <row r="498" spans="1:16">
      <c r="A498" s="39" t="s">
        <v>772</v>
      </c>
      <c r="B498" s="46" t="s">
        <v>271</v>
      </c>
      <c r="C498" s="39" t="s">
        <v>767</v>
      </c>
      <c r="D498" s="142">
        <v>694172844</v>
      </c>
      <c r="E498" s="39" t="s">
        <v>256</v>
      </c>
      <c r="F498" s="81">
        <v>34061</v>
      </c>
      <c r="G498" s="105" t="str">
        <f t="shared" si="14"/>
        <v>Apr</v>
      </c>
      <c r="H498" s="51">
        <f t="shared" ca="1" si="15"/>
        <v>23</v>
      </c>
      <c r="I498" s="52" t="s">
        <v>257</v>
      </c>
      <c r="J498" s="53">
        <v>23320</v>
      </c>
      <c r="K498" s="54">
        <v>4</v>
      </c>
      <c r="O498" s="75"/>
      <c r="P498" s="75"/>
    </row>
    <row r="499" spans="1:16" hidden="1">
      <c r="A499" s="39" t="s">
        <v>831</v>
      </c>
      <c r="B499" s="46" t="s">
        <v>245</v>
      </c>
      <c r="C499" s="39" t="s">
        <v>767</v>
      </c>
      <c r="D499" s="142">
        <v>817751158</v>
      </c>
      <c r="E499" s="39" t="s">
        <v>261</v>
      </c>
      <c r="F499" s="81">
        <v>34793</v>
      </c>
      <c r="G499" s="105" t="str">
        <f t="shared" si="14"/>
        <v>Apr</v>
      </c>
      <c r="H499" s="51">
        <f t="shared" ca="1" si="15"/>
        <v>21</v>
      </c>
      <c r="I499" s="52" t="s">
        <v>283</v>
      </c>
      <c r="J499" s="53">
        <v>10700</v>
      </c>
      <c r="K499" s="54">
        <v>4</v>
      </c>
    </row>
    <row r="500" spans="1:16" hidden="1">
      <c r="A500" s="39" t="s">
        <v>827</v>
      </c>
      <c r="B500" s="46" t="s">
        <v>285</v>
      </c>
      <c r="C500" s="39" t="s">
        <v>767</v>
      </c>
      <c r="D500" s="142">
        <v>934364801</v>
      </c>
      <c r="E500" s="39" t="s">
        <v>256</v>
      </c>
      <c r="F500" s="81">
        <v>35169</v>
      </c>
      <c r="G500" s="105" t="str">
        <f t="shared" si="14"/>
        <v>Apr</v>
      </c>
      <c r="H500" s="51">
        <f t="shared" ca="1" si="15"/>
        <v>20</v>
      </c>
      <c r="I500" s="52" t="s">
        <v>276</v>
      </c>
      <c r="J500" s="53">
        <v>72640</v>
      </c>
      <c r="K500" s="54">
        <v>3</v>
      </c>
    </row>
    <row r="501" spans="1:16" hidden="1">
      <c r="A501" s="39" t="s">
        <v>797</v>
      </c>
      <c r="B501" s="46" t="s">
        <v>285</v>
      </c>
      <c r="C501" s="39" t="s">
        <v>767</v>
      </c>
      <c r="D501" s="142">
        <v>246219020</v>
      </c>
      <c r="E501" s="39" t="s">
        <v>256</v>
      </c>
      <c r="F501" s="81">
        <v>35528</v>
      </c>
      <c r="G501" s="105" t="str">
        <f t="shared" si="14"/>
        <v>Apr</v>
      </c>
      <c r="H501" s="51">
        <f t="shared" ca="1" si="15"/>
        <v>19</v>
      </c>
      <c r="I501" s="52" t="s">
        <v>257</v>
      </c>
      <c r="J501" s="53">
        <v>63270</v>
      </c>
      <c r="K501" s="54">
        <v>1</v>
      </c>
    </row>
    <row r="502" spans="1:16" hidden="1">
      <c r="A502" s="39" t="s">
        <v>798</v>
      </c>
      <c r="B502" s="46" t="s">
        <v>245</v>
      </c>
      <c r="C502" s="39" t="s">
        <v>767</v>
      </c>
      <c r="D502" s="142">
        <v>646419304</v>
      </c>
      <c r="E502" s="39" t="s">
        <v>247</v>
      </c>
      <c r="F502" s="81">
        <v>35541</v>
      </c>
      <c r="G502" s="105" t="str">
        <f t="shared" si="14"/>
        <v>Apr</v>
      </c>
      <c r="H502" s="51">
        <f t="shared" ca="1" si="15"/>
        <v>19</v>
      </c>
      <c r="I502" s="52"/>
      <c r="J502" s="53">
        <v>49530</v>
      </c>
      <c r="K502" s="54">
        <v>4</v>
      </c>
    </row>
    <row r="503" spans="1:16" hidden="1">
      <c r="A503" s="39" t="s">
        <v>790</v>
      </c>
      <c r="B503" s="46" t="s">
        <v>266</v>
      </c>
      <c r="C503" s="39" t="s">
        <v>767</v>
      </c>
      <c r="D503" s="142">
        <v>421152382</v>
      </c>
      <c r="E503" s="39" t="s">
        <v>261</v>
      </c>
      <c r="F503" s="81">
        <v>40293</v>
      </c>
      <c r="G503" s="105" t="str">
        <f t="shared" si="14"/>
        <v>Apr</v>
      </c>
      <c r="H503" s="51">
        <f t="shared" ca="1" si="15"/>
        <v>6</v>
      </c>
      <c r="I503" s="52" t="s">
        <v>257</v>
      </c>
      <c r="J503" s="53">
        <v>11810</v>
      </c>
      <c r="K503" s="54">
        <v>1</v>
      </c>
    </row>
    <row r="504" spans="1:16">
      <c r="A504" s="39" t="s">
        <v>822</v>
      </c>
      <c r="B504" s="46" t="s">
        <v>271</v>
      </c>
      <c r="C504" s="39" t="s">
        <v>767</v>
      </c>
      <c r="D504" s="142">
        <v>120299883</v>
      </c>
      <c r="E504" s="39" t="s">
        <v>256</v>
      </c>
      <c r="F504" s="81">
        <v>33361</v>
      </c>
      <c r="G504" s="105" t="str">
        <f t="shared" si="14"/>
        <v>May</v>
      </c>
      <c r="H504" s="51">
        <f t="shared" ca="1" si="15"/>
        <v>25</v>
      </c>
      <c r="I504" s="52" t="s">
        <v>257</v>
      </c>
      <c r="J504" s="53">
        <v>24090</v>
      </c>
      <c r="K504" s="54">
        <v>4</v>
      </c>
    </row>
    <row r="505" spans="1:16">
      <c r="A505" s="39" t="s">
        <v>837</v>
      </c>
      <c r="B505" s="46" t="s">
        <v>271</v>
      </c>
      <c r="C505" s="39" t="s">
        <v>767</v>
      </c>
      <c r="D505" s="142">
        <v>275575749</v>
      </c>
      <c r="E505" s="39" t="s">
        <v>247</v>
      </c>
      <c r="F505" s="81">
        <v>34478</v>
      </c>
      <c r="G505" s="105" t="str">
        <f t="shared" si="14"/>
        <v>May</v>
      </c>
      <c r="H505" s="51">
        <f t="shared" ca="1" si="15"/>
        <v>22</v>
      </c>
      <c r="I505" s="52"/>
      <c r="J505" s="53">
        <v>56650</v>
      </c>
      <c r="K505" s="54">
        <v>1</v>
      </c>
    </row>
    <row r="506" spans="1:16" hidden="1">
      <c r="A506" s="39" t="s">
        <v>815</v>
      </c>
      <c r="B506" s="46" t="s">
        <v>251</v>
      </c>
      <c r="C506" s="39" t="s">
        <v>767</v>
      </c>
      <c r="D506" s="142">
        <v>830158236</v>
      </c>
      <c r="E506" s="39" t="s">
        <v>256</v>
      </c>
      <c r="F506" s="81">
        <v>35918</v>
      </c>
      <c r="G506" s="105" t="str">
        <f t="shared" si="14"/>
        <v>May</v>
      </c>
      <c r="H506" s="51">
        <f t="shared" ca="1" si="15"/>
        <v>18</v>
      </c>
      <c r="I506" s="52" t="s">
        <v>262</v>
      </c>
      <c r="J506" s="53">
        <v>73740</v>
      </c>
      <c r="K506" s="54">
        <v>4</v>
      </c>
    </row>
    <row r="507" spans="1:16" hidden="1">
      <c r="A507" s="39" t="s">
        <v>775</v>
      </c>
      <c r="B507" s="46" t="s">
        <v>245</v>
      </c>
      <c r="C507" s="39" t="s">
        <v>767</v>
      </c>
      <c r="D507" s="142">
        <v>648408725</v>
      </c>
      <c r="E507" s="39" t="s">
        <v>252</v>
      </c>
      <c r="F507" s="81">
        <v>35946</v>
      </c>
      <c r="G507" s="105" t="str">
        <f t="shared" si="14"/>
        <v>May</v>
      </c>
      <c r="H507" s="51">
        <f t="shared" ca="1" si="15"/>
        <v>18</v>
      </c>
      <c r="I507" s="52"/>
      <c r="J507" s="53">
        <v>14332</v>
      </c>
      <c r="K507" s="54">
        <v>5</v>
      </c>
    </row>
    <row r="508" spans="1:16">
      <c r="A508" s="39" t="s">
        <v>840</v>
      </c>
      <c r="B508" s="46" t="s">
        <v>271</v>
      </c>
      <c r="C508" s="39" t="s">
        <v>767</v>
      </c>
      <c r="D508" s="142">
        <v>533490834</v>
      </c>
      <c r="E508" s="39" t="s">
        <v>247</v>
      </c>
      <c r="F508" s="81">
        <v>36297</v>
      </c>
      <c r="G508" s="105" t="str">
        <f t="shared" si="14"/>
        <v>May</v>
      </c>
      <c r="H508" s="51">
        <f t="shared" ca="1" si="15"/>
        <v>17</v>
      </c>
      <c r="I508" s="52"/>
      <c r="J508" s="53">
        <v>57990</v>
      </c>
      <c r="K508" s="54">
        <v>5</v>
      </c>
    </row>
    <row r="509" spans="1:16">
      <c r="A509" s="39" t="s">
        <v>835</v>
      </c>
      <c r="B509" s="46" t="s">
        <v>271</v>
      </c>
      <c r="C509" s="39" t="s">
        <v>767</v>
      </c>
      <c r="D509" s="142">
        <v>600754807</v>
      </c>
      <c r="E509" s="39" t="s">
        <v>256</v>
      </c>
      <c r="F509" s="81">
        <v>36673</v>
      </c>
      <c r="G509" s="105" t="str">
        <f t="shared" si="14"/>
        <v>May</v>
      </c>
      <c r="H509" s="51">
        <f t="shared" ca="1" si="15"/>
        <v>16</v>
      </c>
      <c r="I509" s="52" t="s">
        <v>276</v>
      </c>
      <c r="J509" s="53">
        <v>48330</v>
      </c>
      <c r="K509" s="54">
        <v>1</v>
      </c>
    </row>
    <row r="510" spans="1:16">
      <c r="A510" s="39" t="s">
        <v>843</v>
      </c>
      <c r="B510" s="46" t="s">
        <v>271</v>
      </c>
      <c r="C510" s="39" t="s">
        <v>767</v>
      </c>
      <c r="D510" s="142">
        <v>976680380</v>
      </c>
      <c r="E510" s="39" t="s">
        <v>247</v>
      </c>
      <c r="F510" s="81">
        <v>37404</v>
      </c>
      <c r="G510" s="105" t="str">
        <f t="shared" si="14"/>
        <v>May</v>
      </c>
      <c r="H510" s="51">
        <f t="shared" ca="1" si="15"/>
        <v>14</v>
      </c>
      <c r="I510" s="52"/>
      <c r="J510" s="53">
        <v>60070</v>
      </c>
      <c r="K510" s="54">
        <v>3</v>
      </c>
    </row>
    <row r="511" spans="1:16" hidden="1">
      <c r="A511" s="39" t="s">
        <v>838</v>
      </c>
      <c r="B511" s="46" t="s">
        <v>266</v>
      </c>
      <c r="C511" s="39" t="s">
        <v>767</v>
      </c>
      <c r="D511" s="142">
        <v>549812811</v>
      </c>
      <c r="E511" s="39" t="s">
        <v>256</v>
      </c>
      <c r="F511" s="81">
        <v>39217</v>
      </c>
      <c r="G511" s="105" t="str">
        <f t="shared" si="14"/>
        <v>May</v>
      </c>
      <c r="H511" s="51">
        <f t="shared" ca="1" si="15"/>
        <v>9</v>
      </c>
      <c r="I511" s="52" t="s">
        <v>257</v>
      </c>
      <c r="J511" s="53">
        <v>73830</v>
      </c>
      <c r="K511" s="54">
        <v>2</v>
      </c>
    </row>
    <row r="512" spans="1:16">
      <c r="A512" s="39" t="s">
        <v>832</v>
      </c>
      <c r="B512" s="46" t="s">
        <v>271</v>
      </c>
      <c r="C512" s="39" t="s">
        <v>767</v>
      </c>
      <c r="D512" s="142">
        <v>392553049</v>
      </c>
      <c r="E512" s="39" t="s">
        <v>247</v>
      </c>
      <c r="F512" s="81">
        <v>33402</v>
      </c>
      <c r="G512" s="105" t="str">
        <f t="shared" si="14"/>
        <v>Jun</v>
      </c>
      <c r="H512" s="51">
        <f t="shared" ca="1" si="15"/>
        <v>25</v>
      </c>
      <c r="I512" s="52"/>
      <c r="J512" s="53">
        <v>79380</v>
      </c>
      <c r="K512" s="54">
        <v>1</v>
      </c>
    </row>
    <row r="513" spans="1:11" hidden="1">
      <c r="A513" s="39" t="s">
        <v>779</v>
      </c>
      <c r="B513" s="46" t="s">
        <v>285</v>
      </c>
      <c r="C513" s="39" t="s">
        <v>767</v>
      </c>
      <c r="D513" s="142">
        <v>633745603</v>
      </c>
      <c r="E513" s="39" t="s">
        <v>256</v>
      </c>
      <c r="F513" s="81">
        <v>34149</v>
      </c>
      <c r="G513" s="105" t="str">
        <f t="shared" si="14"/>
        <v>Jun</v>
      </c>
      <c r="H513" s="51">
        <f t="shared" ca="1" si="15"/>
        <v>23</v>
      </c>
      <c r="I513" s="52" t="s">
        <v>276</v>
      </c>
      <c r="J513" s="53">
        <v>63440</v>
      </c>
      <c r="K513" s="54">
        <v>3</v>
      </c>
    </row>
    <row r="514" spans="1:11">
      <c r="A514" s="39" t="s">
        <v>774</v>
      </c>
      <c r="B514" s="46" t="s">
        <v>271</v>
      </c>
      <c r="C514" s="39" t="s">
        <v>767</v>
      </c>
      <c r="D514" s="142">
        <v>146219035</v>
      </c>
      <c r="E514" s="39" t="s">
        <v>256</v>
      </c>
      <c r="F514" s="81">
        <v>35219</v>
      </c>
      <c r="G514" s="105" t="str">
        <f t="shared" ref="G514:G577" si="16">CHOOSE(MONTH(F514),"Jan","Feb","Mar","Apr","May","Jun","Jul","Aug","Sep","Oct","Nov","Dec")</f>
        <v>Jun</v>
      </c>
      <c r="H514" s="51">
        <f t="shared" ref="H514:H577" ca="1" si="17">DATEDIF(F514,TODAY(),"Y")</f>
        <v>20</v>
      </c>
      <c r="I514" s="52" t="s">
        <v>257</v>
      </c>
      <c r="J514" s="53">
        <v>47340</v>
      </c>
      <c r="K514" s="54">
        <v>2</v>
      </c>
    </row>
    <row r="515" spans="1:11" hidden="1">
      <c r="A515" s="39" t="s">
        <v>814</v>
      </c>
      <c r="B515" s="46" t="s">
        <v>285</v>
      </c>
      <c r="C515" s="39" t="s">
        <v>767</v>
      </c>
      <c r="D515" s="142">
        <v>635311911</v>
      </c>
      <c r="E515" s="39" t="s">
        <v>256</v>
      </c>
      <c r="F515" s="81">
        <v>35958</v>
      </c>
      <c r="G515" s="105" t="str">
        <f t="shared" si="16"/>
        <v>Jun</v>
      </c>
      <c r="H515" s="51">
        <f t="shared" ca="1" si="17"/>
        <v>18</v>
      </c>
      <c r="I515" s="52" t="s">
        <v>283</v>
      </c>
      <c r="J515" s="53">
        <v>61420</v>
      </c>
      <c r="K515" s="54">
        <v>4</v>
      </c>
    </row>
    <row r="516" spans="1:11" hidden="1">
      <c r="A516" s="39" t="s">
        <v>820</v>
      </c>
      <c r="B516" s="46" t="s">
        <v>285</v>
      </c>
      <c r="C516" s="39" t="s">
        <v>767</v>
      </c>
      <c r="D516" s="142">
        <v>969890063</v>
      </c>
      <c r="E516" s="39" t="s">
        <v>252</v>
      </c>
      <c r="F516" s="81">
        <v>36340</v>
      </c>
      <c r="G516" s="105" t="str">
        <f t="shared" si="16"/>
        <v>Jun</v>
      </c>
      <c r="H516" s="51">
        <f t="shared" ca="1" si="17"/>
        <v>17</v>
      </c>
      <c r="I516" s="52"/>
      <c r="J516" s="53">
        <v>37016</v>
      </c>
      <c r="K516" s="54">
        <v>4</v>
      </c>
    </row>
    <row r="517" spans="1:11">
      <c r="A517" s="39" t="s">
        <v>819</v>
      </c>
      <c r="B517" s="46" t="s">
        <v>271</v>
      </c>
      <c r="C517" s="39" t="s">
        <v>767</v>
      </c>
      <c r="D517" s="142">
        <v>149369079</v>
      </c>
      <c r="E517" s="39" t="s">
        <v>256</v>
      </c>
      <c r="F517" s="81">
        <v>34169</v>
      </c>
      <c r="G517" s="105" t="str">
        <f t="shared" si="16"/>
        <v>Jul</v>
      </c>
      <c r="H517" s="51">
        <f t="shared" ca="1" si="17"/>
        <v>23</v>
      </c>
      <c r="I517" s="52" t="s">
        <v>267</v>
      </c>
      <c r="J517" s="53">
        <v>69420</v>
      </c>
      <c r="K517" s="54">
        <v>2</v>
      </c>
    </row>
    <row r="518" spans="1:11" hidden="1">
      <c r="A518" s="39" t="s">
        <v>805</v>
      </c>
      <c r="B518" s="46" t="s">
        <v>285</v>
      </c>
      <c r="C518" s="39" t="s">
        <v>767</v>
      </c>
      <c r="D518" s="142">
        <v>795407799</v>
      </c>
      <c r="E518" s="39" t="s">
        <v>256</v>
      </c>
      <c r="F518" s="81">
        <v>35616</v>
      </c>
      <c r="G518" s="105" t="str">
        <f t="shared" si="16"/>
        <v>Jul</v>
      </c>
      <c r="H518" s="51">
        <f t="shared" ca="1" si="17"/>
        <v>19</v>
      </c>
      <c r="I518" s="52" t="s">
        <v>283</v>
      </c>
      <c r="J518" s="53">
        <v>34060</v>
      </c>
      <c r="K518" s="54">
        <v>2</v>
      </c>
    </row>
    <row r="519" spans="1:11">
      <c r="A519" s="39" t="s">
        <v>828</v>
      </c>
      <c r="B519" s="46" t="s">
        <v>271</v>
      </c>
      <c r="C519" s="39" t="s">
        <v>767</v>
      </c>
      <c r="D519" s="142">
        <v>127900790</v>
      </c>
      <c r="E519" s="39" t="s">
        <v>256</v>
      </c>
      <c r="F519" s="81">
        <v>35990</v>
      </c>
      <c r="G519" s="105" t="str">
        <f t="shared" si="16"/>
        <v>Jul</v>
      </c>
      <c r="H519" s="51">
        <f t="shared" ca="1" si="17"/>
        <v>18</v>
      </c>
      <c r="I519" s="52" t="s">
        <v>276</v>
      </c>
      <c r="J519" s="53">
        <v>36890</v>
      </c>
      <c r="K519" s="54">
        <v>1</v>
      </c>
    </row>
    <row r="520" spans="1:11" hidden="1">
      <c r="A520" s="39" t="s">
        <v>833</v>
      </c>
      <c r="B520" s="46" t="s">
        <v>285</v>
      </c>
      <c r="C520" s="39" t="s">
        <v>767</v>
      </c>
      <c r="D520" s="142">
        <v>664132048</v>
      </c>
      <c r="E520" s="39" t="s">
        <v>261</v>
      </c>
      <c r="F520" s="108">
        <v>38173</v>
      </c>
      <c r="G520" s="105" t="str">
        <f t="shared" si="16"/>
        <v>Jul</v>
      </c>
      <c r="H520" s="51">
        <f t="shared" ca="1" si="17"/>
        <v>12</v>
      </c>
      <c r="I520" s="52" t="s">
        <v>283</v>
      </c>
      <c r="J520" s="53">
        <v>32900</v>
      </c>
      <c r="K520" s="54">
        <v>2</v>
      </c>
    </row>
    <row r="521" spans="1:11">
      <c r="A521" s="39" t="s">
        <v>847</v>
      </c>
      <c r="B521" s="46" t="s">
        <v>271</v>
      </c>
      <c r="C521" s="39" t="s">
        <v>767</v>
      </c>
      <c r="D521" s="142">
        <v>115508570</v>
      </c>
      <c r="E521" s="39" t="s">
        <v>256</v>
      </c>
      <c r="F521" s="81">
        <v>33098</v>
      </c>
      <c r="G521" s="105" t="str">
        <f t="shared" si="16"/>
        <v>Aug</v>
      </c>
      <c r="H521" s="51">
        <f t="shared" ca="1" si="17"/>
        <v>26</v>
      </c>
      <c r="I521" s="52" t="s">
        <v>257</v>
      </c>
      <c r="J521" s="53">
        <v>48080</v>
      </c>
      <c r="K521" s="54">
        <v>2</v>
      </c>
    </row>
    <row r="522" spans="1:11">
      <c r="A522" s="39" t="s">
        <v>852</v>
      </c>
      <c r="B522" s="46" t="s">
        <v>271</v>
      </c>
      <c r="C522" s="39" t="s">
        <v>767</v>
      </c>
      <c r="D522" s="142">
        <v>300145210</v>
      </c>
      <c r="E522" s="39" t="s">
        <v>256</v>
      </c>
      <c r="F522" s="81">
        <v>33460</v>
      </c>
      <c r="G522" s="105" t="str">
        <f t="shared" si="16"/>
        <v>Aug</v>
      </c>
      <c r="H522" s="51">
        <f t="shared" ca="1" si="17"/>
        <v>25</v>
      </c>
      <c r="I522" s="52" t="s">
        <v>267</v>
      </c>
      <c r="J522" s="53">
        <v>77740</v>
      </c>
      <c r="K522" s="54">
        <v>1</v>
      </c>
    </row>
    <row r="523" spans="1:11" hidden="1">
      <c r="A523" s="39" t="s">
        <v>802</v>
      </c>
      <c r="B523" s="46" t="s">
        <v>280</v>
      </c>
      <c r="C523" s="39" t="s">
        <v>767</v>
      </c>
      <c r="D523" s="142">
        <v>404037729</v>
      </c>
      <c r="E523" s="39" t="s">
        <v>247</v>
      </c>
      <c r="F523" s="81">
        <v>34915</v>
      </c>
      <c r="G523" s="105" t="str">
        <f t="shared" si="16"/>
        <v>Aug</v>
      </c>
      <c r="H523" s="51">
        <f t="shared" ca="1" si="17"/>
        <v>21</v>
      </c>
      <c r="I523" s="52"/>
      <c r="J523" s="53">
        <v>76870</v>
      </c>
      <c r="K523" s="54">
        <v>5</v>
      </c>
    </row>
    <row r="524" spans="1:11" hidden="1">
      <c r="A524" s="39" t="s">
        <v>829</v>
      </c>
      <c r="B524" s="46" t="s">
        <v>245</v>
      </c>
      <c r="C524" s="39" t="s">
        <v>767</v>
      </c>
      <c r="D524" s="142">
        <v>593629633</v>
      </c>
      <c r="E524" s="39" t="s">
        <v>256</v>
      </c>
      <c r="F524" s="81">
        <v>35286</v>
      </c>
      <c r="G524" s="105" t="str">
        <f t="shared" si="16"/>
        <v>Aug</v>
      </c>
      <c r="H524" s="51">
        <f t="shared" ca="1" si="17"/>
        <v>20</v>
      </c>
      <c r="I524" s="52" t="s">
        <v>262</v>
      </c>
      <c r="J524" s="53">
        <v>72700</v>
      </c>
      <c r="K524" s="54">
        <v>5</v>
      </c>
    </row>
    <row r="525" spans="1:11" hidden="1">
      <c r="A525" s="39" t="s">
        <v>824</v>
      </c>
      <c r="B525" s="46" t="s">
        <v>285</v>
      </c>
      <c r="C525" s="39" t="s">
        <v>767</v>
      </c>
      <c r="D525" s="142">
        <v>122002550</v>
      </c>
      <c r="E525" s="39" t="s">
        <v>247</v>
      </c>
      <c r="F525" s="81">
        <v>35301</v>
      </c>
      <c r="G525" s="105" t="str">
        <f t="shared" si="16"/>
        <v>Aug</v>
      </c>
      <c r="H525" s="51">
        <f t="shared" ca="1" si="17"/>
        <v>20</v>
      </c>
      <c r="I525" s="52"/>
      <c r="J525" s="53">
        <v>60070</v>
      </c>
      <c r="K525" s="54">
        <v>2</v>
      </c>
    </row>
    <row r="526" spans="1:11" hidden="1">
      <c r="A526" s="39" t="s">
        <v>768</v>
      </c>
      <c r="B526" s="46" t="s">
        <v>285</v>
      </c>
      <c r="C526" s="39" t="s">
        <v>767</v>
      </c>
      <c r="D526" s="142">
        <v>151309164</v>
      </c>
      <c r="E526" s="39" t="s">
        <v>252</v>
      </c>
      <c r="F526" s="81">
        <v>36028</v>
      </c>
      <c r="G526" s="105" t="str">
        <f t="shared" si="16"/>
        <v>Aug</v>
      </c>
      <c r="H526" s="51">
        <f t="shared" ca="1" si="17"/>
        <v>18</v>
      </c>
      <c r="I526" s="52"/>
      <c r="J526" s="53">
        <v>16688</v>
      </c>
      <c r="K526" s="54">
        <v>3</v>
      </c>
    </row>
    <row r="527" spans="1:11" hidden="1">
      <c r="A527" s="39" t="s">
        <v>766</v>
      </c>
      <c r="B527" s="46" t="s">
        <v>266</v>
      </c>
      <c r="C527" s="39" t="s">
        <v>767</v>
      </c>
      <c r="D527" s="142">
        <v>157620143</v>
      </c>
      <c r="E527" s="39" t="s">
        <v>247</v>
      </c>
      <c r="F527" s="81">
        <v>36375</v>
      </c>
      <c r="G527" s="105" t="str">
        <f t="shared" si="16"/>
        <v>Aug</v>
      </c>
      <c r="H527" s="51">
        <f t="shared" ca="1" si="17"/>
        <v>17</v>
      </c>
      <c r="I527" s="52"/>
      <c r="J527" s="53">
        <v>71300</v>
      </c>
      <c r="K527" s="54">
        <v>5</v>
      </c>
    </row>
    <row r="528" spans="1:11">
      <c r="A528" s="39" t="s">
        <v>812</v>
      </c>
      <c r="B528" s="46" t="s">
        <v>271</v>
      </c>
      <c r="C528" s="39" t="s">
        <v>767</v>
      </c>
      <c r="D528" s="142">
        <v>546895685</v>
      </c>
      <c r="E528" s="39" t="s">
        <v>252</v>
      </c>
      <c r="F528" s="81">
        <v>36380</v>
      </c>
      <c r="G528" s="105" t="str">
        <f t="shared" si="16"/>
        <v>Aug</v>
      </c>
      <c r="H528" s="51">
        <f t="shared" ca="1" si="17"/>
        <v>17</v>
      </c>
      <c r="I528" s="52"/>
      <c r="J528" s="53">
        <v>36052</v>
      </c>
      <c r="K528" s="54">
        <v>5</v>
      </c>
    </row>
    <row r="529" spans="1:11">
      <c r="A529" s="39" t="s">
        <v>842</v>
      </c>
      <c r="B529" s="46" t="s">
        <v>271</v>
      </c>
      <c r="C529" s="39" t="s">
        <v>767</v>
      </c>
      <c r="D529" s="142">
        <v>745258163</v>
      </c>
      <c r="E529" s="39" t="s">
        <v>256</v>
      </c>
      <c r="F529" s="81">
        <v>36393</v>
      </c>
      <c r="G529" s="105" t="str">
        <f t="shared" si="16"/>
        <v>Aug</v>
      </c>
      <c r="H529" s="51">
        <f t="shared" ca="1" si="17"/>
        <v>17</v>
      </c>
      <c r="I529" s="52" t="s">
        <v>283</v>
      </c>
      <c r="J529" s="53">
        <v>65910</v>
      </c>
      <c r="K529" s="54">
        <v>5</v>
      </c>
    </row>
    <row r="530" spans="1:11" hidden="1">
      <c r="A530" s="39" t="s">
        <v>821</v>
      </c>
      <c r="B530" s="46" t="s">
        <v>280</v>
      </c>
      <c r="C530" s="39" t="s">
        <v>767</v>
      </c>
      <c r="D530" s="142">
        <v>375712687</v>
      </c>
      <c r="E530" s="39" t="s">
        <v>256</v>
      </c>
      <c r="F530" s="81">
        <v>37848</v>
      </c>
      <c r="G530" s="105" t="str">
        <f t="shared" si="16"/>
        <v>Aug</v>
      </c>
      <c r="H530" s="51">
        <f t="shared" ca="1" si="17"/>
        <v>13</v>
      </c>
      <c r="I530" s="52" t="s">
        <v>262</v>
      </c>
      <c r="J530" s="53">
        <v>76910</v>
      </c>
      <c r="K530" s="54">
        <v>2</v>
      </c>
    </row>
    <row r="531" spans="1:11">
      <c r="A531" s="39" t="s">
        <v>851</v>
      </c>
      <c r="B531" s="46" t="s">
        <v>271</v>
      </c>
      <c r="C531" s="39" t="s">
        <v>767</v>
      </c>
      <c r="D531" s="142">
        <v>528102735</v>
      </c>
      <c r="E531" s="39" t="s">
        <v>247</v>
      </c>
      <c r="F531" s="103">
        <v>40404</v>
      </c>
      <c r="G531" s="105" t="str">
        <f t="shared" si="16"/>
        <v>Aug</v>
      </c>
      <c r="H531" s="51">
        <f t="shared" ca="1" si="17"/>
        <v>6</v>
      </c>
      <c r="I531" s="52"/>
      <c r="J531" s="53">
        <v>39550</v>
      </c>
      <c r="K531" s="54">
        <v>5</v>
      </c>
    </row>
    <row r="532" spans="1:11" hidden="1">
      <c r="A532" s="39" t="s">
        <v>781</v>
      </c>
      <c r="B532" s="46" t="s">
        <v>245</v>
      </c>
      <c r="C532" s="39" t="s">
        <v>767</v>
      </c>
      <c r="D532" s="142">
        <v>126141931</v>
      </c>
      <c r="E532" s="39" t="s">
        <v>247</v>
      </c>
      <c r="F532" s="103">
        <v>40410</v>
      </c>
      <c r="G532" s="105" t="str">
        <f t="shared" si="16"/>
        <v>Aug</v>
      </c>
      <c r="H532" s="51">
        <f t="shared" ca="1" si="17"/>
        <v>6</v>
      </c>
      <c r="I532" s="52"/>
      <c r="J532" s="53">
        <v>57680</v>
      </c>
      <c r="K532" s="54">
        <v>4</v>
      </c>
    </row>
    <row r="533" spans="1:11" hidden="1">
      <c r="A533" s="39" t="s">
        <v>846</v>
      </c>
      <c r="B533" s="46" t="s">
        <v>245</v>
      </c>
      <c r="C533" s="39" t="s">
        <v>767</v>
      </c>
      <c r="D533" s="142">
        <v>849729323</v>
      </c>
      <c r="E533" s="39" t="s">
        <v>261</v>
      </c>
      <c r="F533" s="103">
        <v>40421</v>
      </c>
      <c r="G533" s="105" t="str">
        <f t="shared" si="16"/>
        <v>Aug</v>
      </c>
      <c r="H533" s="51">
        <f t="shared" ca="1" si="17"/>
        <v>6</v>
      </c>
      <c r="I533" s="52" t="s">
        <v>262</v>
      </c>
      <c r="J533" s="53">
        <v>49355</v>
      </c>
      <c r="K533" s="54">
        <v>5</v>
      </c>
    </row>
    <row r="534" spans="1:11" hidden="1">
      <c r="A534" s="39" t="s">
        <v>791</v>
      </c>
      <c r="B534" s="46" t="s">
        <v>285</v>
      </c>
      <c r="C534" s="39" t="s">
        <v>767</v>
      </c>
      <c r="D534" s="142">
        <v>801783093</v>
      </c>
      <c r="E534" s="39" t="s">
        <v>256</v>
      </c>
      <c r="F534" s="81">
        <v>33128</v>
      </c>
      <c r="G534" s="105" t="str">
        <f t="shared" si="16"/>
        <v>Sep</v>
      </c>
      <c r="H534" s="51">
        <f t="shared" ca="1" si="17"/>
        <v>26</v>
      </c>
      <c r="I534" s="52" t="s">
        <v>267</v>
      </c>
      <c r="J534" s="53">
        <v>46110</v>
      </c>
      <c r="K534" s="54">
        <v>4</v>
      </c>
    </row>
    <row r="535" spans="1:11">
      <c r="A535" s="39" t="s">
        <v>796</v>
      </c>
      <c r="B535" s="46" t="s">
        <v>271</v>
      </c>
      <c r="C535" s="39" t="s">
        <v>767</v>
      </c>
      <c r="D535" s="142">
        <v>684697545</v>
      </c>
      <c r="E535" s="39" t="s">
        <v>256</v>
      </c>
      <c r="F535" s="81">
        <v>33510</v>
      </c>
      <c r="G535" s="105" t="str">
        <f t="shared" si="16"/>
        <v>Sep</v>
      </c>
      <c r="H535" s="51">
        <f t="shared" ca="1" si="17"/>
        <v>25</v>
      </c>
      <c r="I535" s="52" t="s">
        <v>262</v>
      </c>
      <c r="J535" s="53">
        <v>54500</v>
      </c>
      <c r="K535" s="54">
        <v>5</v>
      </c>
    </row>
    <row r="536" spans="1:11">
      <c r="A536" s="39" t="s">
        <v>771</v>
      </c>
      <c r="B536" s="46" t="s">
        <v>271</v>
      </c>
      <c r="C536" s="39" t="s">
        <v>767</v>
      </c>
      <c r="D536" s="142">
        <v>197889500</v>
      </c>
      <c r="E536" s="39" t="s">
        <v>256</v>
      </c>
      <c r="F536" s="81">
        <v>34222</v>
      </c>
      <c r="G536" s="105" t="str">
        <f t="shared" si="16"/>
        <v>Sep</v>
      </c>
      <c r="H536" s="51">
        <f t="shared" ca="1" si="17"/>
        <v>23</v>
      </c>
      <c r="I536" s="52" t="s">
        <v>257</v>
      </c>
      <c r="J536" s="53">
        <v>62688</v>
      </c>
      <c r="K536" s="54">
        <v>2</v>
      </c>
    </row>
    <row r="537" spans="1:11" hidden="1">
      <c r="A537" s="39" t="s">
        <v>795</v>
      </c>
      <c r="B537" s="46" t="s">
        <v>285</v>
      </c>
      <c r="C537" s="39" t="s">
        <v>767</v>
      </c>
      <c r="D537" s="142">
        <v>817902579</v>
      </c>
      <c r="E537" s="39" t="s">
        <v>256</v>
      </c>
      <c r="F537" s="81">
        <v>35693</v>
      </c>
      <c r="G537" s="105" t="str">
        <f t="shared" si="16"/>
        <v>Sep</v>
      </c>
      <c r="H537" s="51">
        <f t="shared" ca="1" si="17"/>
        <v>19</v>
      </c>
      <c r="I537" s="52" t="s">
        <v>262</v>
      </c>
      <c r="J537" s="53">
        <v>24340</v>
      </c>
      <c r="K537" s="54">
        <v>4</v>
      </c>
    </row>
    <row r="538" spans="1:11" hidden="1">
      <c r="A538" s="39" t="s">
        <v>783</v>
      </c>
      <c r="B538" s="46" t="s">
        <v>251</v>
      </c>
      <c r="C538" s="39" t="s">
        <v>767</v>
      </c>
      <c r="D538" s="142">
        <v>967794505</v>
      </c>
      <c r="E538" s="39" t="s">
        <v>247</v>
      </c>
      <c r="F538" s="81">
        <v>35699</v>
      </c>
      <c r="G538" s="105" t="str">
        <f t="shared" si="16"/>
        <v>Sep</v>
      </c>
      <c r="H538" s="51">
        <f t="shared" ca="1" si="17"/>
        <v>19</v>
      </c>
      <c r="I538" s="52"/>
      <c r="J538" s="53">
        <v>36230</v>
      </c>
      <c r="K538" s="54">
        <v>2</v>
      </c>
    </row>
    <row r="539" spans="1:11" hidden="1">
      <c r="A539" s="39" t="s">
        <v>780</v>
      </c>
      <c r="B539" s="46" t="s">
        <v>285</v>
      </c>
      <c r="C539" s="39" t="s">
        <v>767</v>
      </c>
      <c r="D539" s="142">
        <v>787445819</v>
      </c>
      <c r="E539" s="39" t="s">
        <v>247</v>
      </c>
      <c r="F539" s="81">
        <v>36787</v>
      </c>
      <c r="G539" s="105" t="str">
        <f t="shared" si="16"/>
        <v>Sep</v>
      </c>
      <c r="H539" s="51">
        <f t="shared" ca="1" si="17"/>
        <v>16</v>
      </c>
      <c r="I539" s="52"/>
      <c r="J539" s="53">
        <v>89640</v>
      </c>
      <c r="K539" s="54">
        <v>4</v>
      </c>
    </row>
    <row r="540" spans="1:11">
      <c r="A540" s="39" t="s">
        <v>853</v>
      </c>
      <c r="B540" s="46" t="s">
        <v>271</v>
      </c>
      <c r="C540" s="39" t="s">
        <v>767</v>
      </c>
      <c r="D540" s="142">
        <v>111813636</v>
      </c>
      <c r="E540" s="39" t="s">
        <v>256</v>
      </c>
      <c r="F540" s="81">
        <v>37138</v>
      </c>
      <c r="G540" s="105" t="str">
        <f t="shared" si="16"/>
        <v>Sep</v>
      </c>
      <c r="H540" s="51">
        <f t="shared" ca="1" si="17"/>
        <v>15</v>
      </c>
      <c r="I540" s="52" t="s">
        <v>257</v>
      </c>
      <c r="J540" s="53">
        <v>29130</v>
      </c>
      <c r="K540" s="54">
        <v>1</v>
      </c>
    </row>
    <row r="541" spans="1:11" hidden="1">
      <c r="A541" s="39" t="s">
        <v>825</v>
      </c>
      <c r="B541" s="46" t="s">
        <v>285</v>
      </c>
      <c r="C541" s="39" t="s">
        <v>767</v>
      </c>
      <c r="D541" s="142">
        <v>847181606</v>
      </c>
      <c r="E541" s="39" t="s">
        <v>247</v>
      </c>
      <c r="F541" s="81">
        <v>37526</v>
      </c>
      <c r="G541" s="105" t="str">
        <f t="shared" si="16"/>
        <v>Sep</v>
      </c>
      <c r="H541" s="51">
        <f t="shared" ca="1" si="17"/>
        <v>14</v>
      </c>
      <c r="I541" s="52"/>
      <c r="J541" s="53">
        <v>61580</v>
      </c>
      <c r="K541" s="54">
        <v>3</v>
      </c>
    </row>
    <row r="542" spans="1:11" hidden="1">
      <c r="A542" s="39" t="s">
        <v>788</v>
      </c>
      <c r="B542" s="46" t="s">
        <v>285</v>
      </c>
      <c r="C542" s="39" t="s">
        <v>767</v>
      </c>
      <c r="D542" s="142">
        <v>824856551</v>
      </c>
      <c r="E542" s="39" t="s">
        <v>256</v>
      </c>
      <c r="F542" s="81">
        <v>40438</v>
      </c>
      <c r="G542" s="105" t="str">
        <f t="shared" si="16"/>
        <v>Sep</v>
      </c>
      <c r="H542" s="51">
        <f t="shared" ca="1" si="17"/>
        <v>6</v>
      </c>
      <c r="I542" s="52" t="s">
        <v>267</v>
      </c>
      <c r="J542" s="53">
        <v>59150</v>
      </c>
      <c r="K542" s="54">
        <v>4</v>
      </c>
    </row>
    <row r="543" spans="1:11" hidden="1">
      <c r="A543" s="39" t="s">
        <v>845</v>
      </c>
      <c r="B543" s="46" t="s">
        <v>245</v>
      </c>
      <c r="C543" s="39" t="s">
        <v>767</v>
      </c>
      <c r="D543" s="142">
        <v>972427722</v>
      </c>
      <c r="E543" s="39" t="s">
        <v>247</v>
      </c>
      <c r="F543" s="81">
        <v>33167</v>
      </c>
      <c r="G543" s="105" t="str">
        <f t="shared" si="16"/>
        <v>Oct</v>
      </c>
      <c r="H543" s="51">
        <f t="shared" ca="1" si="17"/>
        <v>26</v>
      </c>
      <c r="I543" s="52"/>
      <c r="J543" s="53">
        <v>23020</v>
      </c>
      <c r="K543" s="54">
        <v>4</v>
      </c>
    </row>
    <row r="544" spans="1:11">
      <c r="A544" s="39" t="s">
        <v>823</v>
      </c>
      <c r="B544" s="46" t="s">
        <v>271</v>
      </c>
      <c r="C544" s="39" t="s">
        <v>767</v>
      </c>
      <c r="D544" s="142">
        <v>827107697</v>
      </c>
      <c r="E544" s="39" t="s">
        <v>247</v>
      </c>
      <c r="F544" s="81">
        <v>33515</v>
      </c>
      <c r="G544" s="105" t="str">
        <f t="shared" si="16"/>
        <v>Oct</v>
      </c>
      <c r="H544" s="51">
        <f t="shared" ca="1" si="17"/>
        <v>25</v>
      </c>
      <c r="I544" s="52"/>
      <c r="J544" s="53">
        <v>52750</v>
      </c>
      <c r="K544" s="54">
        <v>1</v>
      </c>
    </row>
    <row r="545" spans="1:16">
      <c r="A545" s="39" t="s">
        <v>808</v>
      </c>
      <c r="B545" s="46" t="s">
        <v>271</v>
      </c>
      <c r="C545" s="39" t="s">
        <v>767</v>
      </c>
      <c r="D545" s="142">
        <v>476689522</v>
      </c>
      <c r="E545" s="39" t="s">
        <v>256</v>
      </c>
      <c r="F545" s="81">
        <v>33526</v>
      </c>
      <c r="G545" s="105" t="str">
        <f t="shared" si="16"/>
        <v>Oct</v>
      </c>
      <c r="H545" s="51">
        <f t="shared" ca="1" si="17"/>
        <v>25</v>
      </c>
      <c r="I545" s="52" t="s">
        <v>267</v>
      </c>
      <c r="J545" s="53">
        <v>79400</v>
      </c>
      <c r="K545" s="54">
        <v>4</v>
      </c>
    </row>
    <row r="546" spans="1:16" hidden="1">
      <c r="A546" s="39" t="s">
        <v>813</v>
      </c>
      <c r="B546" s="46" t="s">
        <v>245</v>
      </c>
      <c r="C546" s="39" t="s">
        <v>767</v>
      </c>
      <c r="D546" s="142">
        <v>248979703</v>
      </c>
      <c r="E546" s="39" t="s">
        <v>256</v>
      </c>
      <c r="F546" s="81">
        <v>34989</v>
      </c>
      <c r="G546" s="105" t="str">
        <f t="shared" si="16"/>
        <v>Oct</v>
      </c>
      <c r="H546" s="51">
        <f t="shared" ca="1" si="17"/>
        <v>21</v>
      </c>
      <c r="I546" s="52" t="s">
        <v>257</v>
      </c>
      <c r="J546" s="53">
        <v>50570</v>
      </c>
      <c r="K546" s="54">
        <v>4</v>
      </c>
    </row>
    <row r="547" spans="1:16" hidden="1">
      <c r="A547" s="39" t="s">
        <v>784</v>
      </c>
      <c r="B547" s="46" t="s">
        <v>285</v>
      </c>
      <c r="C547" s="39" t="s">
        <v>767</v>
      </c>
      <c r="D547" s="142">
        <v>597173242</v>
      </c>
      <c r="E547" s="39" t="s">
        <v>261</v>
      </c>
      <c r="F547" s="81">
        <v>36084</v>
      </c>
      <c r="G547" s="105" t="str">
        <f t="shared" si="16"/>
        <v>Oct</v>
      </c>
      <c r="H547" s="51">
        <f t="shared" ca="1" si="17"/>
        <v>18</v>
      </c>
      <c r="I547" s="52" t="s">
        <v>262</v>
      </c>
      <c r="J547" s="53">
        <v>45750</v>
      </c>
      <c r="K547" s="54">
        <v>5</v>
      </c>
    </row>
    <row r="548" spans="1:16" hidden="1">
      <c r="A548" s="39" t="s">
        <v>776</v>
      </c>
      <c r="B548" s="46" t="s">
        <v>245</v>
      </c>
      <c r="C548" s="39" t="s">
        <v>767</v>
      </c>
      <c r="D548" s="142">
        <v>496230913</v>
      </c>
      <c r="E548" s="39" t="s">
        <v>247</v>
      </c>
      <c r="F548" s="81">
        <v>36086</v>
      </c>
      <c r="G548" s="105" t="str">
        <f t="shared" si="16"/>
        <v>Oct</v>
      </c>
      <c r="H548" s="51">
        <f t="shared" ca="1" si="17"/>
        <v>18</v>
      </c>
      <c r="I548" s="52"/>
      <c r="J548" s="53">
        <v>47520</v>
      </c>
      <c r="K548" s="54">
        <v>1</v>
      </c>
    </row>
    <row r="549" spans="1:16">
      <c r="A549" s="39" t="s">
        <v>826</v>
      </c>
      <c r="B549" s="46" t="s">
        <v>271</v>
      </c>
      <c r="C549" s="39" t="s">
        <v>767</v>
      </c>
      <c r="D549" s="142">
        <v>195855972</v>
      </c>
      <c r="E549" s="39" t="s">
        <v>256</v>
      </c>
      <c r="F549" s="81">
        <v>36088</v>
      </c>
      <c r="G549" s="105" t="str">
        <f t="shared" si="16"/>
        <v>Oct</v>
      </c>
      <c r="H549" s="51">
        <f t="shared" ca="1" si="17"/>
        <v>18</v>
      </c>
      <c r="I549" s="52" t="s">
        <v>267</v>
      </c>
      <c r="J549" s="53">
        <v>54580</v>
      </c>
      <c r="K549" s="54">
        <v>4</v>
      </c>
    </row>
    <row r="550" spans="1:16" hidden="1">
      <c r="A550" s="39" t="s">
        <v>836</v>
      </c>
      <c r="B550" s="46" t="s">
        <v>285</v>
      </c>
      <c r="C550" s="39" t="s">
        <v>767</v>
      </c>
      <c r="D550" s="142">
        <v>202630639</v>
      </c>
      <c r="E550" s="39" t="s">
        <v>256</v>
      </c>
      <c r="F550" s="81">
        <v>39362</v>
      </c>
      <c r="G550" s="105" t="str">
        <f t="shared" si="16"/>
        <v>Oct</v>
      </c>
      <c r="H550" s="51">
        <f t="shared" ca="1" si="17"/>
        <v>9</v>
      </c>
      <c r="I550" s="52" t="s">
        <v>262</v>
      </c>
      <c r="J550" s="53">
        <v>42020</v>
      </c>
      <c r="K550" s="54">
        <v>5</v>
      </c>
    </row>
    <row r="551" spans="1:16" hidden="1">
      <c r="A551" s="39" t="s">
        <v>841</v>
      </c>
      <c r="B551" s="46" t="s">
        <v>280</v>
      </c>
      <c r="C551" s="39" t="s">
        <v>767</v>
      </c>
      <c r="D551" s="142">
        <v>325115058</v>
      </c>
      <c r="E551" s="39" t="s">
        <v>261</v>
      </c>
      <c r="F551" s="81">
        <v>39728</v>
      </c>
      <c r="G551" s="105" t="str">
        <f t="shared" si="16"/>
        <v>Oct</v>
      </c>
      <c r="H551" s="51">
        <f t="shared" ca="1" si="17"/>
        <v>8</v>
      </c>
      <c r="I551" s="52" t="s">
        <v>257</v>
      </c>
      <c r="J551" s="53">
        <v>45565</v>
      </c>
      <c r="K551" s="54">
        <v>1</v>
      </c>
    </row>
    <row r="552" spans="1:16" hidden="1">
      <c r="A552" s="39" t="s">
        <v>769</v>
      </c>
      <c r="B552" s="46" t="s">
        <v>285</v>
      </c>
      <c r="C552" s="39" t="s">
        <v>767</v>
      </c>
      <c r="D552" s="142">
        <v>128474861</v>
      </c>
      <c r="E552" s="39" t="s">
        <v>256</v>
      </c>
      <c r="F552" s="81">
        <v>40477</v>
      </c>
      <c r="G552" s="105" t="str">
        <f t="shared" si="16"/>
        <v>Oct</v>
      </c>
      <c r="H552" s="51">
        <f t="shared" ca="1" si="17"/>
        <v>6</v>
      </c>
      <c r="I552" s="52" t="s">
        <v>267</v>
      </c>
      <c r="J552" s="53">
        <v>63206</v>
      </c>
      <c r="K552" s="54">
        <v>1</v>
      </c>
    </row>
    <row r="553" spans="1:16" hidden="1">
      <c r="A553" s="39" t="s">
        <v>810</v>
      </c>
      <c r="B553" s="46" t="s">
        <v>285</v>
      </c>
      <c r="C553" s="39" t="s">
        <v>767</v>
      </c>
      <c r="D553" s="142">
        <v>164418924</v>
      </c>
      <c r="E553" s="39" t="s">
        <v>247</v>
      </c>
      <c r="F553" s="81">
        <v>34658</v>
      </c>
      <c r="G553" s="105" t="str">
        <f t="shared" si="16"/>
        <v>Nov</v>
      </c>
      <c r="H553" s="51">
        <f t="shared" ca="1" si="17"/>
        <v>21</v>
      </c>
      <c r="I553" s="52"/>
      <c r="J553" s="53">
        <v>85980</v>
      </c>
      <c r="K553" s="54">
        <v>2</v>
      </c>
    </row>
    <row r="554" spans="1:16" hidden="1">
      <c r="A554" s="39" t="s">
        <v>817</v>
      </c>
      <c r="B554" s="46" t="s">
        <v>285</v>
      </c>
      <c r="C554" s="39" t="s">
        <v>767</v>
      </c>
      <c r="D554" s="142">
        <v>483246957</v>
      </c>
      <c r="E554" s="39" t="s">
        <v>256</v>
      </c>
      <c r="F554" s="81">
        <v>37568</v>
      </c>
      <c r="G554" s="105" t="str">
        <f t="shared" si="16"/>
        <v>Nov</v>
      </c>
      <c r="H554" s="51">
        <f t="shared" ca="1" si="17"/>
        <v>14</v>
      </c>
      <c r="I554" s="52" t="s">
        <v>262</v>
      </c>
      <c r="J554" s="53">
        <v>45100</v>
      </c>
      <c r="K554" s="54">
        <v>2</v>
      </c>
    </row>
    <row r="555" spans="1:16">
      <c r="A555" s="39" t="s">
        <v>830</v>
      </c>
      <c r="B555" s="46" t="s">
        <v>271</v>
      </c>
      <c r="C555" s="39" t="s">
        <v>767</v>
      </c>
      <c r="D555" s="142">
        <v>911878948</v>
      </c>
      <c r="E555" s="39" t="s">
        <v>256</v>
      </c>
      <c r="F555" s="81">
        <v>39047</v>
      </c>
      <c r="G555" s="105" t="str">
        <f t="shared" si="16"/>
        <v>Nov</v>
      </c>
      <c r="H555" s="51">
        <f t="shared" ca="1" si="17"/>
        <v>9</v>
      </c>
      <c r="I555" s="52" t="s">
        <v>283</v>
      </c>
      <c r="J555" s="53">
        <v>65880</v>
      </c>
      <c r="K555" s="54">
        <v>5</v>
      </c>
      <c r="O555" s="75"/>
      <c r="P555" s="75"/>
    </row>
    <row r="556" spans="1:16">
      <c r="A556" s="39" t="s">
        <v>816</v>
      </c>
      <c r="B556" s="46" t="s">
        <v>271</v>
      </c>
      <c r="C556" s="39" t="s">
        <v>767</v>
      </c>
      <c r="D556" s="142">
        <v>674985174</v>
      </c>
      <c r="E556" s="39" t="s">
        <v>256</v>
      </c>
      <c r="F556" s="81">
        <v>40137</v>
      </c>
      <c r="G556" s="105" t="str">
        <f t="shared" si="16"/>
        <v>Nov</v>
      </c>
      <c r="H556" s="51">
        <f t="shared" ca="1" si="17"/>
        <v>6</v>
      </c>
      <c r="I556" s="52" t="s">
        <v>257</v>
      </c>
      <c r="J556" s="53">
        <v>54190</v>
      </c>
      <c r="K556" s="54">
        <v>4</v>
      </c>
    </row>
    <row r="557" spans="1:16">
      <c r="A557" s="39" t="s">
        <v>801</v>
      </c>
      <c r="B557" s="46" t="s">
        <v>271</v>
      </c>
      <c r="C557" s="39" t="s">
        <v>767</v>
      </c>
      <c r="D557" s="142">
        <v>598630857</v>
      </c>
      <c r="E557" s="39" t="s">
        <v>247</v>
      </c>
      <c r="F557" s="81">
        <v>33234</v>
      </c>
      <c r="G557" s="105" t="str">
        <f t="shared" si="16"/>
        <v>Dec</v>
      </c>
      <c r="H557" s="51">
        <f t="shared" ca="1" si="17"/>
        <v>25</v>
      </c>
      <c r="I557" s="52"/>
      <c r="J557" s="53">
        <v>58650</v>
      </c>
      <c r="K557" s="54">
        <v>4</v>
      </c>
    </row>
    <row r="558" spans="1:16" hidden="1">
      <c r="A558" s="39" t="s">
        <v>854</v>
      </c>
      <c r="B558" s="46" t="s">
        <v>285</v>
      </c>
      <c r="C558" s="39" t="s">
        <v>767</v>
      </c>
      <c r="D558" s="142">
        <v>708625906</v>
      </c>
      <c r="E558" s="39" t="s">
        <v>256</v>
      </c>
      <c r="F558" s="81">
        <v>33573</v>
      </c>
      <c r="G558" s="105" t="str">
        <f t="shared" si="16"/>
        <v>Dec</v>
      </c>
      <c r="H558" s="51">
        <f t="shared" ca="1" si="17"/>
        <v>24</v>
      </c>
      <c r="I558" s="52" t="s">
        <v>276</v>
      </c>
      <c r="J558" s="53">
        <v>71680</v>
      </c>
      <c r="K558" s="54">
        <v>4</v>
      </c>
      <c r="O558" s="75"/>
      <c r="P558" s="75"/>
    </row>
    <row r="559" spans="1:16" hidden="1">
      <c r="A559" s="39" t="s">
        <v>794</v>
      </c>
      <c r="B559" s="46" t="s">
        <v>245</v>
      </c>
      <c r="C559" s="39" t="s">
        <v>767</v>
      </c>
      <c r="D559" s="142">
        <v>668966618</v>
      </c>
      <c r="E559" s="39" t="s">
        <v>247</v>
      </c>
      <c r="F559" s="81">
        <v>33578</v>
      </c>
      <c r="G559" s="105" t="str">
        <f t="shared" si="16"/>
        <v>Dec</v>
      </c>
      <c r="H559" s="51">
        <f t="shared" ca="1" si="17"/>
        <v>24</v>
      </c>
      <c r="I559" s="52"/>
      <c r="J559" s="53">
        <v>50840</v>
      </c>
      <c r="K559" s="54">
        <v>4</v>
      </c>
    </row>
    <row r="560" spans="1:16">
      <c r="A560" s="39" t="s">
        <v>839</v>
      </c>
      <c r="B560" s="46" t="s">
        <v>271</v>
      </c>
      <c r="C560" s="39" t="s">
        <v>767</v>
      </c>
      <c r="D560" s="142">
        <v>135353214</v>
      </c>
      <c r="E560" s="39" t="s">
        <v>247</v>
      </c>
      <c r="F560" s="81">
        <v>33949</v>
      </c>
      <c r="G560" s="105" t="str">
        <f t="shared" si="16"/>
        <v>Dec</v>
      </c>
      <c r="H560" s="51">
        <f t="shared" ca="1" si="17"/>
        <v>23</v>
      </c>
      <c r="I560" s="52"/>
      <c r="J560" s="53">
        <v>44720</v>
      </c>
      <c r="K560" s="54">
        <v>2</v>
      </c>
      <c r="O560" s="75"/>
      <c r="P560" s="75"/>
    </row>
    <row r="561" spans="1:16" hidden="1">
      <c r="A561" s="39" t="s">
        <v>844</v>
      </c>
      <c r="B561" s="46" t="s">
        <v>280</v>
      </c>
      <c r="C561" s="39" t="s">
        <v>767</v>
      </c>
      <c r="D561" s="142">
        <v>402835335</v>
      </c>
      <c r="E561" s="39" t="s">
        <v>256</v>
      </c>
      <c r="F561" s="81">
        <v>34693</v>
      </c>
      <c r="G561" s="105" t="str">
        <f t="shared" si="16"/>
        <v>Dec</v>
      </c>
      <c r="H561" s="51">
        <f t="shared" ca="1" si="17"/>
        <v>21</v>
      </c>
      <c r="I561" s="52" t="s">
        <v>262</v>
      </c>
      <c r="J561" s="53">
        <v>88820</v>
      </c>
      <c r="K561" s="54">
        <v>2</v>
      </c>
    </row>
    <row r="562" spans="1:16" hidden="1">
      <c r="A562" s="39" t="s">
        <v>789</v>
      </c>
      <c r="B562" s="46" t="s">
        <v>251</v>
      </c>
      <c r="C562" s="39" t="s">
        <v>767</v>
      </c>
      <c r="D562" s="142">
        <v>474263211</v>
      </c>
      <c r="E562" s="39" t="s">
        <v>256</v>
      </c>
      <c r="F562" s="81">
        <v>36136</v>
      </c>
      <c r="G562" s="105" t="str">
        <f t="shared" si="16"/>
        <v>Dec</v>
      </c>
      <c r="H562" s="51">
        <f t="shared" ca="1" si="17"/>
        <v>17</v>
      </c>
      <c r="I562" s="52" t="s">
        <v>283</v>
      </c>
      <c r="J562" s="53">
        <v>45000</v>
      </c>
      <c r="K562" s="54">
        <v>4</v>
      </c>
    </row>
    <row r="563" spans="1:16">
      <c r="A563" s="39" t="s">
        <v>787</v>
      </c>
      <c r="B563" s="46" t="s">
        <v>271</v>
      </c>
      <c r="C563" s="39" t="s">
        <v>767</v>
      </c>
      <c r="D563" s="142">
        <v>754757751</v>
      </c>
      <c r="E563" s="39" t="s">
        <v>261</v>
      </c>
      <c r="F563" s="81">
        <v>37249</v>
      </c>
      <c r="G563" s="105" t="str">
        <f t="shared" si="16"/>
        <v>Dec</v>
      </c>
      <c r="H563" s="51">
        <f t="shared" ca="1" si="17"/>
        <v>14</v>
      </c>
      <c r="I563" s="52" t="s">
        <v>276</v>
      </c>
      <c r="J563" s="53">
        <v>12545</v>
      </c>
      <c r="K563" s="54">
        <v>4</v>
      </c>
    </row>
    <row r="564" spans="1:16" hidden="1">
      <c r="A564" s="39" t="s">
        <v>849</v>
      </c>
      <c r="B564" s="46" t="s">
        <v>285</v>
      </c>
      <c r="C564" s="39" t="s">
        <v>767</v>
      </c>
      <c r="D564" s="142">
        <v>696848704</v>
      </c>
      <c r="E564" s="39" t="s">
        <v>256</v>
      </c>
      <c r="F564" s="81">
        <v>39446</v>
      </c>
      <c r="G564" s="105" t="str">
        <f t="shared" si="16"/>
        <v>Dec</v>
      </c>
      <c r="H564" s="51">
        <f t="shared" ca="1" si="17"/>
        <v>8</v>
      </c>
      <c r="I564" s="52" t="s">
        <v>257</v>
      </c>
      <c r="J564" s="53">
        <v>44650</v>
      </c>
      <c r="K564" s="54">
        <v>1</v>
      </c>
    </row>
    <row r="565" spans="1:16">
      <c r="A565" s="39" t="s">
        <v>778</v>
      </c>
      <c r="B565" s="46" t="s">
        <v>271</v>
      </c>
      <c r="C565" s="39" t="s">
        <v>767</v>
      </c>
      <c r="D565" s="142">
        <v>345234895</v>
      </c>
      <c r="E565" s="39" t="s">
        <v>261</v>
      </c>
      <c r="F565" s="81">
        <v>40166</v>
      </c>
      <c r="G565" s="105" t="str">
        <f t="shared" si="16"/>
        <v>Dec</v>
      </c>
      <c r="H565" s="51">
        <f t="shared" ca="1" si="17"/>
        <v>6</v>
      </c>
      <c r="I565" s="52" t="s">
        <v>276</v>
      </c>
      <c r="J565" s="53">
        <v>25245</v>
      </c>
      <c r="K565" s="54">
        <v>5</v>
      </c>
    </row>
    <row r="566" spans="1:16" hidden="1">
      <c r="A566" s="39" t="s">
        <v>894</v>
      </c>
      <c r="B566" s="46" t="s">
        <v>245</v>
      </c>
      <c r="C566" s="39" t="s">
        <v>856</v>
      </c>
      <c r="D566" s="142">
        <v>570988988</v>
      </c>
      <c r="E566" s="39" t="s">
        <v>252</v>
      </c>
      <c r="F566" s="81">
        <v>33256</v>
      </c>
      <c r="G566" s="105" t="str">
        <f t="shared" si="16"/>
        <v>Jan</v>
      </c>
      <c r="H566" s="51">
        <f t="shared" ca="1" si="17"/>
        <v>25</v>
      </c>
      <c r="I566" s="52"/>
      <c r="J566" s="53">
        <v>30468</v>
      </c>
      <c r="K566" s="54">
        <v>2</v>
      </c>
    </row>
    <row r="567" spans="1:16" hidden="1">
      <c r="A567" s="39" t="s">
        <v>858</v>
      </c>
      <c r="B567" s="46" t="s">
        <v>285</v>
      </c>
      <c r="C567" s="39" t="s">
        <v>856</v>
      </c>
      <c r="D567" s="142">
        <v>386357839</v>
      </c>
      <c r="E567" s="39" t="s">
        <v>256</v>
      </c>
      <c r="F567" s="81">
        <v>33269</v>
      </c>
      <c r="G567" s="105" t="str">
        <f t="shared" si="16"/>
        <v>Jan</v>
      </c>
      <c r="H567" s="51">
        <f t="shared" ca="1" si="17"/>
        <v>25</v>
      </c>
      <c r="I567" s="52" t="s">
        <v>283</v>
      </c>
      <c r="J567" s="53">
        <v>24840</v>
      </c>
      <c r="K567" s="54">
        <v>1</v>
      </c>
    </row>
    <row r="568" spans="1:16" hidden="1">
      <c r="A568" s="39" t="s">
        <v>878</v>
      </c>
      <c r="B568" s="46" t="s">
        <v>285</v>
      </c>
      <c r="C568" s="39" t="s">
        <v>856</v>
      </c>
      <c r="D568" s="142">
        <v>919799753</v>
      </c>
      <c r="E568" s="39" t="s">
        <v>256</v>
      </c>
      <c r="F568" s="81">
        <v>33604</v>
      </c>
      <c r="G568" s="105" t="str">
        <f t="shared" si="16"/>
        <v>Jan</v>
      </c>
      <c r="H568" s="51">
        <f t="shared" ca="1" si="17"/>
        <v>24</v>
      </c>
      <c r="I568" s="52" t="s">
        <v>257</v>
      </c>
      <c r="J568" s="53">
        <v>54830</v>
      </c>
      <c r="K568" s="54">
        <v>1</v>
      </c>
    </row>
    <row r="569" spans="1:16">
      <c r="A569" s="39" t="s">
        <v>879</v>
      </c>
      <c r="B569" s="46" t="s">
        <v>271</v>
      </c>
      <c r="C569" s="39" t="s">
        <v>856</v>
      </c>
      <c r="D569" s="142">
        <v>816554850</v>
      </c>
      <c r="E569" s="39" t="s">
        <v>252</v>
      </c>
      <c r="F569" s="81">
        <v>34345</v>
      </c>
      <c r="G569" s="105" t="str">
        <f t="shared" si="16"/>
        <v>Jan</v>
      </c>
      <c r="H569" s="51">
        <f t="shared" ca="1" si="17"/>
        <v>22</v>
      </c>
      <c r="I569" s="52"/>
      <c r="J569" s="53">
        <v>36788</v>
      </c>
      <c r="K569" s="54">
        <v>4</v>
      </c>
    </row>
    <row r="570" spans="1:16" hidden="1">
      <c r="A570" s="39" t="s">
        <v>912</v>
      </c>
      <c r="B570" s="46" t="s">
        <v>245</v>
      </c>
      <c r="C570" s="39" t="s">
        <v>856</v>
      </c>
      <c r="D570" s="142">
        <v>431314172</v>
      </c>
      <c r="E570" s="39" t="s">
        <v>256</v>
      </c>
      <c r="F570" s="81">
        <v>35451</v>
      </c>
      <c r="G570" s="105" t="str">
        <f t="shared" si="16"/>
        <v>Jan</v>
      </c>
      <c r="H570" s="51">
        <f t="shared" ca="1" si="17"/>
        <v>19</v>
      </c>
      <c r="I570" s="52" t="s">
        <v>276</v>
      </c>
      <c r="J570" s="53">
        <v>62965</v>
      </c>
      <c r="K570" s="54">
        <v>1</v>
      </c>
    </row>
    <row r="571" spans="1:16">
      <c r="A571" s="39" t="s">
        <v>927</v>
      </c>
      <c r="B571" s="46" t="s">
        <v>271</v>
      </c>
      <c r="C571" s="39" t="s">
        <v>856</v>
      </c>
      <c r="D571" s="142">
        <v>843883903</v>
      </c>
      <c r="E571" s="39" t="s">
        <v>247</v>
      </c>
      <c r="F571" s="81">
        <v>35806</v>
      </c>
      <c r="G571" s="105" t="str">
        <f t="shared" si="16"/>
        <v>Jan</v>
      </c>
      <c r="H571" s="51">
        <f t="shared" ca="1" si="17"/>
        <v>18</v>
      </c>
      <c r="I571" s="52"/>
      <c r="J571" s="53">
        <v>86100</v>
      </c>
      <c r="K571" s="54">
        <v>4</v>
      </c>
      <c r="O571" s="75"/>
      <c r="P571" s="75"/>
    </row>
    <row r="572" spans="1:16" hidden="1">
      <c r="A572" s="39" t="s">
        <v>855</v>
      </c>
      <c r="B572" s="46" t="s">
        <v>285</v>
      </c>
      <c r="C572" s="39" t="s">
        <v>856</v>
      </c>
      <c r="D572" s="142">
        <v>372523421</v>
      </c>
      <c r="E572" s="39" t="s">
        <v>256</v>
      </c>
      <c r="F572" s="81">
        <v>36526</v>
      </c>
      <c r="G572" s="105" t="str">
        <f t="shared" si="16"/>
        <v>Jan</v>
      </c>
      <c r="H572" s="51">
        <f t="shared" ca="1" si="17"/>
        <v>16</v>
      </c>
      <c r="I572" s="52" t="s">
        <v>257</v>
      </c>
      <c r="J572" s="53">
        <v>29260</v>
      </c>
      <c r="K572" s="54">
        <v>4</v>
      </c>
    </row>
    <row r="573" spans="1:16">
      <c r="A573" s="39" t="s">
        <v>895</v>
      </c>
      <c r="B573" s="46" t="s">
        <v>271</v>
      </c>
      <c r="C573" s="39" t="s">
        <v>856</v>
      </c>
      <c r="D573" s="142">
        <v>373432482</v>
      </c>
      <c r="E573" s="39" t="s">
        <v>261</v>
      </c>
      <c r="F573" s="81">
        <v>36531</v>
      </c>
      <c r="G573" s="105" t="str">
        <f t="shared" si="16"/>
        <v>Jan</v>
      </c>
      <c r="H573" s="51">
        <f t="shared" ca="1" si="17"/>
        <v>16</v>
      </c>
      <c r="I573" s="52" t="s">
        <v>267</v>
      </c>
      <c r="J573" s="53">
        <v>20990</v>
      </c>
      <c r="K573" s="54">
        <v>4</v>
      </c>
    </row>
    <row r="574" spans="1:16" hidden="1">
      <c r="A574" s="39" t="s">
        <v>864</v>
      </c>
      <c r="B574" s="46" t="s">
        <v>266</v>
      </c>
      <c r="C574" s="39" t="s">
        <v>856</v>
      </c>
      <c r="D574" s="142">
        <v>219299557</v>
      </c>
      <c r="E574" s="39" t="s">
        <v>256</v>
      </c>
      <c r="F574" s="81">
        <v>37625</v>
      </c>
      <c r="G574" s="105" t="str">
        <f t="shared" si="16"/>
        <v>Jan</v>
      </c>
      <c r="H574" s="51">
        <f t="shared" ca="1" si="17"/>
        <v>13</v>
      </c>
      <c r="I574" s="52" t="s">
        <v>283</v>
      </c>
      <c r="J574" s="53">
        <v>82490</v>
      </c>
      <c r="K574" s="54">
        <v>5</v>
      </c>
    </row>
    <row r="575" spans="1:16" hidden="1">
      <c r="A575" s="39" t="s">
        <v>893</v>
      </c>
      <c r="B575" s="46" t="s">
        <v>280</v>
      </c>
      <c r="C575" s="39" t="s">
        <v>856</v>
      </c>
      <c r="D575" s="142">
        <v>859324834</v>
      </c>
      <c r="E575" s="39" t="s">
        <v>256</v>
      </c>
      <c r="F575" s="81">
        <v>38353</v>
      </c>
      <c r="G575" s="105" t="str">
        <f t="shared" si="16"/>
        <v>Jan</v>
      </c>
      <c r="H575" s="51">
        <f t="shared" ca="1" si="17"/>
        <v>11</v>
      </c>
      <c r="I575" s="52" t="s">
        <v>283</v>
      </c>
      <c r="J575" s="53">
        <v>83710</v>
      </c>
      <c r="K575" s="54">
        <v>3</v>
      </c>
    </row>
    <row r="576" spans="1:16" hidden="1">
      <c r="A576" s="39" t="s">
        <v>905</v>
      </c>
      <c r="B576" s="46" t="s">
        <v>245</v>
      </c>
      <c r="C576" s="39" t="s">
        <v>856</v>
      </c>
      <c r="D576" s="142">
        <v>735196274</v>
      </c>
      <c r="E576" s="39" t="s">
        <v>256</v>
      </c>
      <c r="F576" s="81">
        <v>39815</v>
      </c>
      <c r="G576" s="105" t="str">
        <f t="shared" si="16"/>
        <v>Jan</v>
      </c>
      <c r="H576" s="51">
        <f t="shared" ca="1" si="17"/>
        <v>7</v>
      </c>
      <c r="I576" s="52" t="s">
        <v>283</v>
      </c>
      <c r="J576" s="53">
        <v>72060</v>
      </c>
      <c r="K576" s="54">
        <v>2</v>
      </c>
    </row>
    <row r="577" spans="1:11" hidden="1">
      <c r="A577" s="39" t="s">
        <v>860</v>
      </c>
      <c r="B577" s="46" t="s">
        <v>251</v>
      </c>
      <c r="C577" s="39" t="s">
        <v>856</v>
      </c>
      <c r="D577" s="142">
        <v>649328697</v>
      </c>
      <c r="E577" s="39" t="s">
        <v>247</v>
      </c>
      <c r="F577" s="81">
        <v>33282</v>
      </c>
      <c r="G577" s="105" t="str">
        <f t="shared" si="16"/>
        <v>Feb</v>
      </c>
      <c r="H577" s="51">
        <f t="shared" ca="1" si="17"/>
        <v>25</v>
      </c>
      <c r="I577" s="52"/>
      <c r="J577" s="53">
        <v>89450</v>
      </c>
      <c r="K577" s="54">
        <v>2</v>
      </c>
    </row>
    <row r="578" spans="1:11" hidden="1">
      <c r="A578" s="39" t="s">
        <v>919</v>
      </c>
      <c r="B578" s="46" t="s">
        <v>245</v>
      </c>
      <c r="C578" s="39" t="s">
        <v>856</v>
      </c>
      <c r="D578" s="142">
        <v>280115764</v>
      </c>
      <c r="E578" s="39" t="s">
        <v>256</v>
      </c>
      <c r="F578" s="81">
        <v>34010</v>
      </c>
      <c r="G578" s="105" t="str">
        <f t="shared" ref="G578:G641" si="18">CHOOSE(MONTH(F578),"Jan","Feb","Mar","Apr","May","Jun","Jul","Aug","Sep","Oct","Nov","Dec")</f>
        <v>Feb</v>
      </c>
      <c r="H578" s="51">
        <f t="shared" ref="H578:H641" ca="1" si="19">DATEDIF(F578,TODAY(),"Y")</f>
        <v>23</v>
      </c>
      <c r="I578" s="52" t="s">
        <v>257</v>
      </c>
      <c r="J578" s="53">
        <v>54270</v>
      </c>
      <c r="K578" s="54">
        <v>3</v>
      </c>
    </row>
    <row r="579" spans="1:11" hidden="1">
      <c r="A579" s="39" t="s">
        <v>869</v>
      </c>
      <c r="B579" s="46" t="s">
        <v>251</v>
      </c>
      <c r="C579" s="39" t="s">
        <v>856</v>
      </c>
      <c r="D579" s="142">
        <v>797016597</v>
      </c>
      <c r="E579" s="39" t="s">
        <v>256</v>
      </c>
      <c r="F579" s="81">
        <v>34021</v>
      </c>
      <c r="G579" s="105" t="str">
        <f t="shared" si="18"/>
        <v>Feb</v>
      </c>
      <c r="H579" s="51">
        <f t="shared" ca="1" si="19"/>
        <v>23</v>
      </c>
      <c r="I579" s="52" t="s">
        <v>283</v>
      </c>
      <c r="J579" s="53">
        <v>45110</v>
      </c>
      <c r="K579" s="54">
        <v>2</v>
      </c>
    </row>
    <row r="580" spans="1:11">
      <c r="A580" s="39" t="s">
        <v>898</v>
      </c>
      <c r="B580" s="46" t="s">
        <v>271</v>
      </c>
      <c r="C580" s="39" t="s">
        <v>856</v>
      </c>
      <c r="D580" s="142">
        <v>340085253</v>
      </c>
      <c r="E580" s="39" t="s">
        <v>256</v>
      </c>
      <c r="F580" s="81">
        <v>34028</v>
      </c>
      <c r="G580" s="105" t="str">
        <f t="shared" si="18"/>
        <v>Feb</v>
      </c>
      <c r="H580" s="51">
        <f t="shared" ca="1" si="19"/>
        <v>23</v>
      </c>
      <c r="I580" s="52" t="s">
        <v>283</v>
      </c>
      <c r="J580" s="53">
        <v>66824</v>
      </c>
      <c r="K580" s="54">
        <v>2</v>
      </c>
    </row>
    <row r="581" spans="1:11">
      <c r="A581" s="39" t="s">
        <v>857</v>
      </c>
      <c r="B581" s="46" t="s">
        <v>271</v>
      </c>
      <c r="C581" s="39" t="s">
        <v>856</v>
      </c>
      <c r="D581" s="142">
        <v>466589090</v>
      </c>
      <c r="E581" s="39" t="s">
        <v>256</v>
      </c>
      <c r="F581" s="81">
        <v>34754</v>
      </c>
      <c r="G581" s="105" t="str">
        <f t="shared" si="18"/>
        <v>Feb</v>
      </c>
      <c r="H581" s="51">
        <f t="shared" ca="1" si="19"/>
        <v>21</v>
      </c>
      <c r="I581" s="52" t="s">
        <v>257</v>
      </c>
      <c r="J581" s="53">
        <v>39000</v>
      </c>
      <c r="K581" s="54">
        <v>5</v>
      </c>
    </row>
    <row r="582" spans="1:11" hidden="1">
      <c r="A582" s="39" t="s">
        <v>911</v>
      </c>
      <c r="B582" s="46" t="s">
        <v>280</v>
      </c>
      <c r="C582" s="39" t="s">
        <v>856</v>
      </c>
      <c r="D582" s="142">
        <v>338708343</v>
      </c>
      <c r="E582" s="39" t="s">
        <v>261</v>
      </c>
      <c r="F582" s="81">
        <v>35842</v>
      </c>
      <c r="G582" s="105" t="str">
        <f t="shared" si="18"/>
        <v>Feb</v>
      </c>
      <c r="H582" s="51">
        <f t="shared" ca="1" si="19"/>
        <v>18</v>
      </c>
      <c r="I582" s="52" t="s">
        <v>267</v>
      </c>
      <c r="J582" s="53">
        <v>39530</v>
      </c>
      <c r="K582" s="54">
        <v>5</v>
      </c>
    </row>
    <row r="583" spans="1:11">
      <c r="A583" s="39" t="s">
        <v>901</v>
      </c>
      <c r="B583" s="46" t="s">
        <v>271</v>
      </c>
      <c r="C583" s="39" t="s">
        <v>856</v>
      </c>
      <c r="D583" s="142">
        <v>466253648</v>
      </c>
      <c r="E583" s="39" t="s">
        <v>261</v>
      </c>
      <c r="F583" s="81">
        <v>36196</v>
      </c>
      <c r="G583" s="105" t="str">
        <f t="shared" si="18"/>
        <v>Feb</v>
      </c>
      <c r="H583" s="51">
        <f t="shared" ca="1" si="19"/>
        <v>17</v>
      </c>
      <c r="I583" s="52" t="s">
        <v>257</v>
      </c>
      <c r="J583" s="53">
        <v>34980</v>
      </c>
      <c r="K583" s="54">
        <v>2</v>
      </c>
    </row>
    <row r="584" spans="1:11" hidden="1">
      <c r="A584" s="39" t="s">
        <v>888</v>
      </c>
      <c r="B584" s="46" t="s">
        <v>285</v>
      </c>
      <c r="C584" s="39" t="s">
        <v>856</v>
      </c>
      <c r="D584" s="142">
        <v>946178165</v>
      </c>
      <c r="E584" s="39" t="s">
        <v>247</v>
      </c>
      <c r="F584" s="81">
        <v>36214</v>
      </c>
      <c r="G584" s="105" t="str">
        <f t="shared" si="18"/>
        <v>Feb</v>
      </c>
      <c r="H584" s="51">
        <f t="shared" ca="1" si="19"/>
        <v>17</v>
      </c>
      <c r="I584" s="52"/>
      <c r="J584" s="53">
        <v>53310</v>
      </c>
      <c r="K584" s="54">
        <v>5</v>
      </c>
    </row>
    <row r="585" spans="1:11" hidden="1">
      <c r="A585" s="39" t="s">
        <v>868</v>
      </c>
      <c r="B585" s="46" t="s">
        <v>266</v>
      </c>
      <c r="C585" s="39" t="s">
        <v>856</v>
      </c>
      <c r="D585" s="142">
        <v>312021243</v>
      </c>
      <c r="E585" s="39" t="s">
        <v>252</v>
      </c>
      <c r="F585" s="81">
        <v>36557</v>
      </c>
      <c r="G585" s="105" t="str">
        <f t="shared" si="18"/>
        <v>Feb</v>
      </c>
      <c r="H585" s="51">
        <f t="shared" ca="1" si="19"/>
        <v>16</v>
      </c>
      <c r="I585" s="52"/>
      <c r="J585" s="53">
        <v>15552</v>
      </c>
      <c r="K585" s="54">
        <v>4</v>
      </c>
    </row>
    <row r="586" spans="1:11" hidden="1">
      <c r="A586" s="39" t="s">
        <v>918</v>
      </c>
      <c r="B586" s="46" t="s">
        <v>251</v>
      </c>
      <c r="C586" s="39" t="s">
        <v>856</v>
      </c>
      <c r="D586" s="142">
        <v>793373269</v>
      </c>
      <c r="E586" s="39" t="s">
        <v>247</v>
      </c>
      <c r="F586" s="81">
        <v>38027</v>
      </c>
      <c r="G586" s="105" t="str">
        <f t="shared" si="18"/>
        <v>Feb</v>
      </c>
      <c r="H586" s="51">
        <f t="shared" ca="1" si="19"/>
        <v>12</v>
      </c>
      <c r="I586" s="52"/>
      <c r="J586" s="53">
        <v>64590</v>
      </c>
      <c r="K586" s="54">
        <v>1</v>
      </c>
    </row>
    <row r="587" spans="1:11" hidden="1">
      <c r="A587" s="39" t="s">
        <v>883</v>
      </c>
      <c r="B587" s="46" t="s">
        <v>285</v>
      </c>
      <c r="C587" s="39" t="s">
        <v>856</v>
      </c>
      <c r="D587" s="142">
        <v>654296101</v>
      </c>
      <c r="E587" s="39" t="s">
        <v>256</v>
      </c>
      <c r="F587" s="81">
        <v>40581</v>
      </c>
      <c r="G587" s="105" t="str">
        <f t="shared" si="18"/>
        <v>Feb</v>
      </c>
      <c r="H587" s="51">
        <f t="shared" ca="1" si="19"/>
        <v>5</v>
      </c>
      <c r="I587" s="52" t="s">
        <v>267</v>
      </c>
      <c r="J587" s="53">
        <v>80260</v>
      </c>
      <c r="K587" s="54">
        <v>3</v>
      </c>
    </row>
    <row r="588" spans="1:11" hidden="1">
      <c r="A588" s="39" t="s">
        <v>876</v>
      </c>
      <c r="B588" s="46" t="s">
        <v>285</v>
      </c>
      <c r="C588" s="39" t="s">
        <v>856</v>
      </c>
      <c r="D588" s="142">
        <v>183936013</v>
      </c>
      <c r="E588" s="39" t="s">
        <v>256</v>
      </c>
      <c r="F588" s="81">
        <v>33685</v>
      </c>
      <c r="G588" s="105" t="str">
        <f t="shared" si="18"/>
        <v>Mar</v>
      </c>
      <c r="H588" s="51">
        <f t="shared" ca="1" si="19"/>
        <v>24</v>
      </c>
      <c r="I588" s="52" t="s">
        <v>257</v>
      </c>
      <c r="J588" s="53">
        <v>65571</v>
      </c>
      <c r="K588" s="54">
        <v>3</v>
      </c>
    </row>
    <row r="589" spans="1:11" hidden="1">
      <c r="A589" s="39" t="s">
        <v>865</v>
      </c>
      <c r="B589" s="46" t="s">
        <v>285</v>
      </c>
      <c r="C589" s="39" t="s">
        <v>856</v>
      </c>
      <c r="D589" s="142">
        <v>452768809</v>
      </c>
      <c r="E589" s="39" t="s">
        <v>256</v>
      </c>
      <c r="F589" s="81">
        <v>35497</v>
      </c>
      <c r="G589" s="105" t="str">
        <f t="shared" si="18"/>
        <v>Mar</v>
      </c>
      <c r="H589" s="51">
        <f t="shared" ca="1" si="19"/>
        <v>19</v>
      </c>
      <c r="I589" s="52" t="s">
        <v>257</v>
      </c>
      <c r="J589" s="53">
        <v>78710</v>
      </c>
      <c r="K589" s="54">
        <v>4</v>
      </c>
    </row>
    <row r="590" spans="1:11">
      <c r="A590" s="39" t="s">
        <v>863</v>
      </c>
      <c r="B590" s="46" t="s">
        <v>271</v>
      </c>
      <c r="C590" s="39" t="s">
        <v>856</v>
      </c>
      <c r="D590" s="142">
        <v>463668739</v>
      </c>
      <c r="E590" s="39" t="s">
        <v>252</v>
      </c>
      <c r="F590" s="81">
        <v>35861</v>
      </c>
      <c r="G590" s="105" t="str">
        <f t="shared" si="18"/>
        <v>Mar</v>
      </c>
      <c r="H590" s="51">
        <f t="shared" ca="1" si="19"/>
        <v>18</v>
      </c>
      <c r="I590" s="52"/>
      <c r="J590" s="53">
        <v>12836</v>
      </c>
      <c r="K590" s="54">
        <v>5</v>
      </c>
    </row>
    <row r="591" spans="1:11" hidden="1">
      <c r="A591" s="39" t="s">
        <v>921</v>
      </c>
      <c r="B591" s="46" t="s">
        <v>245</v>
      </c>
      <c r="C591" s="39" t="s">
        <v>856</v>
      </c>
      <c r="D591" s="142">
        <v>874789888</v>
      </c>
      <c r="E591" s="39" t="s">
        <v>252</v>
      </c>
      <c r="F591" s="81">
        <v>35869</v>
      </c>
      <c r="G591" s="105" t="str">
        <f t="shared" si="18"/>
        <v>Mar</v>
      </c>
      <c r="H591" s="51">
        <f t="shared" ca="1" si="19"/>
        <v>18</v>
      </c>
      <c r="I591" s="52"/>
      <c r="J591" s="53">
        <v>17912</v>
      </c>
      <c r="K591" s="54">
        <v>5</v>
      </c>
    </row>
    <row r="592" spans="1:11" hidden="1">
      <c r="A592" s="39" t="s">
        <v>917</v>
      </c>
      <c r="B592" s="46" t="s">
        <v>285</v>
      </c>
      <c r="C592" s="39" t="s">
        <v>856</v>
      </c>
      <c r="D592" s="142">
        <v>534438045</v>
      </c>
      <c r="E592" s="39" t="s">
        <v>256</v>
      </c>
      <c r="F592" s="81">
        <v>36245</v>
      </c>
      <c r="G592" s="105" t="str">
        <f t="shared" si="18"/>
        <v>Mar</v>
      </c>
      <c r="H592" s="51">
        <f t="shared" ca="1" si="19"/>
        <v>17</v>
      </c>
      <c r="I592" s="52" t="s">
        <v>257</v>
      </c>
      <c r="J592" s="53">
        <v>58410</v>
      </c>
      <c r="K592" s="54">
        <v>5</v>
      </c>
    </row>
    <row r="593" spans="1:11" hidden="1">
      <c r="A593" s="39" t="s">
        <v>870</v>
      </c>
      <c r="B593" s="46" t="s">
        <v>285</v>
      </c>
      <c r="C593" s="39" t="s">
        <v>856</v>
      </c>
      <c r="D593" s="142">
        <v>328161272</v>
      </c>
      <c r="E593" s="39" t="s">
        <v>247</v>
      </c>
      <c r="F593" s="81">
        <v>38793</v>
      </c>
      <c r="G593" s="105" t="str">
        <f t="shared" si="18"/>
        <v>Mar</v>
      </c>
      <c r="H593" s="51">
        <f t="shared" ca="1" si="19"/>
        <v>10</v>
      </c>
      <c r="I593" s="52"/>
      <c r="J593" s="53">
        <v>85930</v>
      </c>
      <c r="K593" s="54">
        <v>2</v>
      </c>
    </row>
    <row r="594" spans="1:11" hidden="1">
      <c r="A594" s="39" t="s">
        <v>922</v>
      </c>
      <c r="B594" s="46" t="s">
        <v>245</v>
      </c>
      <c r="C594" s="39" t="s">
        <v>856</v>
      </c>
      <c r="D594" s="142">
        <v>263877585</v>
      </c>
      <c r="E594" s="39" t="s">
        <v>256</v>
      </c>
      <c r="F594" s="81">
        <v>39153</v>
      </c>
      <c r="G594" s="105" t="str">
        <f t="shared" si="18"/>
        <v>Mar</v>
      </c>
      <c r="H594" s="51">
        <f t="shared" ca="1" si="19"/>
        <v>9</v>
      </c>
      <c r="I594" s="52" t="s">
        <v>283</v>
      </c>
      <c r="J594" s="53">
        <v>43600</v>
      </c>
      <c r="K594" s="54">
        <v>5</v>
      </c>
    </row>
    <row r="595" spans="1:11" hidden="1">
      <c r="A595" s="39" t="s">
        <v>909</v>
      </c>
      <c r="B595" s="46" t="s">
        <v>285</v>
      </c>
      <c r="C595" s="39" t="s">
        <v>856</v>
      </c>
      <c r="D595" s="142">
        <v>499984037</v>
      </c>
      <c r="E595" s="39" t="s">
        <v>256</v>
      </c>
      <c r="F595" s="81">
        <v>33711</v>
      </c>
      <c r="G595" s="105" t="str">
        <f t="shared" si="18"/>
        <v>Apr</v>
      </c>
      <c r="H595" s="51">
        <f t="shared" ca="1" si="19"/>
        <v>24</v>
      </c>
      <c r="I595" s="52" t="s">
        <v>257</v>
      </c>
      <c r="J595" s="53">
        <v>68470</v>
      </c>
      <c r="K595" s="54">
        <v>4</v>
      </c>
    </row>
    <row r="596" spans="1:11" hidden="1">
      <c r="A596" s="39" t="s">
        <v>916</v>
      </c>
      <c r="B596" s="46" t="s">
        <v>285</v>
      </c>
      <c r="C596" s="39" t="s">
        <v>856</v>
      </c>
      <c r="D596" s="142">
        <v>878579075</v>
      </c>
      <c r="E596" s="39" t="s">
        <v>256</v>
      </c>
      <c r="F596" s="81">
        <v>34800</v>
      </c>
      <c r="G596" s="105" t="str">
        <f t="shared" si="18"/>
        <v>Apr</v>
      </c>
      <c r="H596" s="51">
        <f t="shared" ca="1" si="19"/>
        <v>21</v>
      </c>
      <c r="I596" s="52" t="s">
        <v>262</v>
      </c>
      <c r="J596" s="53">
        <v>82700</v>
      </c>
      <c r="K596" s="54">
        <v>3</v>
      </c>
    </row>
    <row r="597" spans="1:11" hidden="1">
      <c r="A597" s="39" t="s">
        <v>886</v>
      </c>
      <c r="B597" s="46" t="s">
        <v>285</v>
      </c>
      <c r="C597" s="39" t="s">
        <v>856</v>
      </c>
      <c r="D597" s="142">
        <v>170403932</v>
      </c>
      <c r="E597" s="39" t="s">
        <v>256</v>
      </c>
      <c r="F597" s="81">
        <v>35896</v>
      </c>
      <c r="G597" s="105" t="str">
        <f t="shared" si="18"/>
        <v>Apr</v>
      </c>
      <c r="H597" s="51">
        <f t="shared" ca="1" si="19"/>
        <v>18</v>
      </c>
      <c r="I597" s="52" t="s">
        <v>283</v>
      </c>
      <c r="J597" s="53">
        <v>70280</v>
      </c>
      <c r="K597" s="54">
        <v>3</v>
      </c>
    </row>
    <row r="598" spans="1:11">
      <c r="A598" s="39" t="s">
        <v>882</v>
      </c>
      <c r="B598" s="46" t="s">
        <v>271</v>
      </c>
      <c r="C598" s="39" t="s">
        <v>856</v>
      </c>
      <c r="D598" s="142">
        <v>161743192</v>
      </c>
      <c r="E598" s="39" t="s">
        <v>247</v>
      </c>
      <c r="F598" s="81">
        <v>36642</v>
      </c>
      <c r="G598" s="105" t="str">
        <f t="shared" si="18"/>
        <v>Apr</v>
      </c>
      <c r="H598" s="51">
        <f t="shared" ca="1" si="19"/>
        <v>16</v>
      </c>
      <c r="I598" s="52"/>
      <c r="J598" s="53">
        <v>77760</v>
      </c>
      <c r="K598" s="54">
        <v>3</v>
      </c>
    </row>
    <row r="599" spans="1:11" hidden="1">
      <c r="A599" s="39" t="s">
        <v>897</v>
      </c>
      <c r="B599" s="46" t="s">
        <v>285</v>
      </c>
      <c r="C599" s="39" t="s">
        <v>856</v>
      </c>
      <c r="D599" s="142">
        <v>342757851</v>
      </c>
      <c r="E599" s="39" t="s">
        <v>256</v>
      </c>
      <c r="F599" s="81">
        <v>35569</v>
      </c>
      <c r="G599" s="105" t="str">
        <f t="shared" si="18"/>
        <v>May</v>
      </c>
      <c r="H599" s="51">
        <f t="shared" ca="1" si="19"/>
        <v>19</v>
      </c>
      <c r="I599" s="52" t="s">
        <v>283</v>
      </c>
      <c r="J599" s="53">
        <v>37770</v>
      </c>
      <c r="K599" s="54">
        <v>5</v>
      </c>
    </row>
    <row r="600" spans="1:11" hidden="1">
      <c r="A600" s="39" t="s">
        <v>859</v>
      </c>
      <c r="B600" s="46" t="s">
        <v>245</v>
      </c>
      <c r="C600" s="39" t="s">
        <v>856</v>
      </c>
      <c r="D600" s="142">
        <v>540009487</v>
      </c>
      <c r="E600" s="39" t="s">
        <v>256</v>
      </c>
      <c r="F600" s="81">
        <v>36290</v>
      </c>
      <c r="G600" s="105" t="str">
        <f t="shared" si="18"/>
        <v>May</v>
      </c>
      <c r="H600" s="51">
        <f t="shared" ca="1" si="19"/>
        <v>17</v>
      </c>
      <c r="I600" s="52" t="s">
        <v>283</v>
      </c>
      <c r="J600" s="53">
        <v>39000</v>
      </c>
      <c r="K600" s="54">
        <v>3</v>
      </c>
    </row>
    <row r="601" spans="1:11" hidden="1">
      <c r="A601" s="39" t="s">
        <v>880</v>
      </c>
      <c r="B601" s="46" t="s">
        <v>285</v>
      </c>
      <c r="C601" s="39" t="s">
        <v>856</v>
      </c>
      <c r="D601" s="142">
        <v>796442491</v>
      </c>
      <c r="E601" s="39" t="s">
        <v>256</v>
      </c>
      <c r="F601" s="81">
        <v>36312</v>
      </c>
      <c r="G601" s="105" t="str">
        <f t="shared" si="18"/>
        <v>Jun</v>
      </c>
      <c r="H601" s="51">
        <f t="shared" ca="1" si="19"/>
        <v>17</v>
      </c>
      <c r="I601" s="52" t="s">
        <v>257</v>
      </c>
      <c r="J601" s="53">
        <v>69200</v>
      </c>
      <c r="K601" s="54">
        <v>4</v>
      </c>
    </row>
    <row r="602" spans="1:11" hidden="1">
      <c r="A602" s="39" t="s">
        <v>914</v>
      </c>
      <c r="B602" s="46" t="s">
        <v>245</v>
      </c>
      <c r="C602" s="39" t="s">
        <v>856</v>
      </c>
      <c r="D602" s="142">
        <v>447613866</v>
      </c>
      <c r="E602" s="39" t="s">
        <v>261</v>
      </c>
      <c r="F602" s="81">
        <v>37775</v>
      </c>
      <c r="G602" s="105" t="str">
        <f t="shared" si="18"/>
        <v>Jun</v>
      </c>
      <c r="H602" s="51">
        <f t="shared" ca="1" si="19"/>
        <v>13</v>
      </c>
      <c r="I602" s="52" t="s">
        <v>262</v>
      </c>
      <c r="J602" s="53">
        <v>28525</v>
      </c>
      <c r="K602" s="54">
        <v>4</v>
      </c>
    </row>
    <row r="603" spans="1:11" hidden="1">
      <c r="A603" s="39" t="s">
        <v>906</v>
      </c>
      <c r="B603" s="46" t="s">
        <v>280</v>
      </c>
      <c r="C603" s="39" t="s">
        <v>856</v>
      </c>
      <c r="D603" s="142">
        <v>934612546</v>
      </c>
      <c r="E603" s="39" t="s">
        <v>256</v>
      </c>
      <c r="F603" s="81">
        <v>37793</v>
      </c>
      <c r="G603" s="105" t="str">
        <f t="shared" si="18"/>
        <v>Jun</v>
      </c>
      <c r="H603" s="51">
        <f t="shared" ca="1" si="19"/>
        <v>13</v>
      </c>
      <c r="I603" s="52" t="s">
        <v>257</v>
      </c>
      <c r="J603" s="53">
        <v>29210</v>
      </c>
      <c r="K603" s="54">
        <v>5</v>
      </c>
    </row>
    <row r="604" spans="1:11">
      <c r="A604" s="39" t="s">
        <v>891</v>
      </c>
      <c r="B604" s="46" t="s">
        <v>271</v>
      </c>
      <c r="C604" s="39" t="s">
        <v>856</v>
      </c>
      <c r="D604" s="142">
        <v>113844527</v>
      </c>
      <c r="E604" s="39" t="s">
        <v>247</v>
      </c>
      <c r="F604" s="81">
        <v>40350</v>
      </c>
      <c r="G604" s="105" t="str">
        <f t="shared" si="18"/>
        <v>Jun</v>
      </c>
      <c r="H604" s="51">
        <f t="shared" ca="1" si="19"/>
        <v>6</v>
      </c>
      <c r="I604" s="52"/>
      <c r="J604" s="53">
        <v>21580</v>
      </c>
      <c r="K604" s="54">
        <v>3</v>
      </c>
    </row>
    <row r="605" spans="1:11">
      <c r="A605" s="39" t="s">
        <v>896</v>
      </c>
      <c r="B605" s="46" t="s">
        <v>271</v>
      </c>
      <c r="C605" s="39" t="s">
        <v>856</v>
      </c>
      <c r="D605" s="142">
        <v>277399035</v>
      </c>
      <c r="E605" s="39" t="s">
        <v>247</v>
      </c>
      <c r="F605" s="81">
        <v>33421</v>
      </c>
      <c r="G605" s="105" t="str">
        <f t="shared" si="18"/>
        <v>Jul</v>
      </c>
      <c r="H605" s="51">
        <f t="shared" ca="1" si="19"/>
        <v>25</v>
      </c>
      <c r="I605" s="52"/>
      <c r="J605" s="53">
        <v>46650</v>
      </c>
      <c r="K605" s="54">
        <v>2</v>
      </c>
    </row>
    <row r="606" spans="1:11" hidden="1">
      <c r="A606" s="39" t="s">
        <v>875</v>
      </c>
      <c r="B606" s="46" t="s">
        <v>285</v>
      </c>
      <c r="C606" s="39" t="s">
        <v>856</v>
      </c>
      <c r="D606" s="142">
        <v>180744338</v>
      </c>
      <c r="E606" s="39" t="s">
        <v>256</v>
      </c>
      <c r="F606" s="81">
        <v>34160</v>
      </c>
      <c r="G606" s="105" t="str">
        <f t="shared" si="18"/>
        <v>Jul</v>
      </c>
      <c r="H606" s="51">
        <f t="shared" ca="1" si="19"/>
        <v>23</v>
      </c>
      <c r="I606" s="52" t="s">
        <v>257</v>
      </c>
      <c r="J606" s="53">
        <v>54200</v>
      </c>
      <c r="K606" s="54">
        <v>4</v>
      </c>
    </row>
    <row r="607" spans="1:11">
      <c r="A607" s="39" t="s">
        <v>867</v>
      </c>
      <c r="B607" s="46" t="s">
        <v>271</v>
      </c>
      <c r="C607" s="39" t="s">
        <v>856</v>
      </c>
      <c r="D607" s="142">
        <v>812742633</v>
      </c>
      <c r="E607" s="39" t="s">
        <v>252</v>
      </c>
      <c r="F607" s="81">
        <v>34180</v>
      </c>
      <c r="G607" s="105" t="str">
        <f t="shared" si="18"/>
        <v>Jul</v>
      </c>
      <c r="H607" s="51">
        <f t="shared" ca="1" si="19"/>
        <v>23</v>
      </c>
      <c r="I607" s="52"/>
      <c r="J607" s="53">
        <v>26484</v>
      </c>
      <c r="K607" s="54">
        <v>5</v>
      </c>
    </row>
    <row r="608" spans="1:11" hidden="1">
      <c r="A608" s="39" t="s">
        <v>913</v>
      </c>
      <c r="B608" s="46" t="s">
        <v>245</v>
      </c>
      <c r="C608" s="39" t="s">
        <v>856</v>
      </c>
      <c r="D608" s="142">
        <v>370085368</v>
      </c>
      <c r="E608" s="39" t="s">
        <v>256</v>
      </c>
      <c r="F608" s="81">
        <v>36360</v>
      </c>
      <c r="G608" s="105" t="str">
        <f t="shared" si="18"/>
        <v>Jul</v>
      </c>
      <c r="H608" s="51">
        <f t="shared" ca="1" si="19"/>
        <v>17</v>
      </c>
      <c r="I608" s="52" t="s">
        <v>283</v>
      </c>
      <c r="J608" s="53">
        <v>67020</v>
      </c>
      <c r="K608" s="54">
        <v>1</v>
      </c>
    </row>
    <row r="609" spans="1:11" hidden="1">
      <c r="A609" s="39" t="s">
        <v>926</v>
      </c>
      <c r="B609" s="46" t="s">
        <v>251</v>
      </c>
      <c r="C609" s="39" t="s">
        <v>856</v>
      </c>
      <c r="D609" s="142">
        <v>445214773</v>
      </c>
      <c r="E609" s="39" t="s">
        <v>247</v>
      </c>
      <c r="F609" s="81">
        <v>37082</v>
      </c>
      <c r="G609" s="105" t="str">
        <f t="shared" si="18"/>
        <v>Jul</v>
      </c>
      <c r="H609" s="51">
        <f t="shared" ca="1" si="19"/>
        <v>15</v>
      </c>
      <c r="I609" s="52"/>
      <c r="J609" s="53">
        <v>46780</v>
      </c>
      <c r="K609" s="54">
        <v>2</v>
      </c>
    </row>
    <row r="610" spans="1:11" hidden="1">
      <c r="A610" s="39" t="s">
        <v>881</v>
      </c>
      <c r="B610" s="46" t="s">
        <v>280</v>
      </c>
      <c r="C610" s="39" t="s">
        <v>856</v>
      </c>
      <c r="D610" s="142">
        <v>851861797</v>
      </c>
      <c r="E610" s="39" t="s">
        <v>261</v>
      </c>
      <c r="F610" s="81">
        <v>37815</v>
      </c>
      <c r="G610" s="105" t="str">
        <f t="shared" si="18"/>
        <v>Jul</v>
      </c>
      <c r="H610" s="51">
        <f t="shared" ca="1" si="19"/>
        <v>13</v>
      </c>
      <c r="I610" s="52" t="s">
        <v>257</v>
      </c>
      <c r="J610" s="53">
        <v>48740</v>
      </c>
      <c r="K610" s="54">
        <v>1</v>
      </c>
    </row>
    <row r="611" spans="1:11" hidden="1">
      <c r="A611" s="39" t="s">
        <v>923</v>
      </c>
      <c r="B611" s="46" t="s">
        <v>285</v>
      </c>
      <c r="C611" s="39" t="s">
        <v>856</v>
      </c>
      <c r="D611" s="142">
        <v>382324838</v>
      </c>
      <c r="E611" s="39" t="s">
        <v>256</v>
      </c>
      <c r="F611" s="81">
        <v>38902</v>
      </c>
      <c r="G611" s="105" t="str">
        <f t="shared" si="18"/>
        <v>Jul</v>
      </c>
      <c r="H611" s="51">
        <f t="shared" ca="1" si="19"/>
        <v>10</v>
      </c>
      <c r="I611" s="52" t="s">
        <v>257</v>
      </c>
      <c r="J611" s="53">
        <v>73560</v>
      </c>
      <c r="K611" s="54">
        <v>3</v>
      </c>
    </row>
    <row r="612" spans="1:11" hidden="1">
      <c r="A612" s="39" t="s">
        <v>907</v>
      </c>
      <c r="B612" s="46" t="s">
        <v>251</v>
      </c>
      <c r="C612" s="39" t="s">
        <v>856</v>
      </c>
      <c r="D612" s="142">
        <v>921845293</v>
      </c>
      <c r="E612" s="39" t="s">
        <v>256</v>
      </c>
      <c r="F612" s="81">
        <v>33454</v>
      </c>
      <c r="G612" s="105" t="str">
        <f t="shared" si="18"/>
        <v>Aug</v>
      </c>
      <c r="H612" s="51">
        <f t="shared" ca="1" si="19"/>
        <v>25</v>
      </c>
      <c r="I612" s="52" t="s">
        <v>257</v>
      </c>
      <c r="J612" s="53">
        <v>67920</v>
      </c>
      <c r="K612" s="54">
        <v>4</v>
      </c>
    </row>
    <row r="613" spans="1:11">
      <c r="A613" s="39" t="s">
        <v>902</v>
      </c>
      <c r="B613" s="46" t="s">
        <v>271</v>
      </c>
      <c r="C613" s="39" t="s">
        <v>856</v>
      </c>
      <c r="D613" s="142">
        <v>786729290</v>
      </c>
      <c r="E613" s="39" t="s">
        <v>256</v>
      </c>
      <c r="F613" s="81">
        <v>36012</v>
      </c>
      <c r="G613" s="105" t="str">
        <f t="shared" si="18"/>
        <v>Aug</v>
      </c>
      <c r="H613" s="51">
        <f t="shared" ca="1" si="19"/>
        <v>18</v>
      </c>
      <c r="I613" s="52" t="s">
        <v>262</v>
      </c>
      <c r="J613" s="53">
        <v>78950</v>
      </c>
      <c r="K613" s="54">
        <v>1</v>
      </c>
    </row>
    <row r="614" spans="1:11">
      <c r="A614" s="39" t="s">
        <v>925</v>
      </c>
      <c r="B614" s="46" t="s">
        <v>271</v>
      </c>
      <c r="C614" s="39" t="s">
        <v>856</v>
      </c>
      <c r="D614" s="142">
        <v>403874356</v>
      </c>
      <c r="E614" s="39" t="s">
        <v>256</v>
      </c>
      <c r="F614" s="81">
        <v>33852</v>
      </c>
      <c r="G614" s="105" t="str">
        <f t="shared" si="18"/>
        <v>Sep</v>
      </c>
      <c r="H614" s="51">
        <f t="shared" ca="1" si="19"/>
        <v>24</v>
      </c>
      <c r="I614" s="52" t="s">
        <v>276</v>
      </c>
      <c r="J614" s="53">
        <v>86240</v>
      </c>
      <c r="K614" s="54">
        <v>1</v>
      </c>
    </row>
    <row r="615" spans="1:11">
      <c r="A615" s="39" t="s">
        <v>877</v>
      </c>
      <c r="B615" s="46" t="s">
        <v>271</v>
      </c>
      <c r="C615" s="39" t="s">
        <v>856</v>
      </c>
      <c r="D615" s="142">
        <v>359336760</v>
      </c>
      <c r="E615" s="39" t="s">
        <v>261</v>
      </c>
      <c r="F615" s="81">
        <v>35688</v>
      </c>
      <c r="G615" s="105" t="str">
        <f t="shared" si="18"/>
        <v>Sep</v>
      </c>
      <c r="H615" s="51">
        <f t="shared" ca="1" si="19"/>
        <v>19</v>
      </c>
      <c r="I615" s="52" t="s">
        <v>283</v>
      </c>
      <c r="J615" s="53">
        <v>42740</v>
      </c>
      <c r="K615" s="54">
        <v>2</v>
      </c>
    </row>
    <row r="616" spans="1:11">
      <c r="A616" s="39" t="s">
        <v>874</v>
      </c>
      <c r="B616" s="46" t="s">
        <v>271</v>
      </c>
      <c r="C616" s="39" t="s">
        <v>856</v>
      </c>
      <c r="D616" s="142">
        <v>468907604</v>
      </c>
      <c r="E616" s="39" t="s">
        <v>247</v>
      </c>
      <c r="F616" s="81">
        <v>36406</v>
      </c>
      <c r="G616" s="105" t="str">
        <f t="shared" si="18"/>
        <v>Sep</v>
      </c>
      <c r="H616" s="51">
        <f t="shared" ca="1" si="19"/>
        <v>17</v>
      </c>
      <c r="I616" s="52"/>
      <c r="J616" s="53">
        <v>60800</v>
      </c>
      <c r="K616" s="54">
        <v>4</v>
      </c>
    </row>
    <row r="617" spans="1:11" hidden="1">
      <c r="A617" s="39" t="s">
        <v>871</v>
      </c>
      <c r="B617" s="46" t="s">
        <v>285</v>
      </c>
      <c r="C617" s="39" t="s">
        <v>856</v>
      </c>
      <c r="D617" s="142">
        <v>887658667</v>
      </c>
      <c r="E617" s="39" t="s">
        <v>256</v>
      </c>
      <c r="F617" s="81">
        <v>36407</v>
      </c>
      <c r="G617" s="105" t="str">
        <f t="shared" si="18"/>
        <v>Sep</v>
      </c>
      <c r="H617" s="51">
        <f t="shared" ca="1" si="19"/>
        <v>17</v>
      </c>
      <c r="I617" s="52" t="s">
        <v>262</v>
      </c>
      <c r="J617" s="53">
        <v>45880</v>
      </c>
      <c r="K617" s="54">
        <v>5</v>
      </c>
    </row>
    <row r="618" spans="1:11" hidden="1">
      <c r="A618" s="39" t="s">
        <v>915</v>
      </c>
      <c r="B618" s="46" t="s">
        <v>285</v>
      </c>
      <c r="C618" s="39" t="s">
        <v>856</v>
      </c>
      <c r="D618" s="142">
        <v>555780449</v>
      </c>
      <c r="E618" s="39" t="s">
        <v>261</v>
      </c>
      <c r="F618" s="81">
        <v>36423</v>
      </c>
      <c r="G618" s="105" t="str">
        <f t="shared" si="18"/>
        <v>Sep</v>
      </c>
      <c r="H618" s="51">
        <f t="shared" ca="1" si="19"/>
        <v>17</v>
      </c>
      <c r="I618" s="52" t="s">
        <v>276</v>
      </c>
      <c r="J618" s="53">
        <v>47350</v>
      </c>
      <c r="K618" s="54">
        <v>1</v>
      </c>
    </row>
    <row r="619" spans="1:11" hidden="1">
      <c r="A619" s="39" t="s">
        <v>910</v>
      </c>
      <c r="B619" s="46" t="s">
        <v>245</v>
      </c>
      <c r="C619" s="39" t="s">
        <v>856</v>
      </c>
      <c r="D619" s="142">
        <v>896226469</v>
      </c>
      <c r="E619" s="39" t="s">
        <v>256</v>
      </c>
      <c r="F619" s="81">
        <v>38237</v>
      </c>
      <c r="G619" s="105" t="str">
        <f t="shared" si="18"/>
        <v>Sep</v>
      </c>
      <c r="H619" s="51">
        <f t="shared" ca="1" si="19"/>
        <v>12</v>
      </c>
      <c r="I619" s="52" t="s">
        <v>283</v>
      </c>
      <c r="J619" s="53">
        <v>31910</v>
      </c>
      <c r="K619" s="54">
        <v>5</v>
      </c>
    </row>
    <row r="620" spans="1:11" hidden="1">
      <c r="A620" s="39" t="s">
        <v>866</v>
      </c>
      <c r="B620" s="46" t="s">
        <v>285</v>
      </c>
      <c r="C620" s="39" t="s">
        <v>856</v>
      </c>
      <c r="D620" s="142">
        <v>737424567</v>
      </c>
      <c r="E620" s="39" t="s">
        <v>247</v>
      </c>
      <c r="F620" s="81">
        <v>39720</v>
      </c>
      <c r="G620" s="105" t="str">
        <f t="shared" si="18"/>
        <v>Sep</v>
      </c>
      <c r="H620" s="51">
        <f t="shared" ca="1" si="19"/>
        <v>8</v>
      </c>
      <c r="I620" s="52"/>
      <c r="J620" s="53">
        <v>43320</v>
      </c>
      <c r="K620" s="54">
        <v>5</v>
      </c>
    </row>
    <row r="621" spans="1:11" hidden="1">
      <c r="A621" s="39" t="s">
        <v>892</v>
      </c>
      <c r="B621" s="46" t="s">
        <v>280</v>
      </c>
      <c r="C621" s="39" t="s">
        <v>856</v>
      </c>
      <c r="D621" s="142">
        <v>337947291</v>
      </c>
      <c r="E621" s="39" t="s">
        <v>256</v>
      </c>
      <c r="F621" s="81">
        <v>40078</v>
      </c>
      <c r="G621" s="105" t="str">
        <f t="shared" si="18"/>
        <v>Sep</v>
      </c>
      <c r="H621" s="51">
        <f t="shared" ca="1" si="19"/>
        <v>7</v>
      </c>
      <c r="I621" s="52" t="s">
        <v>283</v>
      </c>
      <c r="J621" s="53">
        <v>23190</v>
      </c>
      <c r="K621" s="54">
        <v>5</v>
      </c>
    </row>
    <row r="622" spans="1:11" hidden="1">
      <c r="A622" s="39" t="s">
        <v>884</v>
      </c>
      <c r="B622" s="46" t="s">
        <v>266</v>
      </c>
      <c r="C622" s="39" t="s">
        <v>856</v>
      </c>
      <c r="D622" s="142">
        <v>646384550</v>
      </c>
      <c r="E622" s="39" t="s">
        <v>261</v>
      </c>
      <c r="F622" s="81">
        <v>33890</v>
      </c>
      <c r="G622" s="105" t="str">
        <f t="shared" si="18"/>
        <v>Oct</v>
      </c>
      <c r="H622" s="51">
        <f t="shared" ca="1" si="19"/>
        <v>24</v>
      </c>
      <c r="I622" s="52" t="s">
        <v>283</v>
      </c>
      <c r="J622" s="53">
        <v>25885</v>
      </c>
      <c r="K622" s="54">
        <v>5</v>
      </c>
    </row>
    <row r="623" spans="1:11">
      <c r="A623" s="39" t="s">
        <v>885</v>
      </c>
      <c r="B623" s="46" t="s">
        <v>271</v>
      </c>
      <c r="C623" s="39" t="s">
        <v>856</v>
      </c>
      <c r="D623" s="142">
        <v>607760668</v>
      </c>
      <c r="E623" s="39" t="s">
        <v>256</v>
      </c>
      <c r="F623" s="81">
        <v>35356</v>
      </c>
      <c r="G623" s="105" t="str">
        <f t="shared" si="18"/>
        <v>Oct</v>
      </c>
      <c r="H623" s="51">
        <f t="shared" ca="1" si="19"/>
        <v>20</v>
      </c>
      <c r="I623" s="52" t="s">
        <v>262</v>
      </c>
      <c r="J623" s="53">
        <v>63030</v>
      </c>
      <c r="K623" s="54">
        <v>1</v>
      </c>
    </row>
    <row r="624" spans="1:11" hidden="1">
      <c r="A624" s="39" t="s">
        <v>920</v>
      </c>
      <c r="B624" s="46" t="s">
        <v>280</v>
      </c>
      <c r="C624" s="39" t="s">
        <v>856</v>
      </c>
      <c r="D624" s="142">
        <v>618264331</v>
      </c>
      <c r="E624" s="39" t="s">
        <v>256</v>
      </c>
      <c r="F624" s="81">
        <v>35715</v>
      </c>
      <c r="G624" s="105" t="str">
        <f t="shared" si="18"/>
        <v>Oct</v>
      </c>
      <c r="H624" s="51">
        <f t="shared" ca="1" si="19"/>
        <v>19</v>
      </c>
      <c r="I624" s="52" t="s">
        <v>283</v>
      </c>
      <c r="J624" s="53">
        <v>32120</v>
      </c>
      <c r="K624" s="54">
        <v>1</v>
      </c>
    </row>
    <row r="625" spans="1:11" hidden="1">
      <c r="A625" s="39" t="s">
        <v>900</v>
      </c>
      <c r="B625" s="46" t="s">
        <v>245</v>
      </c>
      <c r="C625" s="39" t="s">
        <v>856</v>
      </c>
      <c r="D625" s="142">
        <v>230328613</v>
      </c>
      <c r="E625" s="39" t="s">
        <v>247</v>
      </c>
      <c r="F625" s="81">
        <v>36070</v>
      </c>
      <c r="G625" s="105" t="str">
        <f t="shared" si="18"/>
        <v>Oct</v>
      </c>
      <c r="H625" s="51">
        <f t="shared" ca="1" si="19"/>
        <v>18</v>
      </c>
      <c r="I625" s="52"/>
      <c r="J625" s="53">
        <v>59050</v>
      </c>
      <c r="K625" s="54">
        <v>4</v>
      </c>
    </row>
    <row r="626" spans="1:11">
      <c r="A626" s="39" t="s">
        <v>903</v>
      </c>
      <c r="B626" s="46" t="s">
        <v>271</v>
      </c>
      <c r="C626" s="39" t="s">
        <v>856</v>
      </c>
      <c r="D626" s="142">
        <v>797130365</v>
      </c>
      <c r="E626" s="39" t="s">
        <v>256</v>
      </c>
      <c r="F626" s="81">
        <v>36078</v>
      </c>
      <c r="G626" s="105" t="str">
        <f t="shared" si="18"/>
        <v>Oct</v>
      </c>
      <c r="H626" s="51">
        <f t="shared" ca="1" si="19"/>
        <v>18</v>
      </c>
      <c r="I626" s="52" t="s">
        <v>276</v>
      </c>
      <c r="J626" s="53">
        <v>79610</v>
      </c>
      <c r="K626" s="54">
        <v>2</v>
      </c>
    </row>
    <row r="627" spans="1:11" hidden="1">
      <c r="A627" s="39" t="s">
        <v>899</v>
      </c>
      <c r="B627" s="46" t="s">
        <v>245</v>
      </c>
      <c r="C627" s="39" t="s">
        <v>856</v>
      </c>
      <c r="D627" s="142">
        <v>706909447</v>
      </c>
      <c r="E627" s="39" t="s">
        <v>256</v>
      </c>
      <c r="F627" s="81">
        <v>36081</v>
      </c>
      <c r="G627" s="105" t="str">
        <f t="shared" si="18"/>
        <v>Oct</v>
      </c>
      <c r="H627" s="51">
        <f t="shared" ca="1" si="19"/>
        <v>18</v>
      </c>
      <c r="I627" s="52" t="s">
        <v>283</v>
      </c>
      <c r="J627" s="53">
        <v>67407</v>
      </c>
      <c r="K627" s="54">
        <v>5</v>
      </c>
    </row>
    <row r="628" spans="1:11" hidden="1">
      <c r="A628" s="39" t="s">
        <v>872</v>
      </c>
      <c r="B628" s="46" t="s">
        <v>285</v>
      </c>
      <c r="C628" s="39" t="s">
        <v>856</v>
      </c>
      <c r="D628" s="142">
        <v>540765423</v>
      </c>
      <c r="E628" s="39" t="s">
        <v>256</v>
      </c>
      <c r="F628" s="81">
        <v>39745</v>
      </c>
      <c r="G628" s="105" t="str">
        <f t="shared" si="18"/>
        <v>Oct</v>
      </c>
      <c r="H628" s="51">
        <f t="shared" ca="1" si="19"/>
        <v>8</v>
      </c>
      <c r="I628" s="52" t="s">
        <v>283</v>
      </c>
      <c r="J628" s="53">
        <v>29330</v>
      </c>
      <c r="K628" s="54">
        <v>5</v>
      </c>
    </row>
    <row r="629" spans="1:11" hidden="1">
      <c r="A629" s="39" t="s">
        <v>904</v>
      </c>
      <c r="B629" s="46" t="s">
        <v>266</v>
      </c>
      <c r="C629" s="39" t="s">
        <v>856</v>
      </c>
      <c r="D629" s="142">
        <v>480119569</v>
      </c>
      <c r="E629" s="39" t="s">
        <v>256</v>
      </c>
      <c r="F629" s="81">
        <v>33548</v>
      </c>
      <c r="G629" s="105" t="str">
        <f t="shared" si="18"/>
        <v>Nov</v>
      </c>
      <c r="H629" s="51">
        <f t="shared" ca="1" si="19"/>
        <v>25</v>
      </c>
      <c r="I629" s="52" t="s">
        <v>283</v>
      </c>
      <c r="J629" s="53">
        <v>63050</v>
      </c>
      <c r="K629" s="54">
        <v>3</v>
      </c>
    </row>
    <row r="630" spans="1:11" hidden="1">
      <c r="A630" s="39" t="s">
        <v>908</v>
      </c>
      <c r="B630" s="46" t="s">
        <v>285</v>
      </c>
      <c r="C630" s="39" t="s">
        <v>856</v>
      </c>
      <c r="D630" s="142">
        <v>361328372</v>
      </c>
      <c r="E630" s="39" t="s">
        <v>247</v>
      </c>
      <c r="F630" s="81">
        <v>33914</v>
      </c>
      <c r="G630" s="105" t="str">
        <f t="shared" si="18"/>
        <v>Nov</v>
      </c>
      <c r="H630" s="51">
        <f t="shared" ca="1" si="19"/>
        <v>24</v>
      </c>
      <c r="I630" s="52"/>
      <c r="J630" s="53">
        <v>55690</v>
      </c>
      <c r="K630" s="54">
        <v>2</v>
      </c>
    </row>
    <row r="631" spans="1:11">
      <c r="A631" s="39" t="s">
        <v>928</v>
      </c>
      <c r="B631" s="46" t="s">
        <v>271</v>
      </c>
      <c r="C631" s="39" t="s">
        <v>856</v>
      </c>
      <c r="D631" s="142">
        <v>845008485</v>
      </c>
      <c r="E631" s="39" t="s">
        <v>256</v>
      </c>
      <c r="F631" s="81">
        <v>34285</v>
      </c>
      <c r="G631" s="105" t="str">
        <f t="shared" si="18"/>
        <v>Nov</v>
      </c>
      <c r="H631" s="51">
        <f t="shared" ca="1" si="19"/>
        <v>22</v>
      </c>
      <c r="I631" s="52" t="s">
        <v>267</v>
      </c>
      <c r="J631" s="53">
        <v>48490</v>
      </c>
      <c r="K631" s="54">
        <v>2</v>
      </c>
    </row>
    <row r="632" spans="1:11">
      <c r="A632" s="39" t="s">
        <v>890</v>
      </c>
      <c r="B632" s="46" t="s">
        <v>271</v>
      </c>
      <c r="C632" s="39" t="s">
        <v>856</v>
      </c>
      <c r="D632" s="142">
        <v>264740780</v>
      </c>
      <c r="E632" s="39" t="s">
        <v>256</v>
      </c>
      <c r="F632" s="81">
        <v>35373</v>
      </c>
      <c r="G632" s="105" t="str">
        <f t="shared" si="18"/>
        <v>Nov</v>
      </c>
      <c r="H632" s="51">
        <f t="shared" ca="1" si="19"/>
        <v>20</v>
      </c>
      <c r="I632" s="52" t="s">
        <v>283</v>
      </c>
      <c r="J632" s="53">
        <v>66440</v>
      </c>
      <c r="K632" s="54">
        <v>3</v>
      </c>
    </row>
    <row r="633" spans="1:11" hidden="1">
      <c r="A633" s="39" t="s">
        <v>873</v>
      </c>
      <c r="B633" s="46" t="s">
        <v>285</v>
      </c>
      <c r="C633" s="39" t="s">
        <v>856</v>
      </c>
      <c r="D633" s="142">
        <v>619905912</v>
      </c>
      <c r="E633" s="39" t="s">
        <v>247</v>
      </c>
      <c r="F633" s="81">
        <v>36479</v>
      </c>
      <c r="G633" s="105" t="str">
        <f t="shared" si="18"/>
        <v>Nov</v>
      </c>
      <c r="H633" s="51">
        <f t="shared" ca="1" si="19"/>
        <v>16</v>
      </c>
      <c r="I633" s="52"/>
      <c r="J633" s="53">
        <v>54840</v>
      </c>
      <c r="K633" s="54">
        <v>4</v>
      </c>
    </row>
    <row r="634" spans="1:11" hidden="1">
      <c r="A634" s="39" t="s">
        <v>889</v>
      </c>
      <c r="B634" s="46" t="s">
        <v>285</v>
      </c>
      <c r="C634" s="39" t="s">
        <v>856</v>
      </c>
      <c r="D634" s="142">
        <v>152091002</v>
      </c>
      <c r="E634" s="39" t="s">
        <v>256</v>
      </c>
      <c r="F634" s="81">
        <v>33222</v>
      </c>
      <c r="G634" s="105" t="str">
        <f t="shared" si="18"/>
        <v>Dec</v>
      </c>
      <c r="H634" s="51">
        <f t="shared" ca="1" si="19"/>
        <v>25</v>
      </c>
      <c r="I634" s="52" t="s">
        <v>257</v>
      </c>
      <c r="J634" s="53">
        <v>53900</v>
      </c>
      <c r="K634" s="54">
        <v>5</v>
      </c>
    </row>
    <row r="635" spans="1:11" hidden="1">
      <c r="A635" s="39" t="s">
        <v>887</v>
      </c>
      <c r="B635" s="46" t="s">
        <v>266</v>
      </c>
      <c r="C635" s="39" t="s">
        <v>856</v>
      </c>
      <c r="D635" s="142">
        <v>644279793</v>
      </c>
      <c r="E635" s="39" t="s">
        <v>252</v>
      </c>
      <c r="F635" s="81">
        <v>35034</v>
      </c>
      <c r="G635" s="105" t="str">
        <f t="shared" si="18"/>
        <v>Dec</v>
      </c>
      <c r="H635" s="51">
        <f t="shared" ca="1" si="19"/>
        <v>20</v>
      </c>
      <c r="I635" s="52"/>
      <c r="J635" s="53">
        <v>23692</v>
      </c>
      <c r="K635" s="54">
        <v>4</v>
      </c>
    </row>
    <row r="636" spans="1:11">
      <c r="A636" s="39" t="s">
        <v>861</v>
      </c>
      <c r="B636" s="46" t="s">
        <v>271</v>
      </c>
      <c r="C636" s="39" t="s">
        <v>856</v>
      </c>
      <c r="D636" s="142">
        <v>395413381</v>
      </c>
      <c r="E636" s="39" t="s">
        <v>252</v>
      </c>
      <c r="F636" s="81">
        <v>35402</v>
      </c>
      <c r="G636" s="105" t="str">
        <f t="shared" si="18"/>
        <v>Dec</v>
      </c>
      <c r="H636" s="51">
        <f t="shared" ca="1" si="19"/>
        <v>19</v>
      </c>
      <c r="I636" s="52"/>
      <c r="J636" s="53">
        <v>33508</v>
      </c>
      <c r="K636" s="54">
        <v>4</v>
      </c>
    </row>
    <row r="637" spans="1:11" hidden="1">
      <c r="A637" s="39" t="s">
        <v>924</v>
      </c>
      <c r="B637" s="46" t="s">
        <v>285</v>
      </c>
      <c r="C637" s="39" t="s">
        <v>856</v>
      </c>
      <c r="D637" s="142">
        <v>746970417</v>
      </c>
      <c r="E637" s="39" t="s">
        <v>256</v>
      </c>
      <c r="F637" s="81">
        <v>35408</v>
      </c>
      <c r="G637" s="105" t="str">
        <f t="shared" si="18"/>
        <v>Dec</v>
      </c>
      <c r="H637" s="51">
        <f t="shared" ca="1" si="19"/>
        <v>19</v>
      </c>
      <c r="I637" s="52" t="s">
        <v>283</v>
      </c>
      <c r="J637" s="53">
        <v>34330</v>
      </c>
      <c r="K637" s="54">
        <v>3</v>
      </c>
    </row>
    <row r="638" spans="1:11" hidden="1">
      <c r="A638" s="39" t="s">
        <v>862</v>
      </c>
      <c r="B638" s="46" t="s">
        <v>266</v>
      </c>
      <c r="C638" s="39" t="s">
        <v>856</v>
      </c>
      <c r="D638" s="142">
        <v>785471565</v>
      </c>
      <c r="E638" s="39" t="s">
        <v>256</v>
      </c>
      <c r="F638" s="81">
        <v>36514</v>
      </c>
      <c r="G638" s="105" t="str">
        <f t="shared" si="18"/>
        <v>Dec</v>
      </c>
      <c r="H638" s="51">
        <f t="shared" ca="1" si="19"/>
        <v>16</v>
      </c>
      <c r="I638" s="52" t="s">
        <v>283</v>
      </c>
      <c r="J638" s="53">
        <v>48250</v>
      </c>
      <c r="K638" s="54">
        <v>3</v>
      </c>
    </row>
    <row r="639" spans="1:11" hidden="1">
      <c r="A639" s="39" t="s">
        <v>952</v>
      </c>
      <c r="B639" s="46" t="s">
        <v>285</v>
      </c>
      <c r="C639" s="39" t="s">
        <v>930</v>
      </c>
      <c r="D639" s="142">
        <v>531015728</v>
      </c>
      <c r="E639" s="39" t="s">
        <v>247</v>
      </c>
      <c r="F639" s="81">
        <v>33974</v>
      </c>
      <c r="G639" s="105" t="str">
        <f t="shared" si="18"/>
        <v>Jan</v>
      </c>
      <c r="H639" s="51">
        <f t="shared" ca="1" si="19"/>
        <v>23</v>
      </c>
      <c r="I639" s="52"/>
      <c r="J639" s="53">
        <v>70150</v>
      </c>
      <c r="K639" s="54">
        <v>2</v>
      </c>
    </row>
    <row r="640" spans="1:11">
      <c r="A640" s="39" t="s">
        <v>1002</v>
      </c>
      <c r="B640" s="46" t="s">
        <v>271</v>
      </c>
      <c r="C640" s="39" t="s">
        <v>930</v>
      </c>
      <c r="D640" s="142">
        <v>352099951</v>
      </c>
      <c r="E640" s="39" t="s">
        <v>247</v>
      </c>
      <c r="F640" s="81">
        <v>33977</v>
      </c>
      <c r="G640" s="105" t="str">
        <f t="shared" si="18"/>
        <v>Jan</v>
      </c>
      <c r="H640" s="51">
        <f t="shared" ca="1" si="19"/>
        <v>23</v>
      </c>
      <c r="I640" s="52"/>
      <c r="J640" s="53">
        <v>63290</v>
      </c>
      <c r="K640" s="54">
        <v>5</v>
      </c>
    </row>
    <row r="641" spans="1:11" hidden="1">
      <c r="A641" s="39" t="s">
        <v>954</v>
      </c>
      <c r="B641" s="46" t="s">
        <v>280</v>
      </c>
      <c r="C641" s="39" t="s">
        <v>930</v>
      </c>
      <c r="D641" s="142">
        <v>760635495</v>
      </c>
      <c r="E641" s="39" t="s">
        <v>256</v>
      </c>
      <c r="F641" s="81">
        <v>33978</v>
      </c>
      <c r="G641" s="105" t="str">
        <f t="shared" si="18"/>
        <v>Jan</v>
      </c>
      <c r="H641" s="51">
        <f t="shared" ca="1" si="19"/>
        <v>23</v>
      </c>
      <c r="I641" s="52" t="s">
        <v>283</v>
      </c>
      <c r="J641" s="53">
        <v>46410</v>
      </c>
      <c r="K641" s="54">
        <v>2</v>
      </c>
    </row>
    <row r="642" spans="1:11">
      <c r="A642" s="39" t="s">
        <v>974</v>
      </c>
      <c r="B642" s="46" t="s">
        <v>271</v>
      </c>
      <c r="C642" s="39" t="s">
        <v>930</v>
      </c>
      <c r="D642" s="142">
        <v>607570087</v>
      </c>
      <c r="E642" s="39" t="s">
        <v>247</v>
      </c>
      <c r="F642" s="81">
        <v>34723</v>
      </c>
      <c r="G642" s="105" t="str">
        <f t="shared" ref="G642:G705" si="20">CHOOSE(MONTH(F642),"Jan","Feb","Mar","Apr","May","Jun","Jul","Aug","Sep","Oct","Nov","Dec")</f>
        <v>Jan</v>
      </c>
      <c r="H642" s="51">
        <f t="shared" ref="H642:H705" ca="1" si="21">DATEDIF(F642,TODAY(),"Y")</f>
        <v>21</v>
      </c>
      <c r="I642" s="52"/>
      <c r="J642" s="53">
        <v>64263</v>
      </c>
      <c r="K642" s="54">
        <v>3</v>
      </c>
    </row>
    <row r="643" spans="1:11" hidden="1">
      <c r="A643" s="39" t="s">
        <v>929</v>
      </c>
      <c r="B643" s="46" t="s">
        <v>285</v>
      </c>
      <c r="C643" s="39" t="s">
        <v>930</v>
      </c>
      <c r="D643" s="142">
        <v>617056019</v>
      </c>
      <c r="E643" s="39" t="s">
        <v>247</v>
      </c>
      <c r="F643" s="81">
        <v>35826</v>
      </c>
      <c r="G643" s="105" t="str">
        <f t="shared" si="20"/>
        <v>Jan</v>
      </c>
      <c r="H643" s="51">
        <f t="shared" ca="1" si="21"/>
        <v>18</v>
      </c>
      <c r="I643" s="52"/>
      <c r="J643" s="53">
        <v>45030</v>
      </c>
      <c r="K643" s="54">
        <v>3</v>
      </c>
    </row>
    <row r="644" spans="1:11" hidden="1">
      <c r="A644" s="39" t="s">
        <v>931</v>
      </c>
      <c r="B644" s="46" t="s">
        <v>285</v>
      </c>
      <c r="C644" s="39" t="s">
        <v>930</v>
      </c>
      <c r="D644" s="142">
        <v>558379204</v>
      </c>
      <c r="E644" s="39" t="s">
        <v>256</v>
      </c>
      <c r="F644" s="81">
        <v>36549</v>
      </c>
      <c r="G644" s="105" t="str">
        <f t="shared" si="20"/>
        <v>Jan</v>
      </c>
      <c r="H644" s="51">
        <f t="shared" ca="1" si="21"/>
        <v>16</v>
      </c>
      <c r="I644" s="52" t="s">
        <v>283</v>
      </c>
      <c r="J644" s="53">
        <v>35460</v>
      </c>
      <c r="K644" s="54">
        <v>1</v>
      </c>
    </row>
    <row r="645" spans="1:11" hidden="1">
      <c r="A645" s="39" t="s">
        <v>999</v>
      </c>
      <c r="B645" s="46" t="s">
        <v>285</v>
      </c>
      <c r="C645" s="39" t="s">
        <v>930</v>
      </c>
      <c r="D645" s="142">
        <v>636155403</v>
      </c>
      <c r="E645" s="39" t="s">
        <v>261</v>
      </c>
      <c r="F645" s="81">
        <v>36918</v>
      </c>
      <c r="G645" s="105" t="str">
        <f t="shared" si="20"/>
        <v>Jan</v>
      </c>
      <c r="H645" s="51">
        <f t="shared" ca="1" si="21"/>
        <v>15</v>
      </c>
      <c r="I645" s="52" t="s">
        <v>257</v>
      </c>
      <c r="J645" s="53">
        <v>17205</v>
      </c>
      <c r="K645" s="54">
        <v>5</v>
      </c>
    </row>
    <row r="646" spans="1:11" hidden="1">
      <c r="A646" s="39" t="s">
        <v>973</v>
      </c>
      <c r="B646" s="46" t="s">
        <v>285</v>
      </c>
      <c r="C646" s="39" t="s">
        <v>930</v>
      </c>
      <c r="D646" s="142">
        <v>132170760</v>
      </c>
      <c r="E646" s="39" t="s">
        <v>247</v>
      </c>
      <c r="F646" s="103">
        <v>40563</v>
      </c>
      <c r="G646" s="105" t="str">
        <f t="shared" si="20"/>
        <v>Jan</v>
      </c>
      <c r="H646" s="51">
        <f t="shared" ca="1" si="21"/>
        <v>5</v>
      </c>
      <c r="I646" s="52"/>
      <c r="J646" s="53">
        <v>55510</v>
      </c>
      <c r="K646" s="54">
        <v>3</v>
      </c>
    </row>
    <row r="647" spans="1:11" hidden="1">
      <c r="A647" s="39" t="s">
        <v>1014</v>
      </c>
      <c r="B647" s="46" t="s">
        <v>285</v>
      </c>
      <c r="C647" s="39" t="s">
        <v>930</v>
      </c>
      <c r="D647" s="142">
        <v>911819228</v>
      </c>
      <c r="E647" s="39" t="s">
        <v>256</v>
      </c>
      <c r="F647" s="81">
        <v>40568</v>
      </c>
      <c r="G647" s="105" t="str">
        <f t="shared" si="20"/>
        <v>Jan</v>
      </c>
      <c r="H647" s="51">
        <f t="shared" ca="1" si="21"/>
        <v>5</v>
      </c>
      <c r="I647" s="52" t="s">
        <v>257</v>
      </c>
      <c r="J647" s="53">
        <v>46390</v>
      </c>
      <c r="K647" s="54">
        <v>5</v>
      </c>
    </row>
    <row r="648" spans="1:11">
      <c r="A648" s="39" t="s">
        <v>978</v>
      </c>
      <c r="B648" s="46" t="s">
        <v>271</v>
      </c>
      <c r="C648" s="39" t="s">
        <v>930</v>
      </c>
      <c r="D648" s="142">
        <v>238707474</v>
      </c>
      <c r="E648" s="39" t="s">
        <v>256</v>
      </c>
      <c r="F648" s="81">
        <v>33279</v>
      </c>
      <c r="G648" s="105" t="str">
        <f t="shared" si="20"/>
        <v>Feb</v>
      </c>
      <c r="H648" s="51">
        <f t="shared" ca="1" si="21"/>
        <v>25</v>
      </c>
      <c r="I648" s="52" t="s">
        <v>257</v>
      </c>
      <c r="J648" s="53">
        <v>24200</v>
      </c>
      <c r="K648" s="54">
        <v>5</v>
      </c>
    </row>
    <row r="649" spans="1:11" hidden="1">
      <c r="A649" s="39" t="s">
        <v>1012</v>
      </c>
      <c r="B649" s="46" t="s">
        <v>285</v>
      </c>
      <c r="C649" s="39" t="s">
        <v>930</v>
      </c>
      <c r="D649" s="142">
        <v>996832302</v>
      </c>
      <c r="E649" s="39" t="s">
        <v>261</v>
      </c>
      <c r="F649" s="81">
        <v>34005</v>
      </c>
      <c r="G649" s="105" t="str">
        <f t="shared" si="20"/>
        <v>Feb</v>
      </c>
      <c r="H649" s="51">
        <f t="shared" ca="1" si="21"/>
        <v>23</v>
      </c>
      <c r="I649" s="52" t="s">
        <v>257</v>
      </c>
      <c r="J649" s="53">
        <v>19935</v>
      </c>
      <c r="K649" s="54">
        <v>1</v>
      </c>
    </row>
    <row r="650" spans="1:11" hidden="1">
      <c r="A650" s="39" t="s">
        <v>966</v>
      </c>
      <c r="B650" s="46" t="s">
        <v>285</v>
      </c>
      <c r="C650" s="39" t="s">
        <v>930</v>
      </c>
      <c r="D650" s="142">
        <v>129378102</v>
      </c>
      <c r="E650" s="39" t="s">
        <v>261</v>
      </c>
      <c r="F650" s="81">
        <v>35466</v>
      </c>
      <c r="G650" s="105" t="str">
        <f t="shared" si="20"/>
        <v>Feb</v>
      </c>
      <c r="H650" s="51">
        <f t="shared" ca="1" si="21"/>
        <v>19</v>
      </c>
      <c r="I650" s="52" t="s">
        <v>262</v>
      </c>
      <c r="J650" s="53">
        <v>37660</v>
      </c>
      <c r="K650" s="54">
        <v>4</v>
      </c>
    </row>
    <row r="651" spans="1:11" hidden="1">
      <c r="A651" s="39" t="s">
        <v>934</v>
      </c>
      <c r="B651" s="46" t="s">
        <v>245</v>
      </c>
      <c r="C651" s="39" t="s">
        <v>930</v>
      </c>
      <c r="D651" s="142">
        <v>128951509</v>
      </c>
      <c r="E651" s="39" t="s">
        <v>247</v>
      </c>
      <c r="F651" s="81">
        <v>36193</v>
      </c>
      <c r="G651" s="105" t="str">
        <f t="shared" si="20"/>
        <v>Feb</v>
      </c>
      <c r="H651" s="51">
        <f t="shared" ca="1" si="21"/>
        <v>17</v>
      </c>
      <c r="I651" s="52"/>
      <c r="J651" s="53">
        <v>58250</v>
      </c>
      <c r="K651" s="54">
        <v>2</v>
      </c>
    </row>
    <row r="652" spans="1:11" hidden="1">
      <c r="A652" s="39" t="s">
        <v>949</v>
      </c>
      <c r="B652" s="46" t="s">
        <v>285</v>
      </c>
      <c r="C652" s="39" t="s">
        <v>930</v>
      </c>
      <c r="D652" s="142">
        <v>218107434</v>
      </c>
      <c r="E652" s="39" t="s">
        <v>247</v>
      </c>
      <c r="F652" s="81">
        <v>40235</v>
      </c>
      <c r="G652" s="105" t="str">
        <f t="shared" si="20"/>
        <v>Feb</v>
      </c>
      <c r="H652" s="51">
        <f t="shared" ca="1" si="21"/>
        <v>6</v>
      </c>
      <c r="I652" s="52"/>
      <c r="J652" s="53">
        <v>80729</v>
      </c>
      <c r="K652" s="54">
        <v>3</v>
      </c>
    </row>
    <row r="653" spans="1:11" hidden="1">
      <c r="A653" s="39" t="s">
        <v>980</v>
      </c>
      <c r="B653" s="46" t="s">
        <v>285</v>
      </c>
      <c r="C653" s="39" t="s">
        <v>930</v>
      </c>
      <c r="D653" s="142">
        <v>499586882</v>
      </c>
      <c r="E653" s="39" t="s">
        <v>256</v>
      </c>
      <c r="F653" s="81">
        <v>33681</v>
      </c>
      <c r="G653" s="105" t="str">
        <f t="shared" si="20"/>
        <v>Mar</v>
      </c>
      <c r="H653" s="51">
        <f t="shared" ca="1" si="21"/>
        <v>24</v>
      </c>
      <c r="I653" s="52" t="s">
        <v>262</v>
      </c>
      <c r="J653" s="53">
        <v>46550</v>
      </c>
      <c r="K653" s="54">
        <v>4</v>
      </c>
    </row>
    <row r="654" spans="1:11">
      <c r="A654" s="39" t="s">
        <v>987</v>
      </c>
      <c r="B654" s="46" t="s">
        <v>271</v>
      </c>
      <c r="C654" s="39" t="s">
        <v>930</v>
      </c>
      <c r="D654" s="142">
        <v>464496425</v>
      </c>
      <c r="E654" s="39" t="s">
        <v>261</v>
      </c>
      <c r="F654" s="81">
        <v>34042</v>
      </c>
      <c r="G654" s="105" t="str">
        <f t="shared" si="20"/>
        <v>Mar</v>
      </c>
      <c r="H654" s="51">
        <f t="shared" ca="1" si="21"/>
        <v>23</v>
      </c>
      <c r="I654" s="52" t="s">
        <v>267</v>
      </c>
      <c r="J654" s="53">
        <v>27710</v>
      </c>
      <c r="K654" s="54">
        <v>3</v>
      </c>
    </row>
    <row r="655" spans="1:11" hidden="1">
      <c r="A655" s="39" t="s">
        <v>1000</v>
      </c>
      <c r="B655" s="46" t="s">
        <v>285</v>
      </c>
      <c r="C655" s="39" t="s">
        <v>930</v>
      </c>
      <c r="D655" s="142">
        <v>478066038</v>
      </c>
      <c r="E655" s="39" t="s">
        <v>256</v>
      </c>
      <c r="F655" s="81">
        <v>35137</v>
      </c>
      <c r="G655" s="105" t="str">
        <f t="shared" si="20"/>
        <v>Mar</v>
      </c>
      <c r="H655" s="51">
        <f t="shared" ca="1" si="21"/>
        <v>20</v>
      </c>
      <c r="I655" s="52" t="s">
        <v>283</v>
      </c>
      <c r="J655" s="53">
        <v>33590</v>
      </c>
      <c r="K655" s="54">
        <v>5</v>
      </c>
    </row>
    <row r="656" spans="1:11" hidden="1">
      <c r="A656" s="39" t="s">
        <v>977</v>
      </c>
      <c r="B656" s="46" t="s">
        <v>245</v>
      </c>
      <c r="C656" s="39" t="s">
        <v>930</v>
      </c>
      <c r="D656" s="142">
        <v>843377360</v>
      </c>
      <c r="E656" s="39" t="s">
        <v>261</v>
      </c>
      <c r="F656" s="81">
        <v>35518</v>
      </c>
      <c r="G656" s="105" t="str">
        <f t="shared" si="20"/>
        <v>Mar</v>
      </c>
      <c r="H656" s="51">
        <f t="shared" ca="1" si="21"/>
        <v>19</v>
      </c>
      <c r="I656" s="52" t="s">
        <v>262</v>
      </c>
      <c r="J656" s="53">
        <v>13690</v>
      </c>
      <c r="K656" s="54">
        <v>5</v>
      </c>
    </row>
    <row r="657" spans="1:11" hidden="1">
      <c r="A657" s="39" t="s">
        <v>996</v>
      </c>
      <c r="B657" s="46" t="s">
        <v>280</v>
      </c>
      <c r="C657" s="39" t="s">
        <v>930</v>
      </c>
      <c r="D657" s="142">
        <v>903395858</v>
      </c>
      <c r="E657" s="39" t="s">
        <v>256</v>
      </c>
      <c r="F657" s="81">
        <v>36243</v>
      </c>
      <c r="G657" s="105" t="str">
        <f t="shared" si="20"/>
        <v>Mar</v>
      </c>
      <c r="H657" s="51">
        <f t="shared" ca="1" si="21"/>
        <v>17</v>
      </c>
      <c r="I657" s="52" t="s">
        <v>276</v>
      </c>
      <c r="J657" s="53">
        <v>77680</v>
      </c>
      <c r="K657" s="54">
        <v>3</v>
      </c>
    </row>
    <row r="658" spans="1:11" hidden="1">
      <c r="A658" s="39" t="s">
        <v>945</v>
      </c>
      <c r="B658" s="46" t="s">
        <v>285</v>
      </c>
      <c r="C658" s="39" t="s">
        <v>930</v>
      </c>
      <c r="D658" s="142">
        <v>842823697</v>
      </c>
      <c r="E658" s="39" t="s">
        <v>256</v>
      </c>
      <c r="F658" s="81">
        <v>36956</v>
      </c>
      <c r="G658" s="105" t="str">
        <f t="shared" si="20"/>
        <v>Mar</v>
      </c>
      <c r="H658" s="51">
        <f t="shared" ca="1" si="21"/>
        <v>15</v>
      </c>
      <c r="I658" s="52" t="s">
        <v>276</v>
      </c>
      <c r="J658" s="53">
        <v>49930</v>
      </c>
      <c r="K658" s="54">
        <v>1</v>
      </c>
    </row>
    <row r="659" spans="1:11" hidden="1">
      <c r="A659" s="39" t="s">
        <v>958</v>
      </c>
      <c r="B659" s="46" t="s">
        <v>285</v>
      </c>
      <c r="C659" s="39" t="s">
        <v>930</v>
      </c>
      <c r="D659" s="142">
        <v>566753458</v>
      </c>
      <c r="E659" s="39" t="s">
        <v>256</v>
      </c>
      <c r="F659" s="81">
        <v>36967</v>
      </c>
      <c r="G659" s="105" t="str">
        <f t="shared" si="20"/>
        <v>Mar</v>
      </c>
      <c r="H659" s="51">
        <f t="shared" ca="1" si="21"/>
        <v>15</v>
      </c>
      <c r="I659" s="52" t="s">
        <v>257</v>
      </c>
      <c r="J659" s="53">
        <v>63060</v>
      </c>
      <c r="K659" s="54">
        <v>4</v>
      </c>
    </row>
    <row r="660" spans="1:11" hidden="1">
      <c r="A660" s="39" t="s">
        <v>967</v>
      </c>
      <c r="B660" s="46" t="s">
        <v>280</v>
      </c>
      <c r="C660" s="39" t="s">
        <v>930</v>
      </c>
      <c r="D660" s="142">
        <v>569148272</v>
      </c>
      <c r="E660" s="39" t="s">
        <v>247</v>
      </c>
      <c r="F660" s="81">
        <v>38438</v>
      </c>
      <c r="G660" s="105" t="str">
        <f t="shared" si="20"/>
        <v>Mar</v>
      </c>
      <c r="H660" s="51">
        <f t="shared" ca="1" si="21"/>
        <v>11</v>
      </c>
      <c r="I660" s="52"/>
      <c r="J660" s="53">
        <v>32880</v>
      </c>
      <c r="K660" s="54">
        <v>3</v>
      </c>
    </row>
    <row r="661" spans="1:11" hidden="1">
      <c r="A661" s="39" t="s">
        <v>993</v>
      </c>
      <c r="B661" s="46" t="s">
        <v>280</v>
      </c>
      <c r="C661" s="39" t="s">
        <v>930</v>
      </c>
      <c r="D661" s="142">
        <v>474191337</v>
      </c>
      <c r="E661" s="39" t="s">
        <v>256</v>
      </c>
      <c r="F661" s="81">
        <v>39171</v>
      </c>
      <c r="G661" s="105" t="str">
        <f t="shared" si="20"/>
        <v>Mar</v>
      </c>
      <c r="H661" s="51">
        <f t="shared" ca="1" si="21"/>
        <v>9</v>
      </c>
      <c r="I661" s="52" t="s">
        <v>267</v>
      </c>
      <c r="J661" s="53">
        <v>25690</v>
      </c>
      <c r="K661" s="54">
        <v>2</v>
      </c>
    </row>
    <row r="662" spans="1:11" hidden="1">
      <c r="A662" s="39" t="s">
        <v>1023</v>
      </c>
      <c r="B662" s="46" t="s">
        <v>280</v>
      </c>
      <c r="C662" s="39" t="s">
        <v>930</v>
      </c>
      <c r="D662" s="142">
        <v>124048112</v>
      </c>
      <c r="E662" s="39" t="s">
        <v>261</v>
      </c>
      <c r="F662" s="81">
        <v>39535</v>
      </c>
      <c r="G662" s="105" t="str">
        <f t="shared" si="20"/>
        <v>Mar</v>
      </c>
      <c r="H662" s="51">
        <f t="shared" ca="1" si="21"/>
        <v>8</v>
      </c>
      <c r="I662" s="52" t="s">
        <v>276</v>
      </c>
      <c r="J662" s="53">
        <v>49080</v>
      </c>
      <c r="K662" s="54">
        <v>5</v>
      </c>
    </row>
    <row r="663" spans="1:11">
      <c r="A663" s="39" t="s">
        <v>1004</v>
      </c>
      <c r="B663" s="46" t="s">
        <v>271</v>
      </c>
      <c r="C663" s="39" t="s">
        <v>930</v>
      </c>
      <c r="D663" s="142">
        <v>874943723</v>
      </c>
      <c r="E663" s="39" t="s">
        <v>256</v>
      </c>
      <c r="F663" s="81">
        <v>34425</v>
      </c>
      <c r="G663" s="105" t="str">
        <f t="shared" si="20"/>
        <v>Apr</v>
      </c>
      <c r="H663" s="51">
        <f t="shared" ca="1" si="21"/>
        <v>22</v>
      </c>
      <c r="I663" s="52" t="s">
        <v>283</v>
      </c>
      <c r="J663" s="53">
        <v>73850</v>
      </c>
      <c r="K663" s="54">
        <v>2</v>
      </c>
    </row>
    <row r="664" spans="1:11" hidden="1">
      <c r="A664" s="39" t="s">
        <v>1020</v>
      </c>
      <c r="B664" s="46" t="s">
        <v>285</v>
      </c>
      <c r="C664" s="39" t="s">
        <v>930</v>
      </c>
      <c r="D664" s="142">
        <v>521441612</v>
      </c>
      <c r="E664" s="39" t="s">
        <v>256</v>
      </c>
      <c r="F664" s="81">
        <v>36619</v>
      </c>
      <c r="G664" s="105" t="str">
        <f t="shared" si="20"/>
        <v>Apr</v>
      </c>
      <c r="H664" s="51">
        <f t="shared" ca="1" si="21"/>
        <v>16</v>
      </c>
      <c r="I664" s="52" t="s">
        <v>262</v>
      </c>
      <c r="J664" s="53">
        <v>71970</v>
      </c>
      <c r="K664" s="54">
        <v>4</v>
      </c>
    </row>
    <row r="665" spans="1:11" hidden="1">
      <c r="A665" s="39" t="s">
        <v>998</v>
      </c>
      <c r="B665" s="46" t="s">
        <v>251</v>
      </c>
      <c r="C665" s="39" t="s">
        <v>930</v>
      </c>
      <c r="D665" s="142">
        <v>588691961</v>
      </c>
      <c r="E665" s="39" t="s">
        <v>256</v>
      </c>
      <c r="F665" s="81">
        <v>37009</v>
      </c>
      <c r="G665" s="105" t="str">
        <f t="shared" si="20"/>
        <v>Apr</v>
      </c>
      <c r="H665" s="51">
        <f t="shared" ca="1" si="21"/>
        <v>15</v>
      </c>
      <c r="I665" s="52" t="s">
        <v>283</v>
      </c>
      <c r="J665" s="53">
        <v>78710</v>
      </c>
      <c r="K665" s="54">
        <v>2</v>
      </c>
    </row>
    <row r="666" spans="1:11">
      <c r="A666" s="39" t="s">
        <v>970</v>
      </c>
      <c r="B666" s="46" t="s">
        <v>271</v>
      </c>
      <c r="C666" s="39" t="s">
        <v>930</v>
      </c>
      <c r="D666" s="142">
        <v>884829416</v>
      </c>
      <c r="E666" s="39" t="s">
        <v>256</v>
      </c>
      <c r="F666" s="81">
        <v>40637</v>
      </c>
      <c r="G666" s="105" t="str">
        <f t="shared" si="20"/>
        <v>Apr</v>
      </c>
      <c r="H666" s="51">
        <f t="shared" ca="1" si="21"/>
        <v>5</v>
      </c>
      <c r="I666" s="52" t="s">
        <v>257</v>
      </c>
      <c r="J666" s="53">
        <v>86640</v>
      </c>
      <c r="K666" s="54">
        <v>3</v>
      </c>
    </row>
    <row r="667" spans="1:11" hidden="1">
      <c r="A667" s="39" t="s">
        <v>939</v>
      </c>
      <c r="B667" s="46" t="s">
        <v>251</v>
      </c>
      <c r="C667" s="39" t="s">
        <v>930</v>
      </c>
      <c r="D667" s="142">
        <v>466822677</v>
      </c>
      <c r="E667" s="39" t="s">
        <v>247</v>
      </c>
      <c r="F667" s="103">
        <v>40638</v>
      </c>
      <c r="G667" s="105" t="str">
        <f t="shared" si="20"/>
        <v>Apr</v>
      </c>
      <c r="H667" s="51">
        <f t="shared" ca="1" si="21"/>
        <v>5</v>
      </c>
      <c r="I667" s="52"/>
      <c r="J667" s="53">
        <v>42990</v>
      </c>
      <c r="K667" s="54">
        <v>4</v>
      </c>
    </row>
    <row r="668" spans="1:11" hidden="1">
      <c r="A668" s="39" t="s">
        <v>960</v>
      </c>
      <c r="B668" s="46" t="s">
        <v>285</v>
      </c>
      <c r="C668" s="39" t="s">
        <v>930</v>
      </c>
      <c r="D668" s="142">
        <v>333876050</v>
      </c>
      <c r="E668" s="39" t="s">
        <v>252</v>
      </c>
      <c r="F668" s="81">
        <v>34825</v>
      </c>
      <c r="G668" s="105" t="str">
        <f t="shared" si="20"/>
        <v>May</v>
      </c>
      <c r="H668" s="51">
        <f t="shared" ca="1" si="21"/>
        <v>21</v>
      </c>
      <c r="I668" s="52"/>
      <c r="J668" s="53">
        <v>26944</v>
      </c>
      <c r="K668" s="54">
        <v>4</v>
      </c>
    </row>
    <row r="669" spans="1:11" hidden="1">
      <c r="A669" s="39" t="s">
        <v>1008</v>
      </c>
      <c r="B669" s="46" t="s">
        <v>285</v>
      </c>
      <c r="C669" s="39" t="s">
        <v>930</v>
      </c>
      <c r="D669" s="142">
        <v>283474283</v>
      </c>
      <c r="E669" s="39" t="s">
        <v>252</v>
      </c>
      <c r="F669" s="81">
        <v>35576</v>
      </c>
      <c r="G669" s="105" t="str">
        <f t="shared" si="20"/>
        <v>May</v>
      </c>
      <c r="H669" s="51">
        <f t="shared" ca="1" si="21"/>
        <v>19</v>
      </c>
      <c r="I669" s="52"/>
      <c r="J669" s="53">
        <v>28768</v>
      </c>
      <c r="K669" s="54">
        <v>3</v>
      </c>
    </row>
    <row r="670" spans="1:11" hidden="1">
      <c r="A670" s="39" t="s">
        <v>933</v>
      </c>
      <c r="B670" s="46" t="s">
        <v>285</v>
      </c>
      <c r="C670" s="39" t="s">
        <v>930</v>
      </c>
      <c r="D670" s="142">
        <v>523053808</v>
      </c>
      <c r="E670" s="39" t="s">
        <v>256</v>
      </c>
      <c r="F670" s="81">
        <v>36672</v>
      </c>
      <c r="G670" s="105" t="str">
        <f t="shared" si="20"/>
        <v>May</v>
      </c>
      <c r="H670" s="51">
        <f t="shared" ca="1" si="21"/>
        <v>16</v>
      </c>
      <c r="I670" s="52" t="s">
        <v>262</v>
      </c>
      <c r="J670" s="53">
        <v>65320</v>
      </c>
      <c r="K670" s="54">
        <v>5</v>
      </c>
    </row>
    <row r="671" spans="1:11">
      <c r="A671" s="39" t="s">
        <v>990</v>
      </c>
      <c r="B671" s="46" t="s">
        <v>271</v>
      </c>
      <c r="C671" s="39" t="s">
        <v>930</v>
      </c>
      <c r="D671" s="142">
        <v>999900221</v>
      </c>
      <c r="E671" s="39" t="s">
        <v>256</v>
      </c>
      <c r="F671" s="103">
        <v>40680</v>
      </c>
      <c r="G671" s="105" t="str">
        <f t="shared" si="20"/>
        <v>May</v>
      </c>
      <c r="H671" s="51">
        <f t="shared" ca="1" si="21"/>
        <v>5</v>
      </c>
      <c r="I671" s="52" t="s">
        <v>257</v>
      </c>
      <c r="J671" s="53">
        <v>23030</v>
      </c>
      <c r="K671" s="54">
        <v>4</v>
      </c>
    </row>
    <row r="672" spans="1:11">
      <c r="A672" s="39" t="s">
        <v>1009</v>
      </c>
      <c r="B672" s="46" t="s">
        <v>271</v>
      </c>
      <c r="C672" s="39" t="s">
        <v>930</v>
      </c>
      <c r="D672" s="142">
        <v>934433975</v>
      </c>
      <c r="E672" s="39" t="s">
        <v>256</v>
      </c>
      <c r="F672" s="103">
        <v>40680</v>
      </c>
      <c r="G672" s="105" t="str">
        <f t="shared" si="20"/>
        <v>May</v>
      </c>
      <c r="H672" s="51">
        <f t="shared" ca="1" si="21"/>
        <v>5</v>
      </c>
      <c r="I672" s="52" t="s">
        <v>276</v>
      </c>
      <c r="J672" s="53">
        <v>40260</v>
      </c>
      <c r="K672" s="54">
        <v>5</v>
      </c>
    </row>
    <row r="673" spans="1:11" hidden="1">
      <c r="A673" s="39" t="s">
        <v>962</v>
      </c>
      <c r="B673" s="46" t="s">
        <v>285</v>
      </c>
      <c r="C673" s="39" t="s">
        <v>930</v>
      </c>
      <c r="D673" s="142">
        <v>679496333</v>
      </c>
      <c r="E673" s="39" t="s">
        <v>261</v>
      </c>
      <c r="F673" s="81">
        <v>33391</v>
      </c>
      <c r="G673" s="105" t="str">
        <f t="shared" si="20"/>
        <v>Jun</v>
      </c>
      <c r="H673" s="51">
        <f t="shared" ca="1" si="21"/>
        <v>25</v>
      </c>
      <c r="I673" s="52" t="s">
        <v>283</v>
      </c>
      <c r="J673" s="53">
        <v>13455</v>
      </c>
      <c r="K673" s="54">
        <v>2</v>
      </c>
    </row>
    <row r="674" spans="1:11" hidden="1">
      <c r="A674" s="39" t="s">
        <v>989</v>
      </c>
      <c r="B674" s="46" t="s">
        <v>245</v>
      </c>
      <c r="C674" s="39" t="s">
        <v>930</v>
      </c>
      <c r="D674" s="142">
        <v>653749368</v>
      </c>
      <c r="E674" s="39" t="s">
        <v>247</v>
      </c>
      <c r="F674" s="81">
        <v>33401</v>
      </c>
      <c r="G674" s="105" t="str">
        <f t="shared" si="20"/>
        <v>Jun</v>
      </c>
      <c r="H674" s="51">
        <f t="shared" ca="1" si="21"/>
        <v>25</v>
      </c>
      <c r="I674" s="52"/>
      <c r="J674" s="53">
        <v>34680</v>
      </c>
      <c r="K674" s="54">
        <v>5</v>
      </c>
    </row>
    <row r="675" spans="1:11" hidden="1">
      <c r="A675" s="39" t="s">
        <v>994</v>
      </c>
      <c r="B675" s="46" t="s">
        <v>280</v>
      </c>
      <c r="C675" s="39" t="s">
        <v>930</v>
      </c>
      <c r="D675" s="142">
        <v>961374801</v>
      </c>
      <c r="E675" s="39" t="s">
        <v>247</v>
      </c>
      <c r="F675" s="81">
        <v>33413</v>
      </c>
      <c r="G675" s="105" t="str">
        <f t="shared" si="20"/>
        <v>Jun</v>
      </c>
      <c r="H675" s="51">
        <f t="shared" ca="1" si="21"/>
        <v>25</v>
      </c>
      <c r="I675" s="52"/>
      <c r="J675" s="53">
        <v>26020</v>
      </c>
      <c r="K675" s="54">
        <v>5</v>
      </c>
    </row>
    <row r="676" spans="1:11" hidden="1">
      <c r="A676" s="39" t="s">
        <v>988</v>
      </c>
      <c r="B676" s="46" t="s">
        <v>285</v>
      </c>
      <c r="C676" s="39" t="s">
        <v>930</v>
      </c>
      <c r="D676" s="142">
        <v>232411697</v>
      </c>
      <c r="E676" s="39" t="s">
        <v>247</v>
      </c>
      <c r="F676" s="81">
        <v>34126</v>
      </c>
      <c r="G676" s="105" t="str">
        <f t="shared" si="20"/>
        <v>Jun</v>
      </c>
      <c r="H676" s="51">
        <f t="shared" ca="1" si="21"/>
        <v>23</v>
      </c>
      <c r="I676" s="52"/>
      <c r="J676" s="53">
        <v>75550</v>
      </c>
      <c r="K676" s="54">
        <v>3</v>
      </c>
    </row>
    <row r="677" spans="1:11" hidden="1">
      <c r="A677" s="39" t="s">
        <v>1015</v>
      </c>
      <c r="B677" s="46" t="s">
        <v>280</v>
      </c>
      <c r="C677" s="39" t="s">
        <v>930</v>
      </c>
      <c r="D677" s="142">
        <v>143482152</v>
      </c>
      <c r="E677" s="39" t="s">
        <v>247</v>
      </c>
      <c r="F677" s="81">
        <v>34135</v>
      </c>
      <c r="G677" s="105" t="str">
        <f t="shared" si="20"/>
        <v>Jun</v>
      </c>
      <c r="H677" s="51">
        <f t="shared" ca="1" si="21"/>
        <v>23</v>
      </c>
      <c r="I677" s="52"/>
      <c r="J677" s="53">
        <v>78590</v>
      </c>
      <c r="K677" s="54">
        <v>1</v>
      </c>
    </row>
    <row r="678" spans="1:11" hidden="1">
      <c r="A678" s="39" t="s">
        <v>948</v>
      </c>
      <c r="B678" s="46" t="s">
        <v>285</v>
      </c>
      <c r="C678" s="39" t="s">
        <v>930</v>
      </c>
      <c r="D678" s="142">
        <v>194299463</v>
      </c>
      <c r="E678" s="39" t="s">
        <v>261</v>
      </c>
      <c r="F678" s="81">
        <v>34140</v>
      </c>
      <c r="G678" s="105" t="str">
        <f t="shared" si="20"/>
        <v>Jun</v>
      </c>
      <c r="H678" s="51">
        <f t="shared" ca="1" si="21"/>
        <v>23</v>
      </c>
      <c r="I678" s="52" t="s">
        <v>276</v>
      </c>
      <c r="J678" s="53">
        <v>11230</v>
      </c>
      <c r="K678" s="54">
        <v>4</v>
      </c>
    </row>
    <row r="679" spans="1:11">
      <c r="A679" s="39" t="s">
        <v>1010</v>
      </c>
      <c r="B679" s="46" t="s">
        <v>271</v>
      </c>
      <c r="C679" s="39" t="s">
        <v>930</v>
      </c>
      <c r="D679" s="142">
        <v>541855317</v>
      </c>
      <c r="E679" s="39" t="s">
        <v>256</v>
      </c>
      <c r="F679" s="81">
        <v>36330</v>
      </c>
      <c r="G679" s="105" t="str">
        <f t="shared" si="20"/>
        <v>Jun</v>
      </c>
      <c r="H679" s="51">
        <f t="shared" ca="1" si="21"/>
        <v>17</v>
      </c>
      <c r="I679" s="52" t="s">
        <v>276</v>
      </c>
      <c r="J679" s="53">
        <v>61850</v>
      </c>
      <c r="K679" s="54">
        <v>2</v>
      </c>
    </row>
    <row r="680" spans="1:11" hidden="1">
      <c r="A680" s="39" t="s">
        <v>972</v>
      </c>
      <c r="B680" s="46" t="s">
        <v>266</v>
      </c>
      <c r="C680" s="39" t="s">
        <v>930</v>
      </c>
      <c r="D680" s="142">
        <v>686263677</v>
      </c>
      <c r="E680" s="39" t="s">
        <v>247</v>
      </c>
      <c r="F680" s="81">
        <v>37065</v>
      </c>
      <c r="G680" s="105" t="str">
        <f t="shared" si="20"/>
        <v>Jun</v>
      </c>
      <c r="H680" s="51">
        <f t="shared" ca="1" si="21"/>
        <v>15</v>
      </c>
      <c r="I680" s="52"/>
      <c r="J680" s="53">
        <v>77136</v>
      </c>
      <c r="K680" s="54">
        <v>5</v>
      </c>
    </row>
    <row r="681" spans="1:11" hidden="1">
      <c r="A681" s="39" t="s">
        <v>951</v>
      </c>
      <c r="B681" s="46" t="s">
        <v>245</v>
      </c>
      <c r="C681" s="39" t="s">
        <v>930</v>
      </c>
      <c r="D681" s="142">
        <v>815820999</v>
      </c>
      <c r="E681" s="39" t="s">
        <v>256</v>
      </c>
      <c r="F681" s="81">
        <v>39602</v>
      </c>
      <c r="G681" s="105" t="str">
        <f t="shared" si="20"/>
        <v>Jun</v>
      </c>
      <c r="H681" s="51">
        <f t="shared" ca="1" si="21"/>
        <v>8</v>
      </c>
      <c r="I681" s="52" t="s">
        <v>257</v>
      </c>
      <c r="J681" s="53">
        <v>79380</v>
      </c>
      <c r="K681" s="54">
        <v>5</v>
      </c>
    </row>
    <row r="682" spans="1:11" hidden="1">
      <c r="A682" s="39" t="s">
        <v>941</v>
      </c>
      <c r="B682" s="46" t="s">
        <v>266</v>
      </c>
      <c r="C682" s="39" t="s">
        <v>930</v>
      </c>
      <c r="D682" s="142">
        <v>458108885</v>
      </c>
      <c r="E682" s="39" t="s">
        <v>247</v>
      </c>
      <c r="F682" s="109">
        <v>40334</v>
      </c>
      <c r="G682" s="105" t="str">
        <f t="shared" si="20"/>
        <v>Jun</v>
      </c>
      <c r="H682" s="51">
        <f t="shared" ca="1" si="21"/>
        <v>6</v>
      </c>
      <c r="I682" s="52"/>
      <c r="J682" s="53">
        <v>47280</v>
      </c>
      <c r="K682" s="54">
        <v>1</v>
      </c>
    </row>
    <row r="683" spans="1:11" hidden="1">
      <c r="A683" s="39" t="s">
        <v>936</v>
      </c>
      <c r="B683" s="46" t="s">
        <v>245</v>
      </c>
      <c r="C683" s="39" t="s">
        <v>930</v>
      </c>
      <c r="D683" s="142">
        <v>896441339</v>
      </c>
      <c r="E683" s="39" t="s">
        <v>247</v>
      </c>
      <c r="F683" s="81">
        <v>33789</v>
      </c>
      <c r="G683" s="105" t="str">
        <f t="shared" si="20"/>
        <v>Jul</v>
      </c>
      <c r="H683" s="51">
        <f t="shared" ca="1" si="21"/>
        <v>24</v>
      </c>
      <c r="I683" s="52"/>
      <c r="J683" s="53">
        <v>59128</v>
      </c>
      <c r="K683" s="54">
        <v>4</v>
      </c>
    </row>
    <row r="684" spans="1:11">
      <c r="A684" s="39" t="s">
        <v>947</v>
      </c>
      <c r="B684" s="46" t="s">
        <v>271</v>
      </c>
      <c r="C684" s="39" t="s">
        <v>930</v>
      </c>
      <c r="D684" s="142">
        <v>961967570</v>
      </c>
      <c r="E684" s="39" t="s">
        <v>256</v>
      </c>
      <c r="F684" s="81">
        <v>33806</v>
      </c>
      <c r="G684" s="105" t="str">
        <f t="shared" si="20"/>
        <v>Jul</v>
      </c>
      <c r="H684" s="51">
        <f t="shared" ca="1" si="21"/>
        <v>24</v>
      </c>
      <c r="I684" s="52" t="s">
        <v>262</v>
      </c>
      <c r="J684" s="53">
        <v>62780</v>
      </c>
      <c r="K684" s="54">
        <v>3</v>
      </c>
    </row>
    <row r="685" spans="1:11">
      <c r="A685" s="39" t="s">
        <v>969</v>
      </c>
      <c r="B685" s="46" t="s">
        <v>271</v>
      </c>
      <c r="C685" s="39" t="s">
        <v>930</v>
      </c>
      <c r="D685" s="142">
        <v>276310585</v>
      </c>
      <c r="E685" s="39" t="s">
        <v>261</v>
      </c>
      <c r="F685" s="81">
        <v>34154</v>
      </c>
      <c r="G685" s="105" t="str">
        <f t="shared" si="20"/>
        <v>Jul</v>
      </c>
      <c r="H685" s="51">
        <f t="shared" ca="1" si="21"/>
        <v>23</v>
      </c>
      <c r="I685" s="52" t="s">
        <v>257</v>
      </c>
      <c r="J685" s="53">
        <v>49545</v>
      </c>
      <c r="K685" s="54">
        <v>2</v>
      </c>
    </row>
    <row r="686" spans="1:11" hidden="1">
      <c r="A686" s="39" t="s">
        <v>935</v>
      </c>
      <c r="B686" s="46" t="s">
        <v>280</v>
      </c>
      <c r="C686" s="39" t="s">
        <v>930</v>
      </c>
      <c r="D686" s="142">
        <v>803179564</v>
      </c>
      <c r="E686" s="39" t="s">
        <v>247</v>
      </c>
      <c r="F686" s="81">
        <v>34159</v>
      </c>
      <c r="G686" s="105" t="str">
        <f t="shared" si="20"/>
        <v>Jul</v>
      </c>
      <c r="H686" s="51">
        <f t="shared" ca="1" si="21"/>
        <v>23</v>
      </c>
      <c r="I686" s="52"/>
      <c r="J686" s="53">
        <v>35240</v>
      </c>
      <c r="K686" s="54">
        <v>3</v>
      </c>
    </row>
    <row r="687" spans="1:11" hidden="1">
      <c r="A687" s="39" t="s">
        <v>938</v>
      </c>
      <c r="B687" s="46" t="s">
        <v>285</v>
      </c>
      <c r="C687" s="39" t="s">
        <v>930</v>
      </c>
      <c r="D687" s="142">
        <v>946315480</v>
      </c>
      <c r="E687" s="39" t="s">
        <v>247</v>
      </c>
      <c r="F687" s="81">
        <v>34534</v>
      </c>
      <c r="G687" s="105" t="str">
        <f t="shared" si="20"/>
        <v>Jul</v>
      </c>
      <c r="H687" s="51">
        <f t="shared" ca="1" si="21"/>
        <v>22</v>
      </c>
      <c r="I687" s="52"/>
      <c r="J687" s="53">
        <v>45105</v>
      </c>
      <c r="K687" s="54">
        <v>1</v>
      </c>
    </row>
    <row r="688" spans="1:11" hidden="1">
      <c r="A688" s="39" t="s">
        <v>937</v>
      </c>
      <c r="B688" s="46" t="s">
        <v>285</v>
      </c>
      <c r="C688" s="39" t="s">
        <v>930</v>
      </c>
      <c r="D688" s="142">
        <v>989418899</v>
      </c>
      <c r="E688" s="39" t="s">
        <v>252</v>
      </c>
      <c r="F688" s="81">
        <v>35247</v>
      </c>
      <c r="G688" s="105" t="str">
        <f t="shared" si="20"/>
        <v>Jul</v>
      </c>
      <c r="H688" s="51">
        <f t="shared" ca="1" si="21"/>
        <v>20</v>
      </c>
      <c r="I688" s="52"/>
      <c r="J688" s="53">
        <v>33752</v>
      </c>
      <c r="K688" s="54">
        <v>3</v>
      </c>
    </row>
    <row r="689" spans="1:11" hidden="1">
      <c r="A689" s="39" t="s">
        <v>964</v>
      </c>
      <c r="B689" s="46" t="s">
        <v>285</v>
      </c>
      <c r="C689" s="39" t="s">
        <v>930</v>
      </c>
      <c r="D689" s="142">
        <v>747807890</v>
      </c>
      <c r="E689" s="39" t="s">
        <v>256</v>
      </c>
      <c r="F689" s="81">
        <v>35276</v>
      </c>
      <c r="G689" s="105" t="str">
        <f t="shared" si="20"/>
        <v>Jul</v>
      </c>
      <c r="H689" s="51">
        <f t="shared" ca="1" si="21"/>
        <v>20</v>
      </c>
      <c r="I689" s="52" t="s">
        <v>257</v>
      </c>
      <c r="J689" s="53">
        <v>58370</v>
      </c>
      <c r="K689" s="54">
        <v>5</v>
      </c>
    </row>
    <row r="690" spans="1:11" hidden="1">
      <c r="A690" s="39" t="s">
        <v>1018</v>
      </c>
      <c r="B690" s="46" t="s">
        <v>285</v>
      </c>
      <c r="C690" s="39" t="s">
        <v>930</v>
      </c>
      <c r="D690" s="142">
        <v>336305232</v>
      </c>
      <c r="E690" s="39" t="s">
        <v>256</v>
      </c>
      <c r="F690" s="81">
        <v>35627</v>
      </c>
      <c r="G690" s="105" t="str">
        <f t="shared" si="20"/>
        <v>Jul</v>
      </c>
      <c r="H690" s="51">
        <f t="shared" ca="1" si="21"/>
        <v>19</v>
      </c>
      <c r="I690" s="52" t="s">
        <v>283</v>
      </c>
      <c r="J690" s="53">
        <v>41380</v>
      </c>
      <c r="K690" s="54">
        <v>2</v>
      </c>
    </row>
    <row r="691" spans="1:11" hidden="1">
      <c r="A691" s="39" t="s">
        <v>997</v>
      </c>
      <c r="B691" s="46" t="s">
        <v>251</v>
      </c>
      <c r="C691" s="39" t="s">
        <v>930</v>
      </c>
      <c r="D691" s="142">
        <v>344858491</v>
      </c>
      <c r="E691" s="39" t="s">
        <v>261</v>
      </c>
      <c r="F691" s="81">
        <v>36365</v>
      </c>
      <c r="G691" s="105" t="str">
        <f t="shared" si="20"/>
        <v>Jul</v>
      </c>
      <c r="H691" s="51">
        <f t="shared" ca="1" si="21"/>
        <v>17</v>
      </c>
      <c r="I691" s="52" t="s">
        <v>267</v>
      </c>
      <c r="J691" s="53">
        <v>19825</v>
      </c>
      <c r="K691" s="54">
        <v>2</v>
      </c>
    </row>
    <row r="692" spans="1:11">
      <c r="A692" s="39" t="s">
        <v>975</v>
      </c>
      <c r="B692" s="46" t="s">
        <v>271</v>
      </c>
      <c r="C692" s="39" t="s">
        <v>930</v>
      </c>
      <c r="D692" s="142">
        <v>901143208</v>
      </c>
      <c r="E692" s="39" t="s">
        <v>247</v>
      </c>
      <c r="F692" s="108">
        <v>37099</v>
      </c>
      <c r="G692" s="105" t="str">
        <f t="shared" si="20"/>
        <v>Jul</v>
      </c>
      <c r="H692" s="51">
        <f t="shared" ca="1" si="21"/>
        <v>15</v>
      </c>
      <c r="I692" s="52"/>
      <c r="J692" s="53">
        <v>28270</v>
      </c>
      <c r="K692" s="54">
        <v>5</v>
      </c>
    </row>
    <row r="693" spans="1:11" hidden="1">
      <c r="A693" s="39" t="s">
        <v>1005</v>
      </c>
      <c r="B693" s="46" t="s">
        <v>266</v>
      </c>
      <c r="C693" s="39" t="s">
        <v>930</v>
      </c>
      <c r="D693" s="142">
        <v>128842689</v>
      </c>
      <c r="E693" s="39" t="s">
        <v>247</v>
      </c>
      <c r="F693" s="81">
        <v>37453</v>
      </c>
      <c r="G693" s="105" t="str">
        <f t="shared" si="20"/>
        <v>Jul</v>
      </c>
      <c r="H693" s="51">
        <f t="shared" ca="1" si="21"/>
        <v>14</v>
      </c>
      <c r="I693" s="52"/>
      <c r="J693" s="53">
        <v>49090</v>
      </c>
      <c r="K693" s="54">
        <v>4</v>
      </c>
    </row>
    <row r="694" spans="1:11" hidden="1">
      <c r="A694" s="39" t="s">
        <v>946</v>
      </c>
      <c r="B694" s="46" t="s">
        <v>285</v>
      </c>
      <c r="C694" s="39" t="s">
        <v>930</v>
      </c>
      <c r="D694" s="142">
        <v>452101408</v>
      </c>
      <c r="E694" s="39" t="s">
        <v>256</v>
      </c>
      <c r="F694" s="81">
        <v>37810</v>
      </c>
      <c r="G694" s="105" t="str">
        <f t="shared" si="20"/>
        <v>Jul</v>
      </c>
      <c r="H694" s="51">
        <f t="shared" ca="1" si="21"/>
        <v>13</v>
      </c>
      <c r="I694" s="52" t="s">
        <v>283</v>
      </c>
      <c r="J694" s="53">
        <v>48010</v>
      </c>
      <c r="K694" s="54">
        <v>3</v>
      </c>
    </row>
    <row r="695" spans="1:11" hidden="1">
      <c r="A695" s="39" t="s">
        <v>940</v>
      </c>
      <c r="B695" s="46" t="s">
        <v>285</v>
      </c>
      <c r="C695" s="39" t="s">
        <v>930</v>
      </c>
      <c r="D695" s="142">
        <v>564155873</v>
      </c>
      <c r="E695" s="39" t="s">
        <v>256</v>
      </c>
      <c r="F695" s="81">
        <v>39283</v>
      </c>
      <c r="G695" s="105" t="str">
        <f t="shared" si="20"/>
        <v>Jul</v>
      </c>
      <c r="H695" s="51">
        <f t="shared" ca="1" si="21"/>
        <v>9</v>
      </c>
      <c r="I695" s="52" t="s">
        <v>257</v>
      </c>
      <c r="J695" s="53">
        <v>24980</v>
      </c>
      <c r="K695" s="54">
        <v>3</v>
      </c>
    </row>
    <row r="696" spans="1:11">
      <c r="A696" s="39" t="s">
        <v>1021</v>
      </c>
      <c r="B696" s="46" t="s">
        <v>271</v>
      </c>
      <c r="C696" s="39" t="s">
        <v>930</v>
      </c>
      <c r="D696" s="142">
        <v>992878584</v>
      </c>
      <c r="E696" s="39" t="s">
        <v>256</v>
      </c>
      <c r="F696" s="81">
        <v>40018</v>
      </c>
      <c r="G696" s="105" t="str">
        <f t="shared" si="20"/>
        <v>Jul</v>
      </c>
      <c r="H696" s="51">
        <f t="shared" ca="1" si="21"/>
        <v>7</v>
      </c>
      <c r="I696" s="52" t="s">
        <v>283</v>
      </c>
      <c r="J696" s="53">
        <v>34990</v>
      </c>
      <c r="K696" s="54">
        <v>3</v>
      </c>
    </row>
    <row r="697" spans="1:11" hidden="1">
      <c r="A697" s="39" t="s">
        <v>1013</v>
      </c>
      <c r="B697" s="46" t="s">
        <v>245</v>
      </c>
      <c r="C697" s="39" t="s">
        <v>930</v>
      </c>
      <c r="D697" s="142">
        <v>980462833</v>
      </c>
      <c r="E697" s="39" t="s">
        <v>247</v>
      </c>
      <c r="F697" s="81">
        <v>33820</v>
      </c>
      <c r="G697" s="105" t="str">
        <f t="shared" si="20"/>
        <v>Aug</v>
      </c>
      <c r="H697" s="51">
        <f t="shared" ca="1" si="21"/>
        <v>24</v>
      </c>
      <c r="I697" s="52"/>
      <c r="J697" s="53">
        <v>70300</v>
      </c>
      <c r="K697" s="54">
        <v>3</v>
      </c>
    </row>
    <row r="698" spans="1:11" hidden="1">
      <c r="A698" s="39" t="s">
        <v>992</v>
      </c>
      <c r="B698" s="46" t="s">
        <v>280</v>
      </c>
      <c r="C698" s="39" t="s">
        <v>930</v>
      </c>
      <c r="D698" s="142">
        <v>561353896</v>
      </c>
      <c r="E698" s="39" t="s">
        <v>247</v>
      </c>
      <c r="F698" s="81">
        <v>35280</v>
      </c>
      <c r="G698" s="105" t="str">
        <f t="shared" si="20"/>
        <v>Aug</v>
      </c>
      <c r="H698" s="51">
        <f t="shared" ca="1" si="21"/>
        <v>20</v>
      </c>
      <c r="I698" s="52"/>
      <c r="J698" s="53">
        <v>41770</v>
      </c>
      <c r="K698" s="54">
        <v>5</v>
      </c>
    </row>
    <row r="699" spans="1:11" hidden="1">
      <c r="A699" s="39" t="s">
        <v>932</v>
      </c>
      <c r="B699" s="46" t="s">
        <v>266</v>
      </c>
      <c r="C699" s="39" t="s">
        <v>930</v>
      </c>
      <c r="D699" s="142">
        <v>624119296</v>
      </c>
      <c r="E699" s="39" t="s">
        <v>261</v>
      </c>
      <c r="F699" s="81">
        <v>35297</v>
      </c>
      <c r="G699" s="105" t="str">
        <f t="shared" si="20"/>
        <v>Aug</v>
      </c>
      <c r="H699" s="51">
        <f t="shared" ca="1" si="21"/>
        <v>20</v>
      </c>
      <c r="I699" s="52" t="s">
        <v>283</v>
      </c>
      <c r="J699" s="53">
        <v>38105</v>
      </c>
      <c r="K699" s="54">
        <v>2</v>
      </c>
    </row>
    <row r="700" spans="1:11" hidden="1">
      <c r="A700" s="39" t="s">
        <v>1022</v>
      </c>
      <c r="B700" s="46" t="s">
        <v>251</v>
      </c>
      <c r="C700" s="39" t="s">
        <v>930</v>
      </c>
      <c r="D700" s="142">
        <v>229319911</v>
      </c>
      <c r="E700" s="39" t="s">
        <v>256</v>
      </c>
      <c r="F700" s="81">
        <v>35307</v>
      </c>
      <c r="G700" s="105" t="str">
        <f t="shared" si="20"/>
        <v>Aug</v>
      </c>
      <c r="H700" s="51">
        <f t="shared" ca="1" si="21"/>
        <v>20</v>
      </c>
      <c r="I700" s="52" t="s">
        <v>257</v>
      </c>
      <c r="J700" s="53">
        <v>31690</v>
      </c>
      <c r="K700" s="54">
        <v>4</v>
      </c>
    </row>
    <row r="701" spans="1:11" hidden="1">
      <c r="A701" s="39" t="s">
        <v>943</v>
      </c>
      <c r="B701" s="46" t="s">
        <v>285</v>
      </c>
      <c r="C701" s="39" t="s">
        <v>930</v>
      </c>
      <c r="D701" s="142">
        <v>353614971</v>
      </c>
      <c r="E701" s="39" t="s">
        <v>256</v>
      </c>
      <c r="F701" s="81">
        <v>36025</v>
      </c>
      <c r="G701" s="105" t="str">
        <f t="shared" si="20"/>
        <v>Aug</v>
      </c>
      <c r="H701" s="51">
        <f t="shared" ca="1" si="21"/>
        <v>18</v>
      </c>
      <c r="I701" s="52" t="s">
        <v>262</v>
      </c>
      <c r="J701" s="53">
        <v>64470</v>
      </c>
      <c r="K701" s="54">
        <v>5</v>
      </c>
    </row>
    <row r="702" spans="1:11" hidden="1">
      <c r="A702" s="39" t="s">
        <v>991</v>
      </c>
      <c r="B702" s="46" t="s">
        <v>251</v>
      </c>
      <c r="C702" s="39" t="s">
        <v>930</v>
      </c>
      <c r="D702" s="142">
        <v>882546758</v>
      </c>
      <c r="E702" s="39" t="s">
        <v>256</v>
      </c>
      <c r="F702" s="81">
        <v>37495</v>
      </c>
      <c r="G702" s="105" t="str">
        <f t="shared" si="20"/>
        <v>Aug</v>
      </c>
      <c r="H702" s="51">
        <f t="shared" ca="1" si="21"/>
        <v>14</v>
      </c>
      <c r="I702" s="52" t="s">
        <v>276</v>
      </c>
      <c r="J702" s="53">
        <v>60300</v>
      </c>
      <c r="K702" s="54">
        <v>2</v>
      </c>
    </row>
    <row r="703" spans="1:11" hidden="1">
      <c r="A703" s="39" t="s">
        <v>1001</v>
      </c>
      <c r="B703" s="46" t="s">
        <v>280</v>
      </c>
      <c r="C703" s="39" t="s">
        <v>930</v>
      </c>
      <c r="D703" s="142">
        <v>681238825</v>
      </c>
      <c r="E703" s="39" t="s">
        <v>256</v>
      </c>
      <c r="F703" s="81">
        <v>39679</v>
      </c>
      <c r="G703" s="105" t="str">
        <f t="shared" si="20"/>
        <v>Aug</v>
      </c>
      <c r="H703" s="51">
        <f t="shared" ca="1" si="21"/>
        <v>8</v>
      </c>
      <c r="I703" s="52" t="s">
        <v>257</v>
      </c>
      <c r="J703" s="53">
        <v>22820</v>
      </c>
      <c r="K703" s="54">
        <v>5</v>
      </c>
    </row>
    <row r="704" spans="1:11" hidden="1">
      <c r="A704" s="39" t="s">
        <v>953</v>
      </c>
      <c r="B704" s="46" t="s">
        <v>285</v>
      </c>
      <c r="C704" s="39" t="s">
        <v>930</v>
      </c>
      <c r="D704" s="142">
        <v>930510500</v>
      </c>
      <c r="E704" s="39" t="s">
        <v>247</v>
      </c>
      <c r="F704" s="81">
        <v>33144</v>
      </c>
      <c r="G704" s="105" t="str">
        <f t="shared" si="20"/>
        <v>Sep</v>
      </c>
      <c r="H704" s="51">
        <f t="shared" ca="1" si="21"/>
        <v>26</v>
      </c>
      <c r="I704" s="52"/>
      <c r="J704" s="53">
        <v>23340</v>
      </c>
      <c r="K704" s="54">
        <v>4</v>
      </c>
    </row>
    <row r="705" spans="1:11" hidden="1">
      <c r="A705" s="39" t="s">
        <v>957</v>
      </c>
      <c r="B705" s="46" t="s">
        <v>285</v>
      </c>
      <c r="C705" s="39" t="s">
        <v>930</v>
      </c>
      <c r="D705" s="142">
        <v>228046358</v>
      </c>
      <c r="E705" s="39" t="s">
        <v>247</v>
      </c>
      <c r="F705" s="81">
        <v>33495</v>
      </c>
      <c r="G705" s="105" t="str">
        <f t="shared" si="20"/>
        <v>Sep</v>
      </c>
      <c r="H705" s="51">
        <f t="shared" ca="1" si="21"/>
        <v>25</v>
      </c>
      <c r="I705" s="52"/>
      <c r="J705" s="53">
        <v>62480</v>
      </c>
      <c r="K705" s="54">
        <v>5</v>
      </c>
    </row>
    <row r="706" spans="1:11">
      <c r="A706" s="39" t="s">
        <v>983</v>
      </c>
      <c r="B706" s="46" t="s">
        <v>271</v>
      </c>
      <c r="C706" s="39" t="s">
        <v>930</v>
      </c>
      <c r="D706" s="142">
        <v>384347325</v>
      </c>
      <c r="E706" s="39" t="s">
        <v>247</v>
      </c>
      <c r="F706" s="81">
        <v>33506</v>
      </c>
      <c r="G706" s="105" t="str">
        <f t="shared" ref="G706:G740" si="22">CHOOSE(MONTH(F706),"Jan","Feb","Mar","Apr","May","Jun","Jul","Aug","Sep","Oct","Nov","Dec")</f>
        <v>Sep</v>
      </c>
      <c r="H706" s="51">
        <f t="shared" ref="H706:H740" ca="1" si="23">DATEDIF(F706,TODAY(),"Y")</f>
        <v>25</v>
      </c>
      <c r="I706" s="52"/>
      <c r="J706" s="53">
        <v>61134</v>
      </c>
      <c r="K706" s="54">
        <v>4</v>
      </c>
    </row>
    <row r="707" spans="1:11" hidden="1">
      <c r="A707" s="39" t="s">
        <v>995</v>
      </c>
      <c r="B707" s="46" t="s">
        <v>245</v>
      </c>
      <c r="C707" s="39" t="s">
        <v>930</v>
      </c>
      <c r="D707" s="142">
        <v>659516216</v>
      </c>
      <c r="E707" s="39" t="s">
        <v>261</v>
      </c>
      <c r="F707" s="81">
        <v>34960</v>
      </c>
      <c r="G707" s="105" t="str">
        <f t="shared" si="22"/>
        <v>Sep</v>
      </c>
      <c r="H707" s="51">
        <f t="shared" ca="1" si="23"/>
        <v>21</v>
      </c>
      <c r="I707" s="52" t="s">
        <v>276</v>
      </c>
      <c r="J707" s="53">
        <v>23000</v>
      </c>
      <c r="K707" s="54">
        <v>4</v>
      </c>
    </row>
    <row r="708" spans="1:11" hidden="1">
      <c r="A708" s="39" t="s">
        <v>961</v>
      </c>
      <c r="B708" s="46" t="s">
        <v>280</v>
      </c>
      <c r="C708" s="39" t="s">
        <v>930</v>
      </c>
      <c r="D708" s="142">
        <v>602374173</v>
      </c>
      <c r="E708" s="39" t="s">
        <v>247</v>
      </c>
      <c r="F708" s="81">
        <v>35338</v>
      </c>
      <c r="G708" s="105" t="str">
        <f t="shared" si="22"/>
        <v>Sep</v>
      </c>
      <c r="H708" s="51">
        <f t="shared" ca="1" si="23"/>
        <v>20</v>
      </c>
      <c r="I708" s="52"/>
      <c r="J708" s="53">
        <v>87830</v>
      </c>
      <c r="K708" s="54">
        <v>2</v>
      </c>
    </row>
    <row r="709" spans="1:11" hidden="1">
      <c r="A709" s="39" t="s">
        <v>944</v>
      </c>
      <c r="B709" s="46" t="s">
        <v>280</v>
      </c>
      <c r="C709" s="39" t="s">
        <v>930</v>
      </c>
      <c r="D709" s="142">
        <v>313465553</v>
      </c>
      <c r="E709" s="39" t="s">
        <v>261</v>
      </c>
      <c r="F709" s="81">
        <v>36053</v>
      </c>
      <c r="G709" s="105" t="str">
        <f t="shared" si="22"/>
        <v>Sep</v>
      </c>
      <c r="H709" s="51">
        <f t="shared" ca="1" si="23"/>
        <v>18</v>
      </c>
      <c r="I709" s="52" t="s">
        <v>276</v>
      </c>
      <c r="J709" s="53">
        <v>46105</v>
      </c>
      <c r="K709" s="54">
        <v>5</v>
      </c>
    </row>
    <row r="710" spans="1:11" hidden="1">
      <c r="A710" s="39" t="s">
        <v>971</v>
      </c>
      <c r="B710" s="46" t="s">
        <v>266</v>
      </c>
      <c r="C710" s="39" t="s">
        <v>930</v>
      </c>
      <c r="D710" s="142">
        <v>432787417</v>
      </c>
      <c r="E710" s="39" t="s">
        <v>247</v>
      </c>
      <c r="F710" s="81">
        <v>37141</v>
      </c>
      <c r="G710" s="105" t="str">
        <f t="shared" si="22"/>
        <v>Sep</v>
      </c>
      <c r="H710" s="51">
        <f t="shared" ca="1" si="23"/>
        <v>15</v>
      </c>
      <c r="I710" s="52"/>
      <c r="J710" s="53">
        <v>25530</v>
      </c>
      <c r="K710" s="54">
        <v>3</v>
      </c>
    </row>
    <row r="711" spans="1:11">
      <c r="A711" s="39" t="s">
        <v>1007</v>
      </c>
      <c r="B711" s="46" t="s">
        <v>271</v>
      </c>
      <c r="C711" s="39" t="s">
        <v>930</v>
      </c>
      <c r="D711" s="142">
        <v>320413886</v>
      </c>
      <c r="E711" s="39" t="s">
        <v>256</v>
      </c>
      <c r="F711" s="81">
        <v>35364</v>
      </c>
      <c r="G711" s="105" t="str">
        <f t="shared" si="22"/>
        <v>Oct</v>
      </c>
      <c r="H711" s="51">
        <f t="shared" ca="1" si="23"/>
        <v>20</v>
      </c>
      <c r="I711" s="52" t="s">
        <v>257</v>
      </c>
      <c r="J711" s="53">
        <v>27130</v>
      </c>
      <c r="K711" s="54">
        <v>5</v>
      </c>
    </row>
    <row r="712" spans="1:11" hidden="1">
      <c r="A712" s="39" t="s">
        <v>1017</v>
      </c>
      <c r="B712" s="46" t="s">
        <v>251</v>
      </c>
      <c r="C712" s="39" t="s">
        <v>930</v>
      </c>
      <c r="D712" s="142">
        <v>606435031</v>
      </c>
      <c r="E712" s="39" t="s">
        <v>256</v>
      </c>
      <c r="F712" s="81">
        <v>36080</v>
      </c>
      <c r="G712" s="105" t="str">
        <f t="shared" si="22"/>
        <v>Oct</v>
      </c>
      <c r="H712" s="51">
        <f t="shared" ca="1" si="23"/>
        <v>18</v>
      </c>
      <c r="I712" s="52" t="s">
        <v>283</v>
      </c>
      <c r="J712" s="53">
        <v>48410</v>
      </c>
      <c r="K712" s="54">
        <v>5</v>
      </c>
    </row>
    <row r="713" spans="1:11" hidden="1">
      <c r="A713" s="39" t="s">
        <v>979</v>
      </c>
      <c r="B713" s="46" t="s">
        <v>266</v>
      </c>
      <c r="C713" s="39" t="s">
        <v>930</v>
      </c>
      <c r="D713" s="142">
        <v>872873877</v>
      </c>
      <c r="E713" s="39" t="s">
        <v>252</v>
      </c>
      <c r="F713" s="81">
        <v>36458</v>
      </c>
      <c r="G713" s="105" t="str">
        <f t="shared" si="22"/>
        <v>Oct</v>
      </c>
      <c r="H713" s="51">
        <f t="shared" ca="1" si="23"/>
        <v>17</v>
      </c>
      <c r="I713" s="52"/>
      <c r="J713" s="53">
        <v>32536</v>
      </c>
      <c r="K713" s="54">
        <v>2</v>
      </c>
    </row>
    <row r="714" spans="1:11" hidden="1">
      <c r="A714" s="39" t="s">
        <v>956</v>
      </c>
      <c r="B714" s="46" t="s">
        <v>285</v>
      </c>
      <c r="C714" s="39" t="s">
        <v>930</v>
      </c>
      <c r="D714" s="142">
        <v>511158785</v>
      </c>
      <c r="E714" s="39" t="s">
        <v>261</v>
      </c>
      <c r="F714" s="81">
        <v>36462</v>
      </c>
      <c r="G714" s="105" t="str">
        <f t="shared" si="22"/>
        <v>Oct</v>
      </c>
      <c r="H714" s="51">
        <f t="shared" ca="1" si="23"/>
        <v>17</v>
      </c>
      <c r="I714" s="52" t="s">
        <v>283</v>
      </c>
      <c r="J714" s="53">
        <v>26185</v>
      </c>
      <c r="K714" s="54">
        <v>5</v>
      </c>
    </row>
    <row r="715" spans="1:11" hidden="1">
      <c r="A715" s="39" t="s">
        <v>959</v>
      </c>
      <c r="B715" s="46" t="s">
        <v>251</v>
      </c>
      <c r="C715" s="39" t="s">
        <v>930</v>
      </c>
      <c r="D715" s="142">
        <v>698477456</v>
      </c>
      <c r="E715" s="39" t="s">
        <v>256</v>
      </c>
      <c r="F715" s="81">
        <v>38626</v>
      </c>
      <c r="G715" s="105" t="str">
        <f t="shared" si="22"/>
        <v>Oct</v>
      </c>
      <c r="H715" s="51">
        <f t="shared" ca="1" si="23"/>
        <v>11</v>
      </c>
      <c r="I715" s="52" t="s">
        <v>257</v>
      </c>
      <c r="J715" s="53">
        <v>44530</v>
      </c>
      <c r="K715" s="54">
        <v>2</v>
      </c>
    </row>
    <row r="716" spans="1:11" hidden="1">
      <c r="A716" s="39" t="s">
        <v>1011</v>
      </c>
      <c r="B716" s="46" t="s">
        <v>245</v>
      </c>
      <c r="C716" s="39" t="s">
        <v>930</v>
      </c>
      <c r="D716" s="142">
        <v>745950240</v>
      </c>
      <c r="E716" s="39" t="s">
        <v>252</v>
      </c>
      <c r="F716" s="81">
        <v>38646</v>
      </c>
      <c r="G716" s="105" t="str">
        <f t="shared" si="22"/>
        <v>Oct</v>
      </c>
      <c r="H716" s="51">
        <f t="shared" ca="1" si="23"/>
        <v>11</v>
      </c>
      <c r="I716" s="52"/>
      <c r="J716" s="53">
        <v>37344</v>
      </c>
      <c r="K716" s="54">
        <v>2</v>
      </c>
    </row>
    <row r="717" spans="1:11" hidden="1">
      <c r="A717" s="39" t="s">
        <v>984</v>
      </c>
      <c r="B717" s="46" t="s">
        <v>285</v>
      </c>
      <c r="C717" s="39" t="s">
        <v>930</v>
      </c>
      <c r="D717" s="142">
        <v>860384647</v>
      </c>
      <c r="E717" s="39" t="s">
        <v>256</v>
      </c>
      <c r="F717" s="81">
        <v>39728</v>
      </c>
      <c r="G717" s="105" t="str">
        <f t="shared" si="22"/>
        <v>Oct</v>
      </c>
      <c r="H717" s="51">
        <f t="shared" ca="1" si="23"/>
        <v>8</v>
      </c>
      <c r="I717" s="52" t="s">
        <v>257</v>
      </c>
      <c r="J717" s="53">
        <v>82370</v>
      </c>
      <c r="K717" s="54">
        <v>5</v>
      </c>
    </row>
    <row r="718" spans="1:11" hidden="1">
      <c r="A718" s="39" t="s">
        <v>985</v>
      </c>
      <c r="B718" s="46" t="s">
        <v>245</v>
      </c>
      <c r="C718" s="39" t="s">
        <v>930</v>
      </c>
      <c r="D718" s="142">
        <v>985566943</v>
      </c>
      <c r="E718" s="39" t="s">
        <v>247</v>
      </c>
      <c r="F718" s="81">
        <v>39728</v>
      </c>
      <c r="G718" s="105" t="str">
        <f t="shared" si="22"/>
        <v>Oct</v>
      </c>
      <c r="H718" s="51">
        <f t="shared" ca="1" si="23"/>
        <v>8</v>
      </c>
      <c r="I718" s="52"/>
      <c r="J718" s="53">
        <v>86040</v>
      </c>
      <c r="K718" s="54">
        <v>5</v>
      </c>
    </row>
    <row r="719" spans="1:11">
      <c r="A719" s="39" t="s">
        <v>942</v>
      </c>
      <c r="B719" s="46" t="s">
        <v>271</v>
      </c>
      <c r="C719" s="39" t="s">
        <v>930</v>
      </c>
      <c r="D719" s="142">
        <v>357493670</v>
      </c>
      <c r="E719" s="39" t="s">
        <v>247</v>
      </c>
      <c r="F719" s="81">
        <v>33193</v>
      </c>
      <c r="G719" s="105" t="str">
        <f t="shared" si="22"/>
        <v>Nov</v>
      </c>
      <c r="H719" s="51">
        <f t="shared" ca="1" si="23"/>
        <v>25</v>
      </c>
      <c r="I719" s="52"/>
      <c r="J719" s="53">
        <v>63610</v>
      </c>
      <c r="K719" s="54">
        <v>5</v>
      </c>
    </row>
    <row r="720" spans="1:11" hidden="1">
      <c r="A720" s="39" t="s">
        <v>968</v>
      </c>
      <c r="B720" s="46" t="s">
        <v>285</v>
      </c>
      <c r="C720" s="39" t="s">
        <v>930</v>
      </c>
      <c r="D720" s="142">
        <v>304281552</v>
      </c>
      <c r="E720" s="39" t="s">
        <v>247</v>
      </c>
      <c r="F720" s="81">
        <v>33562</v>
      </c>
      <c r="G720" s="105" t="str">
        <f t="shared" si="22"/>
        <v>Nov</v>
      </c>
      <c r="H720" s="51">
        <f t="shared" ca="1" si="23"/>
        <v>24</v>
      </c>
      <c r="I720" s="52"/>
      <c r="J720" s="53">
        <v>57500</v>
      </c>
      <c r="K720" s="54">
        <v>1</v>
      </c>
    </row>
    <row r="721" spans="1:11" hidden="1">
      <c r="A721" s="39" t="s">
        <v>1003</v>
      </c>
      <c r="B721" s="46" t="s">
        <v>266</v>
      </c>
      <c r="C721" s="39" t="s">
        <v>930</v>
      </c>
      <c r="D721" s="142">
        <v>396427379</v>
      </c>
      <c r="E721" s="39" t="s">
        <v>256</v>
      </c>
      <c r="F721" s="81">
        <v>33921</v>
      </c>
      <c r="G721" s="105" t="str">
        <f t="shared" si="22"/>
        <v>Nov</v>
      </c>
      <c r="H721" s="51">
        <f t="shared" ca="1" si="23"/>
        <v>23</v>
      </c>
      <c r="I721" s="52" t="s">
        <v>267</v>
      </c>
      <c r="J721" s="53">
        <v>32160</v>
      </c>
      <c r="K721" s="54">
        <v>3</v>
      </c>
    </row>
    <row r="722" spans="1:11" hidden="1">
      <c r="A722" s="39" t="s">
        <v>1006</v>
      </c>
      <c r="B722" s="46" t="s">
        <v>285</v>
      </c>
      <c r="C722" s="39" t="s">
        <v>930</v>
      </c>
      <c r="D722" s="142">
        <v>330289198</v>
      </c>
      <c r="E722" s="39" t="s">
        <v>256</v>
      </c>
      <c r="F722" s="81">
        <v>34286</v>
      </c>
      <c r="G722" s="105" t="str">
        <f t="shared" si="22"/>
        <v>Nov</v>
      </c>
      <c r="H722" s="51">
        <f t="shared" ca="1" si="23"/>
        <v>22</v>
      </c>
      <c r="I722" s="52" t="s">
        <v>283</v>
      </c>
      <c r="J722" s="53">
        <v>87220</v>
      </c>
      <c r="K722" s="54">
        <v>1</v>
      </c>
    </row>
    <row r="723" spans="1:11" hidden="1">
      <c r="A723" s="39" t="s">
        <v>955</v>
      </c>
      <c r="B723" s="46" t="s">
        <v>251</v>
      </c>
      <c r="C723" s="39" t="s">
        <v>930</v>
      </c>
      <c r="D723" s="142">
        <v>318825201</v>
      </c>
      <c r="E723" s="39" t="s">
        <v>256</v>
      </c>
      <c r="F723" s="81">
        <v>36843</v>
      </c>
      <c r="G723" s="105" t="str">
        <f t="shared" si="22"/>
        <v>Nov</v>
      </c>
      <c r="H723" s="51">
        <f t="shared" ca="1" si="23"/>
        <v>15</v>
      </c>
      <c r="I723" s="52" t="s">
        <v>283</v>
      </c>
      <c r="J723" s="53">
        <v>47630</v>
      </c>
      <c r="K723" s="54">
        <v>3</v>
      </c>
    </row>
    <row r="724" spans="1:11">
      <c r="A724" s="39" t="s">
        <v>950</v>
      </c>
      <c r="B724" s="46" t="s">
        <v>271</v>
      </c>
      <c r="C724" s="39" t="s">
        <v>930</v>
      </c>
      <c r="D724" s="142">
        <v>457078742</v>
      </c>
      <c r="E724" s="39" t="s">
        <v>256</v>
      </c>
      <c r="F724" s="81">
        <v>33957</v>
      </c>
      <c r="G724" s="105" t="str">
        <f t="shared" si="22"/>
        <v>Dec</v>
      </c>
      <c r="H724" s="51">
        <f t="shared" ca="1" si="23"/>
        <v>23</v>
      </c>
      <c r="I724" s="52" t="s">
        <v>262</v>
      </c>
      <c r="J724" s="53">
        <v>59490</v>
      </c>
      <c r="K724" s="54">
        <v>3</v>
      </c>
    </row>
    <row r="725" spans="1:11">
      <c r="A725" s="39" t="s">
        <v>976</v>
      </c>
      <c r="B725" s="46" t="s">
        <v>271</v>
      </c>
      <c r="C725" s="39" t="s">
        <v>930</v>
      </c>
      <c r="D725" s="142">
        <v>299178475</v>
      </c>
      <c r="E725" s="39" t="s">
        <v>256</v>
      </c>
      <c r="F725" s="81">
        <v>34670</v>
      </c>
      <c r="G725" s="105" t="str">
        <f t="shared" si="22"/>
        <v>Dec</v>
      </c>
      <c r="H725" s="51">
        <f t="shared" ca="1" si="23"/>
        <v>21</v>
      </c>
      <c r="I725" s="52" t="s">
        <v>257</v>
      </c>
      <c r="J725" s="53">
        <v>69510</v>
      </c>
      <c r="K725" s="54">
        <v>5</v>
      </c>
    </row>
    <row r="726" spans="1:11" hidden="1">
      <c r="A726" s="39" t="s">
        <v>1016</v>
      </c>
      <c r="B726" s="46" t="s">
        <v>285</v>
      </c>
      <c r="C726" s="39" t="s">
        <v>930</v>
      </c>
      <c r="D726" s="142">
        <v>467608325</v>
      </c>
      <c r="E726" s="39" t="s">
        <v>256</v>
      </c>
      <c r="F726" s="81">
        <v>35052</v>
      </c>
      <c r="G726" s="105" t="str">
        <f t="shared" si="22"/>
        <v>Dec</v>
      </c>
      <c r="H726" s="51">
        <f t="shared" ca="1" si="23"/>
        <v>20</v>
      </c>
      <c r="I726" s="52" t="s">
        <v>267</v>
      </c>
      <c r="J726" s="53">
        <v>64780</v>
      </c>
      <c r="K726" s="54">
        <v>5</v>
      </c>
    </row>
    <row r="727" spans="1:11" hidden="1">
      <c r="A727" s="39" t="s">
        <v>963</v>
      </c>
      <c r="B727" s="46" t="s">
        <v>266</v>
      </c>
      <c r="C727" s="39" t="s">
        <v>930</v>
      </c>
      <c r="D727" s="142">
        <v>919599203</v>
      </c>
      <c r="E727" s="39" t="s">
        <v>256</v>
      </c>
      <c r="F727" s="81">
        <v>35776</v>
      </c>
      <c r="G727" s="105" t="str">
        <f t="shared" si="22"/>
        <v>Dec</v>
      </c>
      <c r="H727" s="51">
        <f t="shared" ca="1" si="23"/>
        <v>18</v>
      </c>
      <c r="I727" s="52" t="s">
        <v>257</v>
      </c>
      <c r="J727" s="53">
        <v>86320</v>
      </c>
      <c r="K727" s="54">
        <v>4</v>
      </c>
    </row>
    <row r="728" spans="1:11" hidden="1">
      <c r="A728" s="39" t="s">
        <v>986</v>
      </c>
      <c r="B728" s="46" t="s">
        <v>285</v>
      </c>
      <c r="C728" s="39" t="s">
        <v>930</v>
      </c>
      <c r="D728" s="142">
        <v>969556466</v>
      </c>
      <c r="E728" s="39" t="s">
        <v>256</v>
      </c>
      <c r="F728" s="81">
        <v>38328</v>
      </c>
      <c r="G728" s="105" t="str">
        <f t="shared" si="22"/>
        <v>Dec</v>
      </c>
      <c r="H728" s="51">
        <f t="shared" ca="1" si="23"/>
        <v>11</v>
      </c>
      <c r="I728" s="52" t="s">
        <v>262</v>
      </c>
      <c r="J728" s="53">
        <v>48280</v>
      </c>
      <c r="K728" s="54">
        <v>4</v>
      </c>
    </row>
    <row r="729" spans="1:11" hidden="1">
      <c r="A729" s="39" t="s">
        <v>982</v>
      </c>
      <c r="B729" s="46" t="s">
        <v>245</v>
      </c>
      <c r="C729" s="39" t="s">
        <v>930</v>
      </c>
      <c r="D729" s="142">
        <v>203183300</v>
      </c>
      <c r="E729" s="39" t="s">
        <v>256</v>
      </c>
      <c r="F729" s="81">
        <v>38347</v>
      </c>
      <c r="G729" s="105" t="str">
        <f t="shared" si="22"/>
        <v>Dec</v>
      </c>
      <c r="H729" s="51">
        <f t="shared" ca="1" si="23"/>
        <v>11</v>
      </c>
      <c r="I729" s="52" t="s">
        <v>283</v>
      </c>
      <c r="J729" s="53">
        <v>81340</v>
      </c>
      <c r="K729" s="54">
        <v>2</v>
      </c>
    </row>
    <row r="730" spans="1:11" hidden="1">
      <c r="A730" s="39" t="s">
        <v>965</v>
      </c>
      <c r="B730" s="46" t="s">
        <v>280</v>
      </c>
      <c r="C730" s="39" t="s">
        <v>930</v>
      </c>
      <c r="D730" s="142">
        <v>820794819</v>
      </c>
      <c r="E730" s="39" t="s">
        <v>256</v>
      </c>
      <c r="F730" s="81">
        <v>39441</v>
      </c>
      <c r="G730" s="105" t="str">
        <f t="shared" si="22"/>
        <v>Dec</v>
      </c>
      <c r="H730" s="51">
        <f t="shared" ca="1" si="23"/>
        <v>8</v>
      </c>
      <c r="I730" s="52" t="s">
        <v>262</v>
      </c>
      <c r="J730" s="53">
        <v>68860</v>
      </c>
      <c r="K730" s="54">
        <v>2</v>
      </c>
    </row>
    <row r="731" spans="1:11" hidden="1">
      <c r="A731" s="39" t="s">
        <v>981</v>
      </c>
      <c r="B731" s="46" t="s">
        <v>285</v>
      </c>
      <c r="C731" s="39" t="s">
        <v>930</v>
      </c>
      <c r="D731" s="142">
        <v>462080698</v>
      </c>
      <c r="E731" s="39" t="s">
        <v>247</v>
      </c>
      <c r="F731" s="81">
        <v>40523</v>
      </c>
      <c r="G731" s="105" t="str">
        <f t="shared" si="22"/>
        <v>Dec</v>
      </c>
      <c r="H731" s="51">
        <f t="shared" ca="1" si="23"/>
        <v>5</v>
      </c>
      <c r="I731" s="52"/>
      <c r="J731" s="53">
        <v>46570</v>
      </c>
      <c r="K731" s="54">
        <v>4</v>
      </c>
    </row>
    <row r="732" spans="1:11" hidden="1">
      <c r="A732" s="39" t="s">
        <v>1019</v>
      </c>
      <c r="B732" s="46" t="s">
        <v>266</v>
      </c>
      <c r="C732" s="39" t="s">
        <v>930</v>
      </c>
      <c r="D732" s="142">
        <v>887657041</v>
      </c>
      <c r="E732" s="39" t="s">
        <v>256</v>
      </c>
      <c r="F732" s="103">
        <v>40536</v>
      </c>
      <c r="G732" s="105" t="str">
        <f t="shared" si="22"/>
        <v>Dec</v>
      </c>
      <c r="H732" s="51">
        <f t="shared" ca="1" si="23"/>
        <v>5</v>
      </c>
      <c r="I732" s="52" t="s">
        <v>283</v>
      </c>
      <c r="J732" s="53">
        <v>70730</v>
      </c>
      <c r="K732" s="54">
        <v>1</v>
      </c>
    </row>
    <row r="733" spans="1:11" hidden="1">
      <c r="A733" s="39" t="s">
        <v>1024</v>
      </c>
      <c r="B733" s="46" t="s">
        <v>266</v>
      </c>
      <c r="C733" s="39" t="s">
        <v>1025</v>
      </c>
      <c r="D733" s="142">
        <v>674002032</v>
      </c>
      <c r="E733" s="39" t="s">
        <v>256</v>
      </c>
      <c r="F733" s="81">
        <v>37684</v>
      </c>
      <c r="G733" s="105" t="str">
        <f t="shared" si="22"/>
        <v>Mar</v>
      </c>
      <c r="H733" s="51">
        <f t="shared" ca="1" si="23"/>
        <v>13</v>
      </c>
      <c r="I733" s="52" t="s">
        <v>283</v>
      </c>
      <c r="J733" s="53">
        <v>42800</v>
      </c>
      <c r="K733" s="54">
        <v>5</v>
      </c>
    </row>
    <row r="734" spans="1:11">
      <c r="A734" s="39" t="s">
        <v>1028</v>
      </c>
      <c r="B734" s="46" t="s">
        <v>271</v>
      </c>
      <c r="C734" s="39" t="s">
        <v>1025</v>
      </c>
      <c r="D734" s="142">
        <v>422387183</v>
      </c>
      <c r="E734" s="39" t="s">
        <v>256</v>
      </c>
      <c r="F734" s="81">
        <v>36991</v>
      </c>
      <c r="G734" s="105" t="str">
        <f t="shared" si="22"/>
        <v>Apr</v>
      </c>
      <c r="H734" s="51">
        <f t="shared" ca="1" si="23"/>
        <v>15</v>
      </c>
      <c r="I734" s="52" t="s">
        <v>257</v>
      </c>
      <c r="J734" s="53">
        <v>63670</v>
      </c>
      <c r="K734" s="54">
        <v>5</v>
      </c>
    </row>
    <row r="735" spans="1:11" hidden="1">
      <c r="A735" s="39" t="s">
        <v>1026</v>
      </c>
      <c r="B735" s="46" t="s">
        <v>245</v>
      </c>
      <c r="C735" s="39" t="s">
        <v>1025</v>
      </c>
      <c r="D735" s="142">
        <v>807251642</v>
      </c>
      <c r="E735" s="39" t="s">
        <v>247</v>
      </c>
      <c r="F735" s="81">
        <v>33387</v>
      </c>
      <c r="G735" s="105" t="str">
        <f t="shared" si="22"/>
        <v>May</v>
      </c>
      <c r="H735" s="51">
        <f t="shared" ca="1" si="23"/>
        <v>25</v>
      </c>
      <c r="I735" s="52"/>
      <c r="J735" s="53">
        <v>85510</v>
      </c>
      <c r="K735" s="54">
        <v>4</v>
      </c>
    </row>
    <row r="736" spans="1:11">
      <c r="A736" s="39" t="s">
        <v>1029</v>
      </c>
      <c r="B736" s="46" t="s">
        <v>271</v>
      </c>
      <c r="C736" s="39" t="s">
        <v>1025</v>
      </c>
      <c r="D736" s="142">
        <v>270109026</v>
      </c>
      <c r="E736" s="39" t="s">
        <v>247</v>
      </c>
      <c r="F736" s="81">
        <v>40719</v>
      </c>
      <c r="G736" s="105" t="str">
        <f t="shared" si="22"/>
        <v>Jun</v>
      </c>
      <c r="H736" s="51">
        <f t="shared" ca="1" si="23"/>
        <v>5</v>
      </c>
      <c r="I736" s="52"/>
      <c r="J736" s="53">
        <v>66132</v>
      </c>
      <c r="K736" s="54">
        <v>4</v>
      </c>
    </row>
    <row r="737" spans="1:14" hidden="1">
      <c r="A737" s="39" t="s">
        <v>1027</v>
      </c>
      <c r="B737" s="46" t="s">
        <v>245</v>
      </c>
      <c r="C737" s="39" t="s">
        <v>1025</v>
      </c>
      <c r="D737" s="142">
        <v>807851416</v>
      </c>
      <c r="E737" s="39" t="s">
        <v>256</v>
      </c>
      <c r="F737" s="81">
        <v>37073</v>
      </c>
      <c r="G737" s="105" t="str">
        <f t="shared" si="22"/>
        <v>Jul</v>
      </c>
      <c r="H737" s="51">
        <f t="shared" ca="1" si="23"/>
        <v>15</v>
      </c>
      <c r="I737" s="52" t="s">
        <v>276</v>
      </c>
      <c r="J737" s="53">
        <v>40680</v>
      </c>
      <c r="K737" s="54">
        <v>5</v>
      </c>
    </row>
    <row r="738" spans="1:14" hidden="1">
      <c r="A738" s="39" t="s">
        <v>1034</v>
      </c>
      <c r="B738" s="46" t="s">
        <v>285</v>
      </c>
      <c r="C738" s="39" t="s">
        <v>1031</v>
      </c>
      <c r="D738" s="142">
        <v>973253888</v>
      </c>
      <c r="E738" s="39" t="s">
        <v>247</v>
      </c>
      <c r="F738" s="81">
        <v>34003</v>
      </c>
      <c r="G738" s="105" t="str">
        <f t="shared" si="22"/>
        <v>Feb</v>
      </c>
      <c r="H738" s="51">
        <f t="shared" ca="1" si="23"/>
        <v>23</v>
      </c>
      <c r="I738" s="52"/>
      <c r="J738" s="53">
        <v>60760</v>
      </c>
      <c r="K738" s="54">
        <v>2</v>
      </c>
      <c r="N738" s="75"/>
    </row>
    <row r="739" spans="1:14" hidden="1">
      <c r="A739" s="39" t="s">
        <v>1033</v>
      </c>
      <c r="B739" s="46" t="s">
        <v>266</v>
      </c>
      <c r="C739" s="39" t="s">
        <v>1031</v>
      </c>
      <c r="D739" s="142">
        <v>133406431</v>
      </c>
      <c r="E739" s="39" t="s">
        <v>261</v>
      </c>
      <c r="F739" s="81">
        <v>36557</v>
      </c>
      <c r="G739" s="105" t="str">
        <f t="shared" si="22"/>
        <v>Feb</v>
      </c>
      <c r="H739" s="51">
        <f t="shared" ca="1" si="23"/>
        <v>16</v>
      </c>
      <c r="I739" s="52" t="s">
        <v>257</v>
      </c>
      <c r="J739" s="53">
        <v>31250</v>
      </c>
      <c r="K739" s="54">
        <v>2</v>
      </c>
    </row>
    <row r="740" spans="1:14" hidden="1">
      <c r="A740" s="39" t="s">
        <v>1030</v>
      </c>
      <c r="B740" s="46" t="s">
        <v>285</v>
      </c>
      <c r="C740" s="39" t="s">
        <v>1031</v>
      </c>
      <c r="D740" s="142">
        <v>668461620</v>
      </c>
      <c r="E740" s="39" t="s">
        <v>247</v>
      </c>
      <c r="F740" s="81">
        <v>34525</v>
      </c>
      <c r="G740" s="105" t="str">
        <f t="shared" si="22"/>
        <v>Jul</v>
      </c>
      <c r="H740" s="51">
        <f t="shared" ca="1" si="23"/>
        <v>22</v>
      </c>
      <c r="I740" s="52"/>
      <c r="J740" s="53">
        <v>64720</v>
      </c>
      <c r="K740" s="54">
        <v>5</v>
      </c>
    </row>
    <row r="741" spans="1:14" hidden="1">
      <c r="A741" s="232" t="s">
        <v>1588</v>
      </c>
      <c r="B741" s="233"/>
      <c r="C741" s="232"/>
      <c r="D741" s="234"/>
      <c r="E741" s="232"/>
      <c r="F741" s="235">
        <v>29587</v>
      </c>
      <c r="G741" s="235" t="str">
        <f>CHOOSE(MONTH(F741),"Jan","Feb","Mar","Apr","May","Jun","Jul","Aug","Sep","Oct","Nov","Dec")</f>
        <v>Jan</v>
      </c>
      <c r="H741" s="236">
        <f ca="1">DATEDIF(F741,TODAY(),"Y")</f>
        <v>35</v>
      </c>
      <c r="I741" s="237"/>
      <c r="J741" s="238"/>
      <c r="K741" s="233"/>
      <c r="L741" s="239"/>
      <c r="M741" s="240"/>
      <c r="N741" s="232"/>
    </row>
    <row r="742" spans="1:14" hidden="1">
      <c r="A742" s="232" t="s">
        <v>1589</v>
      </c>
      <c r="B742" s="233"/>
      <c r="C742" s="232"/>
      <c r="D742" s="234"/>
      <c r="E742" s="232"/>
      <c r="F742" s="235">
        <v>41821</v>
      </c>
      <c r="G742" s="235" t="str">
        <f>CHOOSE(MONTH(F742),"Jan","Feb","Mar","Apr","May","Jun","Jul","Aug","Sep","Oct","Nov","Dec")</f>
        <v>Jul</v>
      </c>
      <c r="H742" s="236">
        <f ca="1">DATEDIF(F742,TODAY(),"Y")</f>
        <v>2</v>
      </c>
      <c r="I742" s="237"/>
      <c r="J742" s="238"/>
      <c r="K742" s="233"/>
      <c r="L742" s="239"/>
      <c r="M742" s="240"/>
      <c r="N742" s="232"/>
    </row>
    <row r="743" spans="1:14" hidden="1">
      <c r="A743" s="232" t="s">
        <v>1035</v>
      </c>
      <c r="B743" s="233" t="s">
        <v>251</v>
      </c>
      <c r="C743" s="232" t="s">
        <v>1031</v>
      </c>
      <c r="D743" s="234">
        <v>125594285</v>
      </c>
      <c r="E743" s="232" t="s">
        <v>256</v>
      </c>
      <c r="F743" s="235">
        <v>40384</v>
      </c>
      <c r="G743" s="235" t="str">
        <f>CHOOSE(MONTH(F743),"Jan","Feb","Mar","Apr","May","Jun","Jul","Aug","Sep","Oct","Nov","Dec")</f>
        <v>Jul</v>
      </c>
      <c r="H743" s="236">
        <f ca="1">DATEDIF(F743,TODAY(),"Y")</f>
        <v>6</v>
      </c>
      <c r="I743" s="237" t="s">
        <v>257</v>
      </c>
      <c r="J743" s="238">
        <v>46680</v>
      </c>
      <c r="K743" s="233">
        <v>1</v>
      </c>
      <c r="L743" s="239"/>
      <c r="M743" s="240"/>
      <c r="N743" s="232"/>
    </row>
    <row r="744" spans="1:14" hidden="1">
      <c r="A744" s="232" t="s">
        <v>1032</v>
      </c>
      <c r="B744" s="233" t="s">
        <v>266</v>
      </c>
      <c r="C744" s="232" t="s">
        <v>1031</v>
      </c>
      <c r="D744" s="234">
        <v>281524582</v>
      </c>
      <c r="E744" s="232" t="s">
        <v>252</v>
      </c>
      <c r="F744" s="235">
        <v>40543</v>
      </c>
      <c r="G744" s="235" t="str">
        <f>CHOOSE(MONTH(F744),"Jan","Feb","Mar","Apr","May","Jun","Jul","Aug","Sep","Oct","Nov","Dec")</f>
        <v>Dec</v>
      </c>
      <c r="H744" s="236">
        <f ca="1">DATEDIF(F744,TODAY(),"Y")</f>
        <v>5</v>
      </c>
      <c r="I744" s="237"/>
      <c r="J744" s="238">
        <v>19044</v>
      </c>
      <c r="K744" s="233">
        <v>1</v>
      </c>
      <c r="L744" s="239"/>
      <c r="M744" s="240"/>
      <c r="N744" s="232"/>
    </row>
    <row r="745" spans="1:14">
      <c r="A745" s="323" t="s">
        <v>1404</v>
      </c>
      <c r="B745" s="324"/>
      <c r="C745" s="323"/>
      <c r="D745" s="323"/>
      <c r="E745" s="323"/>
      <c r="F745" s="323"/>
      <c r="G745" s="323"/>
      <c r="H745" s="325"/>
      <c r="I745" s="326"/>
      <c r="J745" s="327"/>
      <c r="K745" s="324"/>
      <c r="L745" s="328"/>
      <c r="M745" s="326"/>
      <c r="N745" s="323">
        <f>SUBTOTAL(103,Table1[2.91%])</f>
        <v>0</v>
      </c>
    </row>
  </sheetData>
  <pageMargins left="0.75" right="0.75" top="1" bottom="1" header="0.5" footer="0.5"/>
  <pageSetup orientation="portrait" r:id="rId1"/>
  <headerFooter alignWithMargin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5" sqref="B35"/>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2"/>
  <sheetViews>
    <sheetView workbookViewId="0">
      <selection activeCell="M97" sqref="M97:N97"/>
    </sheetView>
  </sheetViews>
  <sheetFormatPr defaultRowHeight="15"/>
  <cols>
    <col min="1" max="1" width="13.85546875" customWidth="1"/>
    <col min="2" max="2" width="10" customWidth="1"/>
    <col min="3" max="3" width="9.28515625" customWidth="1"/>
    <col min="4" max="4" width="11.7109375" customWidth="1"/>
    <col min="7" max="7" width="10.28515625" customWidth="1"/>
  </cols>
  <sheetData>
    <row r="1" spans="1:7" ht="23.25">
      <c r="A1" s="329" t="s">
        <v>1466</v>
      </c>
      <c r="B1" s="330"/>
      <c r="C1" s="330"/>
      <c r="D1" s="330"/>
      <c r="E1" s="330"/>
      <c r="F1" s="330"/>
      <c r="G1" s="330"/>
    </row>
    <row r="3" spans="1:7">
      <c r="A3" t="s">
        <v>1465</v>
      </c>
      <c r="B3" t="s">
        <v>1464</v>
      </c>
      <c r="C3" t="s">
        <v>1463</v>
      </c>
      <c r="D3" t="s">
        <v>1462</v>
      </c>
      <c r="E3" t="s">
        <v>1064</v>
      </c>
      <c r="F3" t="s">
        <v>1461</v>
      </c>
      <c r="G3" t="s">
        <v>1423</v>
      </c>
    </row>
    <row r="4" spans="1:7" hidden="1">
      <c r="A4" t="s">
        <v>1442</v>
      </c>
      <c r="B4" t="s">
        <v>1460</v>
      </c>
      <c r="C4" t="s">
        <v>1445</v>
      </c>
      <c r="D4" t="s">
        <v>1455</v>
      </c>
      <c r="E4">
        <v>40406</v>
      </c>
      <c r="F4">
        <v>1</v>
      </c>
      <c r="G4">
        <v>894</v>
      </c>
    </row>
    <row r="5" spans="1:7" hidden="1">
      <c r="A5" t="s">
        <v>1443</v>
      </c>
      <c r="B5" t="s">
        <v>1460</v>
      </c>
      <c r="C5" t="s">
        <v>1436</v>
      </c>
      <c r="D5" t="s">
        <v>1455</v>
      </c>
      <c r="E5">
        <v>40708</v>
      </c>
      <c r="F5">
        <v>1</v>
      </c>
      <c r="G5">
        <v>418</v>
      </c>
    </row>
    <row r="6" spans="1:7" hidden="1">
      <c r="A6" t="s">
        <v>1449</v>
      </c>
      <c r="B6" t="s">
        <v>1460</v>
      </c>
      <c r="C6" t="s">
        <v>1436</v>
      </c>
      <c r="D6" t="s">
        <v>1455</v>
      </c>
      <c r="E6">
        <v>40710</v>
      </c>
      <c r="F6">
        <v>1</v>
      </c>
      <c r="G6">
        <v>655</v>
      </c>
    </row>
    <row r="7" spans="1:7" hidden="1">
      <c r="A7" t="s">
        <v>1448</v>
      </c>
      <c r="B7" t="s">
        <v>1460</v>
      </c>
      <c r="C7" t="s">
        <v>1441</v>
      </c>
      <c r="D7" t="s">
        <v>1453</v>
      </c>
      <c r="E7">
        <v>40856</v>
      </c>
      <c r="F7">
        <v>1</v>
      </c>
      <c r="G7">
        <v>582</v>
      </c>
    </row>
    <row r="8" spans="1:7" hidden="1">
      <c r="A8" t="s">
        <v>1447</v>
      </c>
      <c r="B8" t="s">
        <v>1460</v>
      </c>
      <c r="C8" t="s">
        <v>1436</v>
      </c>
      <c r="D8" t="s">
        <v>1453</v>
      </c>
      <c r="E8">
        <v>40222</v>
      </c>
      <c r="F8">
        <v>1</v>
      </c>
      <c r="G8">
        <v>769</v>
      </c>
    </row>
    <row r="9" spans="1:7" hidden="1">
      <c r="A9" t="s">
        <v>1447</v>
      </c>
      <c r="B9" t="s">
        <v>1460</v>
      </c>
      <c r="C9" t="s">
        <v>1445</v>
      </c>
      <c r="D9" t="s">
        <v>1452</v>
      </c>
      <c r="E9">
        <v>40868</v>
      </c>
      <c r="F9">
        <v>1</v>
      </c>
      <c r="G9">
        <v>572</v>
      </c>
    </row>
    <row r="10" spans="1:7" hidden="1">
      <c r="A10" t="s">
        <v>1446</v>
      </c>
      <c r="B10" t="s">
        <v>1460</v>
      </c>
      <c r="C10" t="s">
        <v>1441</v>
      </c>
      <c r="D10" t="s">
        <v>1452</v>
      </c>
      <c r="E10">
        <v>40428</v>
      </c>
      <c r="F10">
        <v>1</v>
      </c>
      <c r="G10">
        <v>567</v>
      </c>
    </row>
    <row r="11" spans="1:7" hidden="1">
      <c r="A11" t="s">
        <v>1444</v>
      </c>
      <c r="B11" t="s">
        <v>1460</v>
      </c>
      <c r="C11" t="s">
        <v>1445</v>
      </c>
      <c r="D11" t="s">
        <v>1455</v>
      </c>
      <c r="E11">
        <v>40379</v>
      </c>
      <c r="F11">
        <v>2</v>
      </c>
      <c r="G11">
        <v>972</v>
      </c>
    </row>
    <row r="12" spans="1:7" hidden="1">
      <c r="A12" t="s">
        <v>1442</v>
      </c>
      <c r="B12" t="s">
        <v>1460</v>
      </c>
      <c r="C12" t="s">
        <v>1441</v>
      </c>
      <c r="D12" t="s">
        <v>1455</v>
      </c>
      <c r="E12">
        <v>40568</v>
      </c>
      <c r="F12">
        <v>2</v>
      </c>
      <c r="G12">
        <v>940</v>
      </c>
    </row>
    <row r="13" spans="1:7" hidden="1">
      <c r="A13" t="s">
        <v>1438</v>
      </c>
      <c r="B13" t="s">
        <v>1460</v>
      </c>
      <c r="C13" t="s">
        <v>1436</v>
      </c>
      <c r="D13" t="s">
        <v>1455</v>
      </c>
      <c r="E13">
        <v>40473</v>
      </c>
      <c r="F13">
        <v>2</v>
      </c>
      <c r="G13">
        <v>1570</v>
      </c>
    </row>
    <row r="14" spans="1:7" hidden="1">
      <c r="A14" t="s">
        <v>1449</v>
      </c>
      <c r="B14" t="s">
        <v>1460</v>
      </c>
      <c r="C14" t="s">
        <v>1436</v>
      </c>
      <c r="D14" t="s">
        <v>1455</v>
      </c>
      <c r="E14">
        <v>40850</v>
      </c>
      <c r="F14">
        <v>2</v>
      </c>
      <c r="G14">
        <v>1292</v>
      </c>
    </row>
    <row r="15" spans="1:7" hidden="1">
      <c r="A15" t="s">
        <v>1440</v>
      </c>
      <c r="B15" t="s">
        <v>1460</v>
      </c>
      <c r="C15" t="s">
        <v>1445</v>
      </c>
      <c r="D15" t="s">
        <v>1453</v>
      </c>
      <c r="E15">
        <v>40295</v>
      </c>
      <c r="F15">
        <v>2</v>
      </c>
      <c r="G15">
        <v>1648</v>
      </c>
    </row>
    <row r="16" spans="1:7" hidden="1">
      <c r="A16" t="s">
        <v>1448</v>
      </c>
      <c r="B16" t="s">
        <v>1460</v>
      </c>
      <c r="C16" t="s">
        <v>1439</v>
      </c>
      <c r="D16" t="s">
        <v>1453</v>
      </c>
      <c r="E16">
        <v>40361</v>
      </c>
      <c r="F16">
        <v>2</v>
      </c>
      <c r="G16">
        <v>978</v>
      </c>
    </row>
    <row r="17" spans="1:7" hidden="1">
      <c r="A17" t="s">
        <v>1443</v>
      </c>
      <c r="B17" t="s">
        <v>1460</v>
      </c>
      <c r="C17" t="s">
        <v>1445</v>
      </c>
      <c r="D17" t="s">
        <v>1452</v>
      </c>
      <c r="E17">
        <v>40383</v>
      </c>
      <c r="F17">
        <v>2</v>
      </c>
      <c r="G17">
        <v>1242</v>
      </c>
    </row>
    <row r="18" spans="1:7" hidden="1">
      <c r="A18" t="s">
        <v>1451</v>
      </c>
      <c r="B18" t="s">
        <v>1460</v>
      </c>
      <c r="C18" t="s">
        <v>1439</v>
      </c>
      <c r="D18" t="s">
        <v>1452</v>
      </c>
      <c r="E18">
        <v>40186</v>
      </c>
      <c r="F18">
        <v>2</v>
      </c>
      <c r="G18">
        <v>1316</v>
      </c>
    </row>
    <row r="19" spans="1:7" hidden="1">
      <c r="A19" t="s">
        <v>1456</v>
      </c>
      <c r="B19" t="s">
        <v>1460</v>
      </c>
      <c r="C19" t="s">
        <v>1436</v>
      </c>
      <c r="D19" t="s">
        <v>1452</v>
      </c>
      <c r="E19">
        <v>40687</v>
      </c>
      <c r="F19">
        <v>2</v>
      </c>
      <c r="G19">
        <v>1466</v>
      </c>
    </row>
    <row r="20" spans="1:7">
      <c r="A20" t="s">
        <v>1446</v>
      </c>
      <c r="B20" t="s">
        <v>1460</v>
      </c>
      <c r="C20" t="s">
        <v>1436</v>
      </c>
      <c r="D20" t="s">
        <v>1450</v>
      </c>
      <c r="E20">
        <v>40504</v>
      </c>
      <c r="F20">
        <v>2</v>
      </c>
      <c r="G20">
        <v>1350</v>
      </c>
    </row>
    <row r="21" spans="1:7" hidden="1">
      <c r="A21" t="s">
        <v>1449</v>
      </c>
      <c r="B21" t="s">
        <v>1460</v>
      </c>
      <c r="C21" t="s">
        <v>1441</v>
      </c>
      <c r="D21" t="s">
        <v>1455</v>
      </c>
      <c r="E21">
        <v>40561</v>
      </c>
      <c r="F21">
        <v>3</v>
      </c>
      <c r="G21">
        <v>2508</v>
      </c>
    </row>
    <row r="22" spans="1:7" hidden="1">
      <c r="A22" t="s">
        <v>1440</v>
      </c>
      <c r="B22" t="s">
        <v>1460</v>
      </c>
      <c r="C22" t="s">
        <v>1439</v>
      </c>
      <c r="D22" t="s">
        <v>1453</v>
      </c>
      <c r="E22">
        <v>40338</v>
      </c>
      <c r="F22">
        <v>3</v>
      </c>
      <c r="G22">
        <v>2058</v>
      </c>
    </row>
    <row r="23" spans="1:7" hidden="1">
      <c r="A23" t="s">
        <v>1449</v>
      </c>
      <c r="B23" t="s">
        <v>1460</v>
      </c>
      <c r="C23" t="s">
        <v>1439</v>
      </c>
      <c r="D23" t="s">
        <v>1453</v>
      </c>
      <c r="E23">
        <v>40827</v>
      </c>
      <c r="F23">
        <v>3</v>
      </c>
      <c r="G23">
        <v>2253</v>
      </c>
    </row>
    <row r="24" spans="1:7" hidden="1">
      <c r="A24" t="s">
        <v>1454</v>
      </c>
      <c r="B24" t="s">
        <v>1460</v>
      </c>
      <c r="C24" t="s">
        <v>1436</v>
      </c>
      <c r="D24" t="s">
        <v>1453</v>
      </c>
      <c r="E24">
        <v>40369</v>
      </c>
      <c r="F24">
        <v>3</v>
      </c>
      <c r="G24">
        <v>2649</v>
      </c>
    </row>
    <row r="25" spans="1:7" hidden="1">
      <c r="A25" t="s">
        <v>1442</v>
      </c>
      <c r="B25" t="s">
        <v>1460</v>
      </c>
      <c r="C25" t="s">
        <v>1441</v>
      </c>
      <c r="D25" t="s">
        <v>1452</v>
      </c>
      <c r="E25">
        <v>40494</v>
      </c>
      <c r="F25">
        <v>3</v>
      </c>
      <c r="G25">
        <v>1542</v>
      </c>
    </row>
    <row r="26" spans="1:7" hidden="1">
      <c r="A26" t="s">
        <v>1449</v>
      </c>
      <c r="B26" t="s">
        <v>1460</v>
      </c>
      <c r="C26" t="s">
        <v>1439</v>
      </c>
      <c r="D26" t="s">
        <v>1452</v>
      </c>
      <c r="E26">
        <v>40896</v>
      </c>
      <c r="F26">
        <v>3</v>
      </c>
      <c r="G26">
        <v>1386</v>
      </c>
    </row>
    <row r="27" spans="1:7" hidden="1">
      <c r="A27" t="s">
        <v>1440</v>
      </c>
      <c r="B27" t="s">
        <v>1460</v>
      </c>
      <c r="C27" t="s">
        <v>1436</v>
      </c>
      <c r="D27" t="s">
        <v>1452</v>
      </c>
      <c r="E27">
        <v>40701</v>
      </c>
      <c r="F27">
        <v>3</v>
      </c>
      <c r="G27">
        <v>1896</v>
      </c>
    </row>
    <row r="28" spans="1:7">
      <c r="A28" t="s">
        <v>1451</v>
      </c>
      <c r="B28" t="s">
        <v>1460</v>
      </c>
      <c r="C28" t="s">
        <v>1441</v>
      </c>
      <c r="D28" t="s">
        <v>1450</v>
      </c>
      <c r="E28">
        <v>40863</v>
      </c>
      <c r="F28">
        <v>3</v>
      </c>
      <c r="G28">
        <v>2337</v>
      </c>
    </row>
    <row r="29" spans="1:7">
      <c r="A29" t="s">
        <v>1449</v>
      </c>
      <c r="B29" t="s">
        <v>1460</v>
      </c>
      <c r="C29" t="s">
        <v>1436</v>
      </c>
      <c r="D29" t="s">
        <v>1450</v>
      </c>
      <c r="E29">
        <v>40344</v>
      </c>
      <c r="F29">
        <v>3</v>
      </c>
      <c r="G29">
        <v>1659</v>
      </c>
    </row>
    <row r="30" spans="1:7" hidden="1">
      <c r="A30" t="s">
        <v>1440</v>
      </c>
      <c r="B30" t="s">
        <v>1460</v>
      </c>
      <c r="C30" t="s">
        <v>1441</v>
      </c>
      <c r="D30" t="s">
        <v>1455</v>
      </c>
      <c r="E30">
        <v>40479</v>
      </c>
      <c r="F30">
        <v>4</v>
      </c>
      <c r="G30">
        <v>2116</v>
      </c>
    </row>
    <row r="31" spans="1:7" hidden="1">
      <c r="A31" t="s">
        <v>1449</v>
      </c>
      <c r="B31" t="s">
        <v>1460</v>
      </c>
      <c r="C31" t="s">
        <v>1439</v>
      </c>
      <c r="D31" t="s">
        <v>1455</v>
      </c>
      <c r="E31">
        <v>40411</v>
      </c>
      <c r="F31">
        <v>4</v>
      </c>
      <c r="G31">
        <v>3052</v>
      </c>
    </row>
    <row r="32" spans="1:7" hidden="1">
      <c r="A32" t="s">
        <v>1438</v>
      </c>
      <c r="B32" t="s">
        <v>1460</v>
      </c>
      <c r="C32" t="s">
        <v>1439</v>
      </c>
      <c r="D32" t="s">
        <v>1453</v>
      </c>
      <c r="E32">
        <v>40217</v>
      </c>
      <c r="F32">
        <v>4</v>
      </c>
      <c r="G32">
        <v>2656</v>
      </c>
    </row>
    <row r="33" spans="1:7" hidden="1">
      <c r="A33" t="s">
        <v>1443</v>
      </c>
      <c r="B33" t="s">
        <v>1460</v>
      </c>
      <c r="C33" t="s">
        <v>1445</v>
      </c>
      <c r="D33" t="s">
        <v>1452</v>
      </c>
      <c r="E33">
        <v>40280</v>
      </c>
      <c r="F33">
        <v>4</v>
      </c>
      <c r="G33">
        <v>3512</v>
      </c>
    </row>
    <row r="34" spans="1:7" hidden="1">
      <c r="A34" t="s">
        <v>1451</v>
      </c>
      <c r="B34" t="s">
        <v>1460</v>
      </c>
      <c r="C34" t="s">
        <v>1439</v>
      </c>
      <c r="D34" t="s">
        <v>1452</v>
      </c>
      <c r="E34">
        <v>40591</v>
      </c>
      <c r="F34">
        <v>4</v>
      </c>
      <c r="G34">
        <v>2092</v>
      </c>
    </row>
    <row r="35" spans="1:7" hidden="1">
      <c r="A35" t="s">
        <v>1446</v>
      </c>
      <c r="B35" t="s">
        <v>1460</v>
      </c>
      <c r="C35" t="s">
        <v>1439</v>
      </c>
      <c r="D35" t="s">
        <v>1452</v>
      </c>
      <c r="E35">
        <v>40814</v>
      </c>
      <c r="F35">
        <v>4</v>
      </c>
      <c r="G35">
        <v>2720</v>
      </c>
    </row>
    <row r="36" spans="1:7" hidden="1">
      <c r="A36" t="s">
        <v>1442</v>
      </c>
      <c r="B36" t="s">
        <v>1460</v>
      </c>
      <c r="C36" t="s">
        <v>1436</v>
      </c>
      <c r="D36" t="s">
        <v>1452</v>
      </c>
      <c r="E36">
        <v>40687</v>
      </c>
      <c r="F36">
        <v>4</v>
      </c>
      <c r="G36">
        <v>2580</v>
      </c>
    </row>
    <row r="37" spans="1:7">
      <c r="A37" t="s">
        <v>1449</v>
      </c>
      <c r="B37" t="s">
        <v>1460</v>
      </c>
      <c r="C37" t="s">
        <v>1439</v>
      </c>
      <c r="D37" t="s">
        <v>1450</v>
      </c>
      <c r="E37">
        <v>40427</v>
      </c>
      <c r="F37">
        <v>4</v>
      </c>
      <c r="G37">
        <v>3420</v>
      </c>
    </row>
    <row r="38" spans="1:7">
      <c r="A38" t="s">
        <v>1438</v>
      </c>
      <c r="B38" t="s">
        <v>1460</v>
      </c>
      <c r="C38" t="s">
        <v>1439</v>
      </c>
      <c r="D38" t="s">
        <v>1450</v>
      </c>
      <c r="E38">
        <v>40442</v>
      </c>
      <c r="F38">
        <v>4</v>
      </c>
      <c r="G38">
        <v>2276</v>
      </c>
    </row>
    <row r="39" spans="1:7" hidden="1">
      <c r="A39" t="s">
        <v>1456</v>
      </c>
      <c r="B39" t="s">
        <v>1460</v>
      </c>
      <c r="C39" t="s">
        <v>1445</v>
      </c>
      <c r="D39" t="s">
        <v>1455</v>
      </c>
      <c r="E39">
        <v>40884</v>
      </c>
      <c r="F39">
        <v>5</v>
      </c>
      <c r="G39">
        <v>3315</v>
      </c>
    </row>
    <row r="40" spans="1:7" hidden="1">
      <c r="A40" t="s">
        <v>1438</v>
      </c>
      <c r="B40" t="s">
        <v>1460</v>
      </c>
      <c r="C40" t="s">
        <v>1436</v>
      </c>
      <c r="D40" t="s">
        <v>1455</v>
      </c>
      <c r="E40">
        <v>40326</v>
      </c>
      <c r="F40">
        <v>5</v>
      </c>
      <c r="G40">
        <v>3130</v>
      </c>
    </row>
    <row r="41" spans="1:7" hidden="1">
      <c r="A41" t="s">
        <v>1448</v>
      </c>
      <c r="B41" t="s">
        <v>1460</v>
      </c>
      <c r="C41" t="s">
        <v>1445</v>
      </c>
      <c r="D41" t="s">
        <v>1453</v>
      </c>
      <c r="E41">
        <v>40499</v>
      </c>
      <c r="F41">
        <v>5</v>
      </c>
      <c r="G41">
        <v>3765</v>
      </c>
    </row>
    <row r="42" spans="1:7" hidden="1">
      <c r="A42" t="s">
        <v>1448</v>
      </c>
      <c r="B42" t="s">
        <v>1460</v>
      </c>
      <c r="C42" t="s">
        <v>1441</v>
      </c>
      <c r="D42" t="s">
        <v>1453</v>
      </c>
      <c r="E42">
        <v>40207</v>
      </c>
      <c r="F42">
        <v>5</v>
      </c>
      <c r="G42">
        <v>4475</v>
      </c>
    </row>
    <row r="43" spans="1:7" hidden="1">
      <c r="A43" t="s">
        <v>1444</v>
      </c>
      <c r="B43" t="s">
        <v>1460</v>
      </c>
      <c r="C43" t="s">
        <v>1439</v>
      </c>
      <c r="D43" t="s">
        <v>1453</v>
      </c>
      <c r="E43">
        <v>40225</v>
      </c>
      <c r="F43">
        <v>5</v>
      </c>
      <c r="G43">
        <v>2910</v>
      </c>
    </row>
    <row r="44" spans="1:7" hidden="1">
      <c r="A44" t="s">
        <v>1454</v>
      </c>
      <c r="B44" t="s">
        <v>1460</v>
      </c>
      <c r="C44" t="s">
        <v>1436</v>
      </c>
      <c r="D44" t="s">
        <v>1453</v>
      </c>
      <c r="E44">
        <v>40470</v>
      </c>
      <c r="F44">
        <v>5</v>
      </c>
      <c r="G44">
        <v>2315</v>
      </c>
    </row>
    <row r="45" spans="1:7" hidden="1">
      <c r="A45" t="s">
        <v>1449</v>
      </c>
      <c r="B45" t="s">
        <v>1460</v>
      </c>
      <c r="C45" t="s">
        <v>1445</v>
      </c>
      <c r="D45" t="s">
        <v>1452</v>
      </c>
      <c r="E45">
        <v>40841</v>
      </c>
      <c r="F45">
        <v>5</v>
      </c>
      <c r="G45">
        <v>2530</v>
      </c>
    </row>
    <row r="46" spans="1:7" hidden="1">
      <c r="A46" t="s">
        <v>1438</v>
      </c>
      <c r="B46" t="s">
        <v>1460</v>
      </c>
      <c r="C46" t="s">
        <v>1441</v>
      </c>
      <c r="D46" t="s">
        <v>1452</v>
      </c>
      <c r="E46">
        <v>40394</v>
      </c>
      <c r="F46">
        <v>5</v>
      </c>
      <c r="G46">
        <v>3110</v>
      </c>
    </row>
    <row r="47" spans="1:7">
      <c r="A47" t="s">
        <v>1451</v>
      </c>
      <c r="B47" t="s">
        <v>1460</v>
      </c>
      <c r="C47" t="s">
        <v>1445</v>
      </c>
      <c r="D47" t="s">
        <v>1450</v>
      </c>
      <c r="E47">
        <v>40729</v>
      </c>
      <c r="F47">
        <v>5</v>
      </c>
      <c r="G47">
        <v>3970</v>
      </c>
    </row>
    <row r="48" spans="1:7">
      <c r="A48" t="s">
        <v>1443</v>
      </c>
      <c r="B48" t="s">
        <v>1460</v>
      </c>
      <c r="C48" t="s">
        <v>1445</v>
      </c>
      <c r="D48" t="s">
        <v>1450</v>
      </c>
      <c r="E48">
        <v>40754</v>
      </c>
      <c r="F48">
        <v>5</v>
      </c>
      <c r="G48">
        <v>3135</v>
      </c>
    </row>
    <row r="49" spans="1:7">
      <c r="A49" t="s">
        <v>1440</v>
      </c>
      <c r="B49" t="s">
        <v>1460</v>
      </c>
      <c r="C49" t="s">
        <v>1436</v>
      </c>
      <c r="D49" t="s">
        <v>1450</v>
      </c>
      <c r="E49">
        <v>40653</v>
      </c>
      <c r="F49">
        <v>5</v>
      </c>
      <c r="G49">
        <v>3400</v>
      </c>
    </row>
    <row r="50" spans="1:7" hidden="1">
      <c r="A50" t="s">
        <v>1440</v>
      </c>
      <c r="B50" t="s">
        <v>1460</v>
      </c>
      <c r="C50" t="s">
        <v>1445</v>
      </c>
      <c r="D50" t="s">
        <v>1435</v>
      </c>
      <c r="E50">
        <v>40191</v>
      </c>
      <c r="F50">
        <v>6</v>
      </c>
      <c r="G50">
        <v>5346</v>
      </c>
    </row>
    <row r="51" spans="1:7" hidden="1">
      <c r="A51" t="s">
        <v>1448</v>
      </c>
      <c r="B51" t="s">
        <v>1460</v>
      </c>
      <c r="C51" t="s">
        <v>1436</v>
      </c>
      <c r="D51" t="s">
        <v>1435</v>
      </c>
      <c r="E51">
        <v>40448</v>
      </c>
      <c r="F51">
        <v>6</v>
      </c>
      <c r="G51">
        <v>3738</v>
      </c>
    </row>
    <row r="52" spans="1:7" hidden="1">
      <c r="A52" t="s">
        <v>1448</v>
      </c>
      <c r="B52" t="s">
        <v>1460</v>
      </c>
      <c r="C52" t="s">
        <v>1436</v>
      </c>
      <c r="D52" t="s">
        <v>1435</v>
      </c>
      <c r="E52">
        <v>40556</v>
      </c>
      <c r="F52">
        <v>6</v>
      </c>
      <c r="G52">
        <v>4434</v>
      </c>
    </row>
    <row r="53" spans="1:7" hidden="1">
      <c r="A53" t="s">
        <v>1442</v>
      </c>
      <c r="B53" t="s">
        <v>1460</v>
      </c>
      <c r="C53" t="s">
        <v>1441</v>
      </c>
      <c r="D53" t="s">
        <v>1453</v>
      </c>
      <c r="E53">
        <v>40306</v>
      </c>
      <c r="F53">
        <v>6</v>
      </c>
      <c r="G53">
        <v>3192</v>
      </c>
    </row>
    <row r="54" spans="1:7" hidden="1">
      <c r="A54" t="s">
        <v>1449</v>
      </c>
      <c r="B54" t="s">
        <v>1460</v>
      </c>
      <c r="C54" t="s">
        <v>1441</v>
      </c>
      <c r="D54" t="s">
        <v>1453</v>
      </c>
      <c r="E54">
        <v>40870</v>
      </c>
      <c r="F54">
        <v>6</v>
      </c>
      <c r="G54">
        <v>4824</v>
      </c>
    </row>
    <row r="55" spans="1:7" hidden="1">
      <c r="A55" t="s">
        <v>1442</v>
      </c>
      <c r="B55" t="s">
        <v>1460</v>
      </c>
      <c r="C55" t="s">
        <v>1436</v>
      </c>
      <c r="D55" t="s">
        <v>1453</v>
      </c>
      <c r="E55">
        <v>40578</v>
      </c>
      <c r="F55">
        <v>6</v>
      </c>
      <c r="G55">
        <v>4992</v>
      </c>
    </row>
    <row r="56" spans="1:7" hidden="1">
      <c r="A56" t="s">
        <v>1440</v>
      </c>
      <c r="B56" t="s">
        <v>1460</v>
      </c>
      <c r="C56" t="s">
        <v>1441</v>
      </c>
      <c r="D56" t="s">
        <v>1452</v>
      </c>
      <c r="E56">
        <v>40532</v>
      </c>
      <c r="F56">
        <v>6</v>
      </c>
      <c r="G56">
        <v>3150</v>
      </c>
    </row>
    <row r="57" spans="1:7">
      <c r="A57" t="s">
        <v>1447</v>
      </c>
      <c r="B57" t="s">
        <v>1460</v>
      </c>
      <c r="C57" t="s">
        <v>1445</v>
      </c>
      <c r="D57" t="s">
        <v>1450</v>
      </c>
      <c r="E57">
        <v>40303</v>
      </c>
      <c r="F57">
        <v>6</v>
      </c>
      <c r="G57">
        <v>4134</v>
      </c>
    </row>
    <row r="58" spans="1:7">
      <c r="A58" t="s">
        <v>1443</v>
      </c>
      <c r="B58" t="s">
        <v>1460</v>
      </c>
      <c r="C58" t="s">
        <v>1441</v>
      </c>
      <c r="D58" t="s">
        <v>1450</v>
      </c>
      <c r="E58">
        <v>40347</v>
      </c>
      <c r="F58">
        <v>6</v>
      </c>
      <c r="G58">
        <v>4002</v>
      </c>
    </row>
    <row r="59" spans="1:7" hidden="1">
      <c r="A59" t="s">
        <v>1449</v>
      </c>
      <c r="B59" t="s">
        <v>1460</v>
      </c>
      <c r="C59" t="s">
        <v>1441</v>
      </c>
      <c r="D59" t="s">
        <v>1455</v>
      </c>
      <c r="E59">
        <v>40523</v>
      </c>
      <c r="F59">
        <v>7</v>
      </c>
      <c r="G59">
        <v>5362</v>
      </c>
    </row>
    <row r="60" spans="1:7" hidden="1">
      <c r="A60" t="s">
        <v>1456</v>
      </c>
      <c r="B60" t="s">
        <v>1460</v>
      </c>
      <c r="C60" t="s">
        <v>1441</v>
      </c>
      <c r="D60" t="s">
        <v>1455</v>
      </c>
      <c r="E60">
        <v>40848</v>
      </c>
      <c r="F60">
        <v>7</v>
      </c>
      <c r="G60">
        <v>5383</v>
      </c>
    </row>
    <row r="61" spans="1:7" hidden="1">
      <c r="A61" t="s">
        <v>1454</v>
      </c>
      <c r="B61" t="s">
        <v>1460</v>
      </c>
      <c r="C61" t="s">
        <v>1436</v>
      </c>
      <c r="D61" t="s">
        <v>1455</v>
      </c>
      <c r="E61">
        <v>40550</v>
      </c>
      <c r="F61">
        <v>7</v>
      </c>
      <c r="G61">
        <v>2905</v>
      </c>
    </row>
    <row r="62" spans="1:7" hidden="1">
      <c r="A62" t="s">
        <v>1451</v>
      </c>
      <c r="B62" t="s">
        <v>1460</v>
      </c>
      <c r="C62" t="s">
        <v>1436</v>
      </c>
      <c r="D62" t="s">
        <v>1455</v>
      </c>
      <c r="E62">
        <v>40857</v>
      </c>
      <c r="F62">
        <v>7</v>
      </c>
      <c r="G62">
        <v>5635</v>
      </c>
    </row>
    <row r="63" spans="1:7" hidden="1">
      <c r="A63" t="s">
        <v>1451</v>
      </c>
      <c r="B63" t="s">
        <v>1460</v>
      </c>
      <c r="C63" t="s">
        <v>1441</v>
      </c>
      <c r="D63" t="s">
        <v>1435</v>
      </c>
      <c r="E63">
        <v>40628</v>
      </c>
      <c r="F63">
        <v>7</v>
      </c>
      <c r="G63">
        <v>3255</v>
      </c>
    </row>
    <row r="64" spans="1:7" hidden="1">
      <c r="A64" t="s">
        <v>1438</v>
      </c>
      <c r="B64" t="s">
        <v>1460</v>
      </c>
      <c r="C64" t="s">
        <v>1441</v>
      </c>
      <c r="D64" t="s">
        <v>1435</v>
      </c>
      <c r="E64">
        <v>40684</v>
      </c>
      <c r="F64">
        <v>7</v>
      </c>
      <c r="G64">
        <v>4571</v>
      </c>
    </row>
    <row r="65" spans="1:7" hidden="1">
      <c r="A65" t="s">
        <v>1448</v>
      </c>
      <c r="B65" t="s">
        <v>1460</v>
      </c>
      <c r="C65" t="s">
        <v>1439</v>
      </c>
      <c r="D65" t="s">
        <v>1435</v>
      </c>
      <c r="E65">
        <v>40281</v>
      </c>
      <c r="F65">
        <v>7</v>
      </c>
      <c r="G65">
        <v>5922</v>
      </c>
    </row>
    <row r="66" spans="1:7" hidden="1">
      <c r="A66" t="s">
        <v>1449</v>
      </c>
      <c r="B66" t="s">
        <v>1460</v>
      </c>
      <c r="C66" t="s">
        <v>1441</v>
      </c>
      <c r="D66" t="s">
        <v>1452</v>
      </c>
      <c r="E66">
        <v>40267</v>
      </c>
      <c r="F66">
        <v>7</v>
      </c>
      <c r="G66">
        <v>5866</v>
      </c>
    </row>
    <row r="67" spans="1:7" hidden="1">
      <c r="A67" t="s">
        <v>1448</v>
      </c>
      <c r="B67" t="s">
        <v>1460</v>
      </c>
      <c r="C67" t="s">
        <v>1441</v>
      </c>
      <c r="D67" t="s">
        <v>1452</v>
      </c>
      <c r="E67">
        <v>40732</v>
      </c>
      <c r="F67">
        <v>7</v>
      </c>
      <c r="G67">
        <v>5040</v>
      </c>
    </row>
    <row r="68" spans="1:7" hidden="1">
      <c r="A68" t="s">
        <v>1449</v>
      </c>
      <c r="B68" t="s">
        <v>1460</v>
      </c>
      <c r="C68" t="s">
        <v>1439</v>
      </c>
      <c r="D68" t="s">
        <v>1452</v>
      </c>
      <c r="E68">
        <v>40754</v>
      </c>
      <c r="F68">
        <v>7</v>
      </c>
      <c r="G68">
        <v>4270</v>
      </c>
    </row>
    <row r="69" spans="1:7" hidden="1">
      <c r="A69" t="s">
        <v>1449</v>
      </c>
      <c r="B69" t="s">
        <v>1460</v>
      </c>
      <c r="C69" t="s">
        <v>1436</v>
      </c>
      <c r="D69" t="s">
        <v>1452</v>
      </c>
      <c r="E69">
        <v>40205</v>
      </c>
      <c r="F69">
        <v>7</v>
      </c>
      <c r="G69">
        <v>6083</v>
      </c>
    </row>
    <row r="70" spans="1:7" hidden="1">
      <c r="A70" t="s">
        <v>1438</v>
      </c>
      <c r="B70" t="s">
        <v>1460</v>
      </c>
      <c r="C70" t="s">
        <v>1436</v>
      </c>
      <c r="D70" t="s">
        <v>1452</v>
      </c>
      <c r="E70">
        <v>40207</v>
      </c>
      <c r="F70">
        <v>7</v>
      </c>
      <c r="G70">
        <v>4984</v>
      </c>
    </row>
    <row r="71" spans="1:7">
      <c r="A71" t="s">
        <v>1454</v>
      </c>
      <c r="B71" t="s">
        <v>1460</v>
      </c>
      <c r="C71" t="s">
        <v>1441</v>
      </c>
      <c r="D71" t="s">
        <v>1450</v>
      </c>
      <c r="E71">
        <v>40484</v>
      </c>
      <c r="F71">
        <v>7</v>
      </c>
      <c r="G71">
        <v>3388</v>
      </c>
    </row>
    <row r="72" spans="1:7">
      <c r="A72" t="s">
        <v>1443</v>
      </c>
      <c r="B72" t="s">
        <v>1460</v>
      </c>
      <c r="C72" t="s">
        <v>1436</v>
      </c>
      <c r="D72" t="s">
        <v>1450</v>
      </c>
      <c r="E72">
        <v>40551</v>
      </c>
      <c r="F72">
        <v>7</v>
      </c>
      <c r="G72">
        <v>4984</v>
      </c>
    </row>
    <row r="73" spans="1:7" hidden="1">
      <c r="A73" t="s">
        <v>1448</v>
      </c>
      <c r="B73" t="s">
        <v>1460</v>
      </c>
      <c r="C73" t="s">
        <v>1445</v>
      </c>
      <c r="D73" t="s">
        <v>1455</v>
      </c>
      <c r="E73">
        <v>40550</v>
      </c>
      <c r="F73">
        <v>8</v>
      </c>
      <c r="G73">
        <v>4448</v>
      </c>
    </row>
    <row r="74" spans="1:7" hidden="1">
      <c r="A74" t="s">
        <v>1443</v>
      </c>
      <c r="B74" t="s">
        <v>1460</v>
      </c>
      <c r="C74" t="s">
        <v>1441</v>
      </c>
      <c r="D74" t="s">
        <v>1455</v>
      </c>
      <c r="E74">
        <v>40246</v>
      </c>
      <c r="F74">
        <v>8</v>
      </c>
      <c r="G74">
        <v>5808</v>
      </c>
    </row>
    <row r="75" spans="1:7" hidden="1">
      <c r="A75" t="s">
        <v>1451</v>
      </c>
      <c r="B75" t="s">
        <v>1460</v>
      </c>
      <c r="C75" t="s">
        <v>1439</v>
      </c>
      <c r="D75" t="s">
        <v>1455</v>
      </c>
      <c r="E75">
        <v>40659</v>
      </c>
      <c r="F75">
        <v>8</v>
      </c>
      <c r="G75">
        <v>4016</v>
      </c>
    </row>
    <row r="76" spans="1:7" hidden="1">
      <c r="A76" t="s">
        <v>1440</v>
      </c>
      <c r="B76" t="s">
        <v>1460</v>
      </c>
      <c r="C76" t="s">
        <v>1436</v>
      </c>
      <c r="D76" t="s">
        <v>1455</v>
      </c>
      <c r="E76">
        <v>40394</v>
      </c>
      <c r="F76">
        <v>8</v>
      </c>
      <c r="G76">
        <v>6520</v>
      </c>
    </row>
    <row r="77" spans="1:7" hidden="1">
      <c r="A77" t="s">
        <v>1442</v>
      </c>
      <c r="B77" t="s">
        <v>1460</v>
      </c>
      <c r="C77" t="s">
        <v>1445</v>
      </c>
      <c r="D77" t="s">
        <v>1435</v>
      </c>
      <c r="E77">
        <v>40614</v>
      </c>
      <c r="F77">
        <v>8</v>
      </c>
      <c r="G77">
        <v>4128</v>
      </c>
    </row>
    <row r="78" spans="1:7" hidden="1">
      <c r="A78" t="s">
        <v>1442</v>
      </c>
      <c r="B78" t="s">
        <v>1460</v>
      </c>
      <c r="C78" t="s">
        <v>1445</v>
      </c>
      <c r="D78" t="s">
        <v>1435</v>
      </c>
      <c r="E78">
        <v>40691</v>
      </c>
      <c r="F78">
        <v>8</v>
      </c>
      <c r="G78">
        <v>5640</v>
      </c>
    </row>
    <row r="79" spans="1:7" hidden="1">
      <c r="A79" t="s">
        <v>1438</v>
      </c>
      <c r="B79" t="s">
        <v>1460</v>
      </c>
      <c r="C79" t="s">
        <v>1441</v>
      </c>
      <c r="D79" t="s">
        <v>1435</v>
      </c>
      <c r="E79">
        <v>40847</v>
      </c>
      <c r="F79">
        <v>8</v>
      </c>
      <c r="G79">
        <v>3664</v>
      </c>
    </row>
    <row r="80" spans="1:7" hidden="1">
      <c r="A80" t="s">
        <v>1438</v>
      </c>
      <c r="B80" t="s">
        <v>1460</v>
      </c>
      <c r="C80" t="s">
        <v>1445</v>
      </c>
      <c r="D80" t="s">
        <v>1453</v>
      </c>
      <c r="E80">
        <v>40247</v>
      </c>
      <c r="F80">
        <v>8</v>
      </c>
      <c r="G80">
        <v>5512</v>
      </c>
    </row>
    <row r="81" spans="1:7" hidden="1">
      <c r="A81" t="s">
        <v>1443</v>
      </c>
      <c r="B81" t="s">
        <v>1460</v>
      </c>
      <c r="C81" t="s">
        <v>1445</v>
      </c>
      <c r="D81" t="s">
        <v>1452</v>
      </c>
      <c r="E81">
        <v>40287</v>
      </c>
      <c r="F81">
        <v>8</v>
      </c>
      <c r="G81">
        <v>4600</v>
      </c>
    </row>
    <row r="82" spans="1:7" hidden="1">
      <c r="A82" t="s">
        <v>1443</v>
      </c>
      <c r="B82" t="s">
        <v>1460</v>
      </c>
      <c r="C82" t="s">
        <v>1445</v>
      </c>
      <c r="D82" t="s">
        <v>1452</v>
      </c>
      <c r="E82">
        <v>40435</v>
      </c>
      <c r="F82">
        <v>8</v>
      </c>
      <c r="G82">
        <v>5880</v>
      </c>
    </row>
    <row r="83" spans="1:7" hidden="1">
      <c r="A83" t="s">
        <v>1438</v>
      </c>
      <c r="B83" t="s">
        <v>1460</v>
      </c>
      <c r="C83" t="s">
        <v>1441</v>
      </c>
      <c r="D83" t="s">
        <v>1452</v>
      </c>
      <c r="E83">
        <v>40260</v>
      </c>
      <c r="F83">
        <v>8</v>
      </c>
      <c r="G83">
        <v>5616</v>
      </c>
    </row>
    <row r="84" spans="1:7">
      <c r="A84" t="s">
        <v>1438</v>
      </c>
      <c r="B84" t="s">
        <v>1460</v>
      </c>
      <c r="C84" t="s">
        <v>1441</v>
      </c>
      <c r="D84" t="s">
        <v>1450</v>
      </c>
      <c r="E84">
        <v>40716</v>
      </c>
      <c r="F84">
        <v>8</v>
      </c>
      <c r="G84">
        <v>3872</v>
      </c>
    </row>
    <row r="85" spans="1:7">
      <c r="A85" t="s">
        <v>1438</v>
      </c>
      <c r="B85" t="s">
        <v>1460</v>
      </c>
      <c r="C85" t="s">
        <v>1439</v>
      </c>
      <c r="D85" t="s">
        <v>1450</v>
      </c>
      <c r="E85">
        <v>40294</v>
      </c>
      <c r="F85">
        <v>8</v>
      </c>
      <c r="G85">
        <v>5976</v>
      </c>
    </row>
    <row r="86" spans="1:7" hidden="1">
      <c r="A86" t="s">
        <v>1438</v>
      </c>
      <c r="B86" t="s">
        <v>1460</v>
      </c>
      <c r="C86" t="s">
        <v>1445</v>
      </c>
      <c r="D86" t="s">
        <v>1455</v>
      </c>
      <c r="E86">
        <v>40234</v>
      </c>
      <c r="F86">
        <v>9</v>
      </c>
      <c r="G86">
        <v>5814</v>
      </c>
    </row>
    <row r="87" spans="1:7" hidden="1">
      <c r="A87" t="s">
        <v>1438</v>
      </c>
      <c r="B87" t="s">
        <v>1460</v>
      </c>
      <c r="C87" t="s">
        <v>1441</v>
      </c>
      <c r="D87" t="s">
        <v>1455</v>
      </c>
      <c r="E87">
        <v>40478</v>
      </c>
      <c r="F87">
        <v>9</v>
      </c>
      <c r="G87">
        <v>4194</v>
      </c>
    </row>
    <row r="88" spans="1:7" hidden="1">
      <c r="A88" t="s">
        <v>1448</v>
      </c>
      <c r="B88" t="s">
        <v>1460</v>
      </c>
      <c r="C88" t="s">
        <v>1439</v>
      </c>
      <c r="D88" t="s">
        <v>1455</v>
      </c>
      <c r="E88">
        <v>40308</v>
      </c>
      <c r="F88">
        <v>9</v>
      </c>
      <c r="G88">
        <v>5274</v>
      </c>
    </row>
    <row r="89" spans="1:7" hidden="1">
      <c r="A89" t="s">
        <v>1447</v>
      </c>
      <c r="B89" t="s">
        <v>1460</v>
      </c>
      <c r="C89" t="s">
        <v>1436</v>
      </c>
      <c r="D89" t="s">
        <v>1455</v>
      </c>
      <c r="E89">
        <v>40225</v>
      </c>
      <c r="F89">
        <v>9</v>
      </c>
      <c r="G89">
        <v>4788</v>
      </c>
    </row>
    <row r="90" spans="1:7" hidden="1">
      <c r="A90" t="s">
        <v>1442</v>
      </c>
      <c r="B90" t="s">
        <v>1460</v>
      </c>
      <c r="C90" t="s">
        <v>1436</v>
      </c>
      <c r="D90" t="s">
        <v>1455</v>
      </c>
      <c r="E90">
        <v>40816</v>
      </c>
      <c r="F90">
        <v>9</v>
      </c>
      <c r="G90">
        <v>7920</v>
      </c>
    </row>
    <row r="91" spans="1:7" hidden="1">
      <c r="A91" t="s">
        <v>1443</v>
      </c>
      <c r="B91" t="s">
        <v>1460</v>
      </c>
      <c r="C91" t="s">
        <v>1436</v>
      </c>
      <c r="D91" t="s">
        <v>1435</v>
      </c>
      <c r="E91">
        <v>40613</v>
      </c>
      <c r="F91">
        <v>9</v>
      </c>
      <c r="G91">
        <v>4644</v>
      </c>
    </row>
    <row r="92" spans="1:7" hidden="1">
      <c r="A92" t="s">
        <v>1449</v>
      </c>
      <c r="B92" t="s">
        <v>1460</v>
      </c>
      <c r="C92" t="s">
        <v>1436</v>
      </c>
      <c r="D92" t="s">
        <v>1435</v>
      </c>
      <c r="E92">
        <v>40897</v>
      </c>
      <c r="F92">
        <v>9</v>
      </c>
      <c r="G92">
        <v>3987</v>
      </c>
    </row>
    <row r="93" spans="1:7" hidden="1">
      <c r="A93" t="s">
        <v>1442</v>
      </c>
      <c r="B93" t="s">
        <v>1460</v>
      </c>
      <c r="C93" t="s">
        <v>1439</v>
      </c>
      <c r="D93" t="s">
        <v>1453</v>
      </c>
      <c r="E93">
        <v>40403</v>
      </c>
      <c r="F93">
        <v>9</v>
      </c>
      <c r="G93">
        <v>3744</v>
      </c>
    </row>
    <row r="94" spans="1:7" hidden="1">
      <c r="A94" t="s">
        <v>1444</v>
      </c>
      <c r="B94" t="s">
        <v>1460</v>
      </c>
      <c r="C94" t="s">
        <v>1436</v>
      </c>
      <c r="D94" t="s">
        <v>1453</v>
      </c>
      <c r="E94">
        <v>40255</v>
      </c>
      <c r="F94">
        <v>9</v>
      </c>
      <c r="G94">
        <v>4662</v>
      </c>
    </row>
    <row r="95" spans="1:7">
      <c r="A95" t="s">
        <v>1444</v>
      </c>
      <c r="B95" t="s">
        <v>1460</v>
      </c>
      <c r="C95" t="s">
        <v>1445</v>
      </c>
      <c r="D95" t="s">
        <v>1450</v>
      </c>
      <c r="E95">
        <v>40385</v>
      </c>
      <c r="F95">
        <v>9</v>
      </c>
      <c r="G95">
        <v>5391</v>
      </c>
    </row>
    <row r="96" spans="1:7">
      <c r="A96" t="s">
        <v>1451</v>
      </c>
      <c r="B96" t="s">
        <v>1460</v>
      </c>
      <c r="C96" t="s">
        <v>1441</v>
      </c>
      <c r="D96" t="s">
        <v>1450</v>
      </c>
      <c r="E96">
        <v>40661</v>
      </c>
      <c r="F96">
        <v>9</v>
      </c>
      <c r="G96">
        <v>5940</v>
      </c>
    </row>
    <row r="97" spans="1:7">
      <c r="A97" t="s">
        <v>1440</v>
      </c>
      <c r="B97" t="s">
        <v>1460</v>
      </c>
      <c r="C97" t="s">
        <v>1436</v>
      </c>
      <c r="D97" t="s">
        <v>1450</v>
      </c>
      <c r="E97">
        <v>40351</v>
      </c>
      <c r="F97">
        <v>9</v>
      </c>
      <c r="G97">
        <v>3690</v>
      </c>
    </row>
    <row r="98" spans="1:7">
      <c r="A98" t="s">
        <v>1438</v>
      </c>
      <c r="B98" t="s">
        <v>1460</v>
      </c>
      <c r="C98" t="s">
        <v>1436</v>
      </c>
      <c r="D98" t="s">
        <v>1450</v>
      </c>
      <c r="E98">
        <v>40646</v>
      </c>
      <c r="F98">
        <v>9</v>
      </c>
      <c r="G98">
        <v>5526</v>
      </c>
    </row>
    <row r="99" spans="1:7">
      <c r="A99" t="s">
        <v>1442</v>
      </c>
      <c r="B99" t="s">
        <v>1460</v>
      </c>
      <c r="C99" t="s">
        <v>1436</v>
      </c>
      <c r="D99" t="s">
        <v>1450</v>
      </c>
      <c r="E99">
        <v>40801</v>
      </c>
      <c r="F99">
        <v>9</v>
      </c>
      <c r="G99">
        <v>4059</v>
      </c>
    </row>
    <row r="100" spans="1:7" hidden="1">
      <c r="A100" t="s">
        <v>1449</v>
      </c>
      <c r="B100" t="s">
        <v>1460</v>
      </c>
      <c r="C100" t="s">
        <v>1445</v>
      </c>
      <c r="D100" t="s">
        <v>1455</v>
      </c>
      <c r="E100">
        <v>40205</v>
      </c>
      <c r="F100">
        <v>10</v>
      </c>
      <c r="G100">
        <v>6720</v>
      </c>
    </row>
    <row r="101" spans="1:7" hidden="1">
      <c r="A101" t="s">
        <v>1438</v>
      </c>
      <c r="B101" t="s">
        <v>1460</v>
      </c>
      <c r="C101" t="s">
        <v>1441</v>
      </c>
      <c r="D101" t="s">
        <v>1455</v>
      </c>
      <c r="E101">
        <v>40439</v>
      </c>
      <c r="F101">
        <v>10</v>
      </c>
      <c r="G101">
        <v>8470</v>
      </c>
    </row>
    <row r="102" spans="1:7" hidden="1">
      <c r="A102" t="s">
        <v>1449</v>
      </c>
      <c r="B102" t="s">
        <v>1460</v>
      </c>
      <c r="C102" t="s">
        <v>1441</v>
      </c>
      <c r="D102" t="s">
        <v>1455</v>
      </c>
      <c r="E102">
        <v>40868</v>
      </c>
      <c r="F102">
        <v>10</v>
      </c>
      <c r="G102">
        <v>8420</v>
      </c>
    </row>
    <row r="103" spans="1:7" hidden="1">
      <c r="A103" t="s">
        <v>1447</v>
      </c>
      <c r="B103" t="s">
        <v>1460</v>
      </c>
      <c r="C103" t="s">
        <v>1439</v>
      </c>
      <c r="D103" t="s">
        <v>1455</v>
      </c>
      <c r="E103">
        <v>40480</v>
      </c>
      <c r="F103">
        <v>10</v>
      </c>
      <c r="G103">
        <v>6960</v>
      </c>
    </row>
    <row r="104" spans="1:7" hidden="1">
      <c r="A104" t="s">
        <v>1456</v>
      </c>
      <c r="B104" t="s">
        <v>1460</v>
      </c>
      <c r="C104" t="s">
        <v>1445</v>
      </c>
      <c r="D104" t="s">
        <v>1435</v>
      </c>
      <c r="E104">
        <v>40723</v>
      </c>
      <c r="F104">
        <v>10</v>
      </c>
      <c r="G104">
        <v>6120</v>
      </c>
    </row>
    <row r="105" spans="1:7" hidden="1">
      <c r="A105" t="s">
        <v>1449</v>
      </c>
      <c r="B105" t="s">
        <v>1460</v>
      </c>
      <c r="C105" t="s">
        <v>1445</v>
      </c>
      <c r="D105" t="s">
        <v>1453</v>
      </c>
      <c r="E105">
        <v>40869</v>
      </c>
      <c r="F105">
        <v>10</v>
      </c>
      <c r="G105">
        <v>5700</v>
      </c>
    </row>
    <row r="106" spans="1:7" hidden="1">
      <c r="A106" t="s">
        <v>1449</v>
      </c>
      <c r="B106" t="s">
        <v>1460</v>
      </c>
      <c r="C106" t="s">
        <v>1441</v>
      </c>
      <c r="D106" t="s">
        <v>1453</v>
      </c>
      <c r="E106">
        <v>40322</v>
      </c>
      <c r="F106">
        <v>10</v>
      </c>
      <c r="G106">
        <v>5960</v>
      </c>
    </row>
    <row r="107" spans="1:7" hidden="1">
      <c r="A107" t="s">
        <v>1456</v>
      </c>
      <c r="B107" t="s">
        <v>1460</v>
      </c>
      <c r="C107" t="s">
        <v>1441</v>
      </c>
      <c r="D107" t="s">
        <v>1453</v>
      </c>
      <c r="E107">
        <v>40694</v>
      </c>
      <c r="F107">
        <v>10</v>
      </c>
      <c r="G107">
        <v>5810</v>
      </c>
    </row>
    <row r="108" spans="1:7" hidden="1">
      <c r="A108" t="s">
        <v>1456</v>
      </c>
      <c r="B108" t="s">
        <v>1460</v>
      </c>
      <c r="C108" t="s">
        <v>1441</v>
      </c>
      <c r="D108" t="s">
        <v>1453</v>
      </c>
      <c r="E108">
        <v>40778</v>
      </c>
      <c r="F108">
        <v>10</v>
      </c>
      <c r="G108">
        <v>6330</v>
      </c>
    </row>
    <row r="109" spans="1:7" hidden="1">
      <c r="A109" t="s">
        <v>1449</v>
      </c>
      <c r="B109" t="s">
        <v>1460</v>
      </c>
      <c r="C109" t="s">
        <v>1439</v>
      </c>
      <c r="D109" t="s">
        <v>1453</v>
      </c>
      <c r="E109">
        <v>40658</v>
      </c>
      <c r="F109">
        <v>10</v>
      </c>
      <c r="G109">
        <v>6410</v>
      </c>
    </row>
    <row r="110" spans="1:7" hidden="1">
      <c r="A110" t="s">
        <v>1443</v>
      </c>
      <c r="B110" t="s">
        <v>1460</v>
      </c>
      <c r="C110" t="s">
        <v>1436</v>
      </c>
      <c r="D110" t="s">
        <v>1453</v>
      </c>
      <c r="E110">
        <v>40340</v>
      </c>
      <c r="F110">
        <v>10</v>
      </c>
      <c r="G110">
        <v>8090</v>
      </c>
    </row>
    <row r="111" spans="1:7" hidden="1">
      <c r="A111" t="s">
        <v>1438</v>
      </c>
      <c r="B111" t="s">
        <v>1460</v>
      </c>
      <c r="C111" t="s">
        <v>1445</v>
      </c>
      <c r="D111" t="s">
        <v>1452</v>
      </c>
      <c r="E111">
        <v>40435</v>
      </c>
      <c r="F111">
        <v>10</v>
      </c>
      <c r="G111">
        <v>8360</v>
      </c>
    </row>
    <row r="112" spans="1:7" hidden="1">
      <c r="A112" t="s">
        <v>1446</v>
      </c>
      <c r="B112" t="s">
        <v>1460</v>
      </c>
      <c r="C112" t="s">
        <v>1441</v>
      </c>
      <c r="D112" t="s">
        <v>1452</v>
      </c>
      <c r="E112">
        <v>40562</v>
      </c>
      <c r="F112">
        <v>10</v>
      </c>
      <c r="G112">
        <v>6350</v>
      </c>
    </row>
    <row r="113" spans="1:7" hidden="1">
      <c r="A113" t="s">
        <v>1454</v>
      </c>
      <c r="B113" t="s">
        <v>1460</v>
      </c>
      <c r="C113" t="s">
        <v>1439</v>
      </c>
      <c r="D113" t="s">
        <v>1452</v>
      </c>
      <c r="E113">
        <v>40309</v>
      </c>
      <c r="F113">
        <v>10</v>
      </c>
      <c r="G113">
        <v>6030</v>
      </c>
    </row>
    <row r="114" spans="1:7" hidden="1">
      <c r="A114" t="s">
        <v>1446</v>
      </c>
      <c r="B114" t="s">
        <v>1460</v>
      </c>
      <c r="C114" t="s">
        <v>1439</v>
      </c>
      <c r="D114" t="s">
        <v>1452</v>
      </c>
      <c r="E114">
        <v>40749</v>
      </c>
      <c r="F114">
        <v>10</v>
      </c>
      <c r="G114">
        <v>7210</v>
      </c>
    </row>
    <row r="115" spans="1:7" hidden="1">
      <c r="A115" t="s">
        <v>1444</v>
      </c>
      <c r="B115" t="s">
        <v>1460</v>
      </c>
      <c r="C115" t="s">
        <v>1436</v>
      </c>
      <c r="D115" t="s">
        <v>1452</v>
      </c>
      <c r="E115">
        <v>40432</v>
      </c>
      <c r="F115">
        <v>10</v>
      </c>
      <c r="G115">
        <v>4080</v>
      </c>
    </row>
    <row r="116" spans="1:7">
      <c r="A116" t="s">
        <v>1447</v>
      </c>
      <c r="B116" t="s">
        <v>1460</v>
      </c>
      <c r="C116" t="s">
        <v>1439</v>
      </c>
      <c r="D116" t="s">
        <v>1450</v>
      </c>
      <c r="E116">
        <v>40624</v>
      </c>
      <c r="F116">
        <v>10</v>
      </c>
      <c r="G116">
        <v>6920</v>
      </c>
    </row>
    <row r="117" spans="1:7" hidden="1">
      <c r="A117" t="s">
        <v>1440</v>
      </c>
      <c r="B117" t="s">
        <v>1460</v>
      </c>
      <c r="C117" t="s">
        <v>1436</v>
      </c>
      <c r="D117" t="s">
        <v>1455</v>
      </c>
      <c r="E117">
        <v>40250</v>
      </c>
      <c r="F117">
        <v>11</v>
      </c>
      <c r="G117">
        <v>9746</v>
      </c>
    </row>
    <row r="118" spans="1:7" hidden="1">
      <c r="A118" t="s">
        <v>1448</v>
      </c>
      <c r="B118" t="s">
        <v>1460</v>
      </c>
      <c r="C118" t="s">
        <v>1436</v>
      </c>
      <c r="D118" t="s">
        <v>1455</v>
      </c>
      <c r="E118">
        <v>40360</v>
      </c>
      <c r="F118">
        <v>11</v>
      </c>
      <c r="G118">
        <v>6314</v>
      </c>
    </row>
    <row r="119" spans="1:7" hidden="1">
      <c r="A119" t="s">
        <v>1443</v>
      </c>
      <c r="B119" t="s">
        <v>1460</v>
      </c>
      <c r="C119" t="s">
        <v>1445</v>
      </c>
      <c r="D119" t="s">
        <v>1435</v>
      </c>
      <c r="E119">
        <v>40704</v>
      </c>
      <c r="F119">
        <v>11</v>
      </c>
      <c r="G119">
        <v>4466</v>
      </c>
    </row>
    <row r="120" spans="1:7" hidden="1">
      <c r="A120" t="s">
        <v>1442</v>
      </c>
      <c r="B120" t="s">
        <v>1460</v>
      </c>
      <c r="C120" t="s">
        <v>1445</v>
      </c>
      <c r="D120" t="s">
        <v>1435</v>
      </c>
      <c r="E120">
        <v>40833</v>
      </c>
      <c r="F120">
        <v>11</v>
      </c>
      <c r="G120">
        <v>8041</v>
      </c>
    </row>
    <row r="121" spans="1:7" hidden="1">
      <c r="A121" t="s">
        <v>1448</v>
      </c>
      <c r="B121" t="s">
        <v>1460</v>
      </c>
      <c r="C121" t="s">
        <v>1441</v>
      </c>
      <c r="D121" t="s">
        <v>1435</v>
      </c>
      <c r="E121">
        <v>40660</v>
      </c>
      <c r="F121">
        <v>11</v>
      </c>
      <c r="G121">
        <v>4807</v>
      </c>
    </row>
    <row r="122" spans="1:7" hidden="1">
      <c r="A122" t="s">
        <v>1448</v>
      </c>
      <c r="B122" t="s">
        <v>1460</v>
      </c>
      <c r="C122" t="s">
        <v>1439</v>
      </c>
      <c r="D122" t="s">
        <v>1435</v>
      </c>
      <c r="E122">
        <v>40530</v>
      </c>
      <c r="F122">
        <v>11</v>
      </c>
      <c r="G122">
        <v>8635</v>
      </c>
    </row>
    <row r="123" spans="1:7" hidden="1">
      <c r="A123" t="s">
        <v>1456</v>
      </c>
      <c r="B123" t="s">
        <v>1460</v>
      </c>
      <c r="C123" t="s">
        <v>1445</v>
      </c>
      <c r="D123" t="s">
        <v>1453</v>
      </c>
      <c r="E123">
        <v>40582</v>
      </c>
      <c r="F123">
        <v>11</v>
      </c>
      <c r="G123">
        <v>8393</v>
      </c>
    </row>
    <row r="124" spans="1:7" hidden="1">
      <c r="A124" t="s">
        <v>1438</v>
      </c>
      <c r="B124" t="s">
        <v>1460</v>
      </c>
      <c r="C124" t="s">
        <v>1439</v>
      </c>
      <c r="D124" t="s">
        <v>1453</v>
      </c>
      <c r="E124">
        <v>40217</v>
      </c>
      <c r="F124">
        <v>11</v>
      </c>
      <c r="G124">
        <v>6875</v>
      </c>
    </row>
    <row r="125" spans="1:7" hidden="1">
      <c r="A125" t="s">
        <v>1456</v>
      </c>
      <c r="B125" t="s">
        <v>1460</v>
      </c>
      <c r="C125" t="s">
        <v>1439</v>
      </c>
      <c r="D125" t="s">
        <v>1453</v>
      </c>
      <c r="E125">
        <v>40814</v>
      </c>
      <c r="F125">
        <v>11</v>
      </c>
      <c r="G125">
        <v>5082</v>
      </c>
    </row>
    <row r="126" spans="1:7" hidden="1">
      <c r="A126" t="s">
        <v>1444</v>
      </c>
      <c r="B126" t="s">
        <v>1460</v>
      </c>
      <c r="C126" t="s">
        <v>1445</v>
      </c>
      <c r="D126" t="s">
        <v>1452</v>
      </c>
      <c r="E126">
        <v>40438</v>
      </c>
      <c r="F126">
        <v>11</v>
      </c>
      <c r="G126">
        <v>9460</v>
      </c>
    </row>
    <row r="127" spans="1:7" hidden="1">
      <c r="A127" t="s">
        <v>1447</v>
      </c>
      <c r="B127" t="s">
        <v>1460</v>
      </c>
      <c r="C127" t="s">
        <v>1441</v>
      </c>
      <c r="D127" t="s">
        <v>1452</v>
      </c>
      <c r="E127">
        <v>40568</v>
      </c>
      <c r="F127">
        <v>11</v>
      </c>
      <c r="G127">
        <v>6413</v>
      </c>
    </row>
    <row r="128" spans="1:7" hidden="1">
      <c r="A128" t="s">
        <v>1442</v>
      </c>
      <c r="B128" t="s">
        <v>1460</v>
      </c>
      <c r="C128" t="s">
        <v>1439</v>
      </c>
      <c r="D128" t="s">
        <v>1452</v>
      </c>
      <c r="E128">
        <v>40347</v>
      </c>
      <c r="F128">
        <v>11</v>
      </c>
      <c r="G128">
        <v>6413</v>
      </c>
    </row>
    <row r="129" spans="1:7" hidden="1">
      <c r="A129" t="s">
        <v>1440</v>
      </c>
      <c r="B129" t="s">
        <v>1460</v>
      </c>
      <c r="C129" t="s">
        <v>1441</v>
      </c>
      <c r="D129" t="s">
        <v>1455</v>
      </c>
      <c r="E129">
        <v>40712</v>
      </c>
      <c r="F129">
        <v>12</v>
      </c>
      <c r="G129">
        <v>7788</v>
      </c>
    </row>
    <row r="130" spans="1:7" hidden="1">
      <c r="A130" t="s">
        <v>1456</v>
      </c>
      <c r="B130" t="s">
        <v>1460</v>
      </c>
      <c r="C130" t="s">
        <v>1441</v>
      </c>
      <c r="D130" t="s">
        <v>1435</v>
      </c>
      <c r="E130">
        <v>40513</v>
      </c>
      <c r="F130">
        <v>12</v>
      </c>
      <c r="G130">
        <v>7968</v>
      </c>
    </row>
    <row r="131" spans="1:7" hidden="1">
      <c r="A131" t="s">
        <v>1438</v>
      </c>
      <c r="B131" t="s">
        <v>1460</v>
      </c>
      <c r="C131" t="s">
        <v>1436</v>
      </c>
      <c r="D131" t="s">
        <v>1435</v>
      </c>
      <c r="E131">
        <v>40632</v>
      </c>
      <c r="F131">
        <v>12</v>
      </c>
      <c r="G131">
        <v>6888</v>
      </c>
    </row>
    <row r="132" spans="1:7" hidden="1">
      <c r="A132" t="s">
        <v>1449</v>
      </c>
      <c r="B132" t="s">
        <v>1460</v>
      </c>
      <c r="C132" t="s">
        <v>1436</v>
      </c>
      <c r="D132" t="s">
        <v>1452</v>
      </c>
      <c r="E132">
        <v>40764</v>
      </c>
      <c r="F132">
        <v>12</v>
      </c>
      <c r="G132">
        <v>5628</v>
      </c>
    </row>
    <row r="133" spans="1:7">
      <c r="A133" t="s">
        <v>1448</v>
      </c>
      <c r="B133" t="s">
        <v>1460</v>
      </c>
      <c r="C133" t="s">
        <v>1436</v>
      </c>
      <c r="D133" t="s">
        <v>1450</v>
      </c>
      <c r="E133">
        <v>40691</v>
      </c>
      <c r="F133">
        <v>12</v>
      </c>
      <c r="G133">
        <v>6744</v>
      </c>
    </row>
    <row r="134" spans="1:7" hidden="1">
      <c r="A134" t="s">
        <v>1438</v>
      </c>
      <c r="B134" t="s">
        <v>1460</v>
      </c>
      <c r="C134" t="s">
        <v>1445</v>
      </c>
      <c r="D134" t="s">
        <v>1455</v>
      </c>
      <c r="E134">
        <v>40185</v>
      </c>
      <c r="F134">
        <v>13</v>
      </c>
      <c r="G134">
        <v>6461</v>
      </c>
    </row>
    <row r="135" spans="1:7" hidden="1">
      <c r="A135" t="s">
        <v>1438</v>
      </c>
      <c r="B135" t="s">
        <v>1460</v>
      </c>
      <c r="C135" t="s">
        <v>1439</v>
      </c>
      <c r="D135" t="s">
        <v>1455</v>
      </c>
      <c r="E135">
        <v>40788</v>
      </c>
      <c r="F135">
        <v>13</v>
      </c>
      <c r="G135">
        <v>9997</v>
      </c>
    </row>
    <row r="136" spans="1:7" hidden="1">
      <c r="A136" t="s">
        <v>1456</v>
      </c>
      <c r="B136" t="s">
        <v>1460</v>
      </c>
      <c r="C136" t="s">
        <v>1439</v>
      </c>
      <c r="D136" t="s">
        <v>1455</v>
      </c>
      <c r="E136">
        <v>40849</v>
      </c>
      <c r="F136">
        <v>13</v>
      </c>
      <c r="G136">
        <v>10153</v>
      </c>
    </row>
    <row r="137" spans="1:7" hidden="1">
      <c r="A137" t="s">
        <v>1451</v>
      </c>
      <c r="B137" t="s">
        <v>1460</v>
      </c>
      <c r="C137" t="s">
        <v>1436</v>
      </c>
      <c r="D137" t="s">
        <v>1455</v>
      </c>
      <c r="E137">
        <v>40470</v>
      </c>
      <c r="F137">
        <v>13</v>
      </c>
      <c r="G137">
        <v>10881</v>
      </c>
    </row>
    <row r="138" spans="1:7" hidden="1">
      <c r="A138" t="s">
        <v>1454</v>
      </c>
      <c r="B138" t="s">
        <v>1460</v>
      </c>
      <c r="C138" t="s">
        <v>1441</v>
      </c>
      <c r="D138" t="s">
        <v>1435</v>
      </c>
      <c r="E138">
        <v>40525</v>
      </c>
      <c r="F138">
        <v>13</v>
      </c>
      <c r="G138">
        <v>6357</v>
      </c>
    </row>
    <row r="139" spans="1:7" hidden="1">
      <c r="A139" t="s">
        <v>1451</v>
      </c>
      <c r="B139" t="s">
        <v>1460</v>
      </c>
      <c r="C139" t="s">
        <v>1436</v>
      </c>
      <c r="D139" t="s">
        <v>1435</v>
      </c>
      <c r="E139">
        <v>40432</v>
      </c>
      <c r="F139">
        <v>13</v>
      </c>
      <c r="G139">
        <v>6071</v>
      </c>
    </row>
    <row r="140" spans="1:7" hidden="1">
      <c r="A140" t="s">
        <v>1443</v>
      </c>
      <c r="B140" t="s">
        <v>1460</v>
      </c>
      <c r="C140" t="s">
        <v>1439</v>
      </c>
      <c r="D140" t="s">
        <v>1453</v>
      </c>
      <c r="E140">
        <v>40409</v>
      </c>
      <c r="F140">
        <v>13</v>
      </c>
      <c r="G140">
        <v>11531</v>
      </c>
    </row>
    <row r="141" spans="1:7" hidden="1">
      <c r="A141" t="s">
        <v>1456</v>
      </c>
      <c r="B141" t="s">
        <v>1460</v>
      </c>
      <c r="C141" t="s">
        <v>1439</v>
      </c>
      <c r="D141" t="s">
        <v>1453</v>
      </c>
      <c r="E141">
        <v>40680</v>
      </c>
      <c r="F141">
        <v>13</v>
      </c>
      <c r="G141">
        <v>6370</v>
      </c>
    </row>
    <row r="142" spans="1:7" hidden="1">
      <c r="A142" t="s">
        <v>1443</v>
      </c>
      <c r="B142" t="s">
        <v>1460</v>
      </c>
      <c r="C142" t="s">
        <v>1441</v>
      </c>
      <c r="D142" t="s">
        <v>1452</v>
      </c>
      <c r="E142">
        <v>40437</v>
      </c>
      <c r="F142">
        <v>13</v>
      </c>
      <c r="G142">
        <v>9581</v>
      </c>
    </row>
    <row r="143" spans="1:7" hidden="1">
      <c r="A143" t="s">
        <v>1443</v>
      </c>
      <c r="B143" t="s">
        <v>1460</v>
      </c>
      <c r="C143" t="s">
        <v>1441</v>
      </c>
      <c r="D143" t="s">
        <v>1452</v>
      </c>
      <c r="E143">
        <v>40648</v>
      </c>
      <c r="F143">
        <v>13</v>
      </c>
      <c r="G143">
        <v>6097</v>
      </c>
    </row>
    <row r="144" spans="1:7" hidden="1">
      <c r="A144" t="s">
        <v>1443</v>
      </c>
      <c r="B144" t="s">
        <v>1460</v>
      </c>
      <c r="C144" t="s">
        <v>1441</v>
      </c>
      <c r="D144" t="s">
        <v>1452</v>
      </c>
      <c r="E144">
        <v>40771</v>
      </c>
      <c r="F144">
        <v>13</v>
      </c>
      <c r="G144">
        <v>7345</v>
      </c>
    </row>
    <row r="145" spans="1:7" hidden="1">
      <c r="A145" t="s">
        <v>1454</v>
      </c>
      <c r="B145" t="s">
        <v>1460</v>
      </c>
      <c r="C145" t="s">
        <v>1439</v>
      </c>
      <c r="D145" t="s">
        <v>1452</v>
      </c>
      <c r="E145">
        <v>40841</v>
      </c>
      <c r="F145">
        <v>13</v>
      </c>
      <c r="G145">
        <v>9698</v>
      </c>
    </row>
    <row r="146" spans="1:7">
      <c r="A146" t="s">
        <v>1443</v>
      </c>
      <c r="B146" t="s">
        <v>1460</v>
      </c>
      <c r="C146" t="s">
        <v>1441</v>
      </c>
      <c r="D146" t="s">
        <v>1450</v>
      </c>
      <c r="E146">
        <v>40593</v>
      </c>
      <c r="F146">
        <v>13</v>
      </c>
      <c r="G146">
        <v>9659</v>
      </c>
    </row>
    <row r="147" spans="1:7">
      <c r="A147" t="s">
        <v>1447</v>
      </c>
      <c r="B147" t="s">
        <v>1460</v>
      </c>
      <c r="C147" t="s">
        <v>1441</v>
      </c>
      <c r="D147" t="s">
        <v>1450</v>
      </c>
      <c r="E147">
        <v>40603</v>
      </c>
      <c r="F147">
        <v>13</v>
      </c>
      <c r="G147">
        <v>6331</v>
      </c>
    </row>
    <row r="148" spans="1:7" hidden="1">
      <c r="A148" t="s">
        <v>1440</v>
      </c>
      <c r="B148" t="s">
        <v>1460</v>
      </c>
      <c r="C148" t="s">
        <v>1441</v>
      </c>
      <c r="D148" t="s">
        <v>1455</v>
      </c>
      <c r="E148">
        <v>40376</v>
      </c>
      <c r="F148">
        <v>14</v>
      </c>
      <c r="G148">
        <v>9408</v>
      </c>
    </row>
    <row r="149" spans="1:7" hidden="1">
      <c r="A149" t="s">
        <v>1447</v>
      </c>
      <c r="B149" t="s">
        <v>1460</v>
      </c>
      <c r="C149" t="s">
        <v>1441</v>
      </c>
      <c r="D149" t="s">
        <v>1455</v>
      </c>
      <c r="E149">
        <v>40428</v>
      </c>
      <c r="F149">
        <v>14</v>
      </c>
      <c r="G149">
        <v>8120</v>
      </c>
    </row>
    <row r="150" spans="1:7" hidden="1">
      <c r="A150" t="s">
        <v>1454</v>
      </c>
      <c r="B150" t="s">
        <v>1460</v>
      </c>
      <c r="C150" t="s">
        <v>1436</v>
      </c>
      <c r="D150" t="s">
        <v>1455</v>
      </c>
      <c r="E150">
        <v>40885</v>
      </c>
      <c r="F150">
        <v>14</v>
      </c>
      <c r="G150">
        <v>8540</v>
      </c>
    </row>
    <row r="151" spans="1:7" hidden="1">
      <c r="A151" t="s">
        <v>1440</v>
      </c>
      <c r="B151" t="s">
        <v>1460</v>
      </c>
      <c r="C151" t="s">
        <v>1445</v>
      </c>
      <c r="D151" t="s">
        <v>1435</v>
      </c>
      <c r="E151">
        <v>40369</v>
      </c>
      <c r="F151">
        <v>14</v>
      </c>
      <c r="G151">
        <v>8862</v>
      </c>
    </row>
    <row r="152" spans="1:7" hidden="1">
      <c r="A152" t="s">
        <v>1456</v>
      </c>
      <c r="B152" t="s">
        <v>1460</v>
      </c>
      <c r="C152" t="s">
        <v>1441</v>
      </c>
      <c r="D152" t="s">
        <v>1435</v>
      </c>
      <c r="E152">
        <v>40677</v>
      </c>
      <c r="F152">
        <v>14</v>
      </c>
      <c r="G152">
        <v>10808</v>
      </c>
    </row>
    <row r="153" spans="1:7" hidden="1">
      <c r="A153" t="s">
        <v>1438</v>
      </c>
      <c r="B153" t="s">
        <v>1460</v>
      </c>
      <c r="C153" t="s">
        <v>1439</v>
      </c>
      <c r="D153" t="s">
        <v>1435</v>
      </c>
      <c r="E153">
        <v>40225</v>
      </c>
      <c r="F153">
        <v>14</v>
      </c>
      <c r="G153">
        <v>9618</v>
      </c>
    </row>
    <row r="154" spans="1:7" hidden="1">
      <c r="A154" t="s">
        <v>1443</v>
      </c>
      <c r="B154" t="s">
        <v>1460</v>
      </c>
      <c r="C154" t="s">
        <v>1439</v>
      </c>
      <c r="D154" t="s">
        <v>1435</v>
      </c>
      <c r="E154">
        <v>40819</v>
      </c>
      <c r="F154">
        <v>14</v>
      </c>
      <c r="G154">
        <v>8008</v>
      </c>
    </row>
    <row r="155" spans="1:7" hidden="1">
      <c r="A155" t="s">
        <v>1444</v>
      </c>
      <c r="B155" t="s">
        <v>1460</v>
      </c>
      <c r="C155" t="s">
        <v>1436</v>
      </c>
      <c r="D155" t="s">
        <v>1435</v>
      </c>
      <c r="E155">
        <v>40504</v>
      </c>
      <c r="F155">
        <v>14</v>
      </c>
      <c r="G155">
        <v>12110</v>
      </c>
    </row>
    <row r="156" spans="1:7" hidden="1">
      <c r="A156" t="s">
        <v>1444</v>
      </c>
      <c r="B156" t="s">
        <v>1460</v>
      </c>
      <c r="C156" t="s">
        <v>1445</v>
      </c>
      <c r="D156" t="s">
        <v>1453</v>
      </c>
      <c r="E156">
        <v>40227</v>
      </c>
      <c r="F156">
        <v>14</v>
      </c>
      <c r="G156">
        <v>7658</v>
      </c>
    </row>
    <row r="157" spans="1:7" hidden="1">
      <c r="A157" t="s">
        <v>1449</v>
      </c>
      <c r="B157" t="s">
        <v>1460</v>
      </c>
      <c r="C157" t="s">
        <v>1436</v>
      </c>
      <c r="D157" t="s">
        <v>1453</v>
      </c>
      <c r="E157">
        <v>40505</v>
      </c>
      <c r="F157">
        <v>14</v>
      </c>
      <c r="G157">
        <v>12264</v>
      </c>
    </row>
    <row r="158" spans="1:7" hidden="1">
      <c r="A158" t="s">
        <v>1446</v>
      </c>
      <c r="B158" t="s">
        <v>1460</v>
      </c>
      <c r="C158" t="s">
        <v>1436</v>
      </c>
      <c r="D158" t="s">
        <v>1452</v>
      </c>
      <c r="E158">
        <v>40655</v>
      </c>
      <c r="F158">
        <v>14</v>
      </c>
      <c r="G158">
        <v>10780</v>
      </c>
    </row>
    <row r="159" spans="1:7">
      <c r="A159" t="s">
        <v>1454</v>
      </c>
      <c r="B159" t="s">
        <v>1460</v>
      </c>
      <c r="C159" t="s">
        <v>1441</v>
      </c>
      <c r="D159" t="s">
        <v>1450</v>
      </c>
      <c r="E159">
        <v>40354</v>
      </c>
      <c r="F159">
        <v>14</v>
      </c>
      <c r="G159">
        <v>10276</v>
      </c>
    </row>
    <row r="160" spans="1:7">
      <c r="A160" t="s">
        <v>1446</v>
      </c>
      <c r="B160" t="s">
        <v>1460</v>
      </c>
      <c r="C160" t="s">
        <v>1436</v>
      </c>
      <c r="D160" t="s">
        <v>1450</v>
      </c>
      <c r="E160">
        <v>40528</v>
      </c>
      <c r="F160">
        <v>14</v>
      </c>
      <c r="G160">
        <v>10486</v>
      </c>
    </row>
    <row r="161" spans="1:7" hidden="1">
      <c r="A161" t="s">
        <v>1444</v>
      </c>
      <c r="B161" t="s">
        <v>1460</v>
      </c>
      <c r="C161" t="s">
        <v>1439</v>
      </c>
      <c r="D161" t="s">
        <v>1435</v>
      </c>
      <c r="E161">
        <v>40365</v>
      </c>
      <c r="F161">
        <v>15</v>
      </c>
      <c r="G161">
        <v>8910</v>
      </c>
    </row>
    <row r="162" spans="1:7" hidden="1">
      <c r="A162" t="s">
        <v>1456</v>
      </c>
      <c r="B162" t="s">
        <v>1460</v>
      </c>
      <c r="C162" t="s">
        <v>1436</v>
      </c>
      <c r="D162" t="s">
        <v>1435</v>
      </c>
      <c r="E162">
        <v>40564</v>
      </c>
      <c r="F162">
        <v>15</v>
      </c>
      <c r="G162">
        <v>8790</v>
      </c>
    </row>
    <row r="163" spans="1:7" hidden="1">
      <c r="A163" t="s">
        <v>1446</v>
      </c>
      <c r="B163" t="s">
        <v>1460</v>
      </c>
      <c r="C163" t="s">
        <v>1445</v>
      </c>
      <c r="D163" t="s">
        <v>1453</v>
      </c>
      <c r="E163">
        <v>40379</v>
      </c>
      <c r="F163">
        <v>15</v>
      </c>
      <c r="G163">
        <v>6615</v>
      </c>
    </row>
    <row r="164" spans="1:7" hidden="1">
      <c r="A164" t="s">
        <v>1438</v>
      </c>
      <c r="B164" t="s">
        <v>1460</v>
      </c>
      <c r="C164" t="s">
        <v>1445</v>
      </c>
      <c r="D164" t="s">
        <v>1453</v>
      </c>
      <c r="E164">
        <v>40876</v>
      </c>
      <c r="F164">
        <v>15</v>
      </c>
      <c r="G164">
        <v>6855</v>
      </c>
    </row>
    <row r="165" spans="1:7" hidden="1">
      <c r="A165" t="s">
        <v>1454</v>
      </c>
      <c r="B165" t="s">
        <v>1460</v>
      </c>
      <c r="C165" t="s">
        <v>1439</v>
      </c>
      <c r="D165" t="s">
        <v>1453</v>
      </c>
      <c r="E165">
        <v>40821</v>
      </c>
      <c r="F165">
        <v>15</v>
      </c>
      <c r="G165">
        <v>11700</v>
      </c>
    </row>
    <row r="166" spans="1:7" hidden="1">
      <c r="A166" t="s">
        <v>1447</v>
      </c>
      <c r="B166" t="s">
        <v>1460</v>
      </c>
      <c r="C166" t="s">
        <v>1439</v>
      </c>
      <c r="D166" t="s">
        <v>1452</v>
      </c>
      <c r="E166">
        <v>40813</v>
      </c>
      <c r="F166">
        <v>15</v>
      </c>
      <c r="G166">
        <v>8280</v>
      </c>
    </row>
    <row r="167" spans="1:7">
      <c r="A167" t="s">
        <v>1442</v>
      </c>
      <c r="B167" t="s">
        <v>1460</v>
      </c>
      <c r="C167" t="s">
        <v>1445</v>
      </c>
      <c r="D167" t="s">
        <v>1450</v>
      </c>
      <c r="E167">
        <v>40550</v>
      </c>
      <c r="F167">
        <v>15</v>
      </c>
      <c r="G167">
        <v>11340</v>
      </c>
    </row>
    <row r="168" spans="1:7">
      <c r="A168" t="s">
        <v>1447</v>
      </c>
      <c r="B168" t="s">
        <v>1460</v>
      </c>
      <c r="C168" t="s">
        <v>1439</v>
      </c>
      <c r="D168" t="s">
        <v>1450</v>
      </c>
      <c r="E168">
        <v>40354</v>
      </c>
      <c r="F168">
        <v>15</v>
      </c>
      <c r="G168">
        <v>12285</v>
      </c>
    </row>
    <row r="169" spans="1:7">
      <c r="A169" t="s">
        <v>1438</v>
      </c>
      <c r="B169" t="s">
        <v>1460</v>
      </c>
      <c r="C169" t="s">
        <v>1439</v>
      </c>
      <c r="D169" t="s">
        <v>1450</v>
      </c>
      <c r="E169">
        <v>40571</v>
      </c>
      <c r="F169">
        <v>15</v>
      </c>
      <c r="G169">
        <v>8055</v>
      </c>
    </row>
    <row r="170" spans="1:7" hidden="1">
      <c r="A170" t="s">
        <v>1443</v>
      </c>
      <c r="B170" t="s">
        <v>1460</v>
      </c>
      <c r="C170" t="s">
        <v>1441</v>
      </c>
      <c r="D170" t="s">
        <v>1435</v>
      </c>
      <c r="E170">
        <v>40291</v>
      </c>
      <c r="F170">
        <v>16</v>
      </c>
      <c r="G170">
        <v>12512</v>
      </c>
    </row>
    <row r="171" spans="1:7" hidden="1">
      <c r="A171" t="s">
        <v>1449</v>
      </c>
      <c r="B171" t="s">
        <v>1460</v>
      </c>
      <c r="C171" t="s">
        <v>1441</v>
      </c>
      <c r="D171" t="s">
        <v>1435</v>
      </c>
      <c r="E171">
        <v>40767</v>
      </c>
      <c r="F171">
        <v>16</v>
      </c>
      <c r="G171">
        <v>9360</v>
      </c>
    </row>
    <row r="172" spans="1:7" hidden="1">
      <c r="A172" t="s">
        <v>1448</v>
      </c>
      <c r="B172" t="s">
        <v>1460</v>
      </c>
      <c r="C172" t="s">
        <v>1436</v>
      </c>
      <c r="D172" t="s">
        <v>1435</v>
      </c>
      <c r="E172">
        <v>40716</v>
      </c>
      <c r="F172">
        <v>16</v>
      </c>
      <c r="G172">
        <v>14208</v>
      </c>
    </row>
    <row r="173" spans="1:7" hidden="1">
      <c r="A173" t="s">
        <v>1438</v>
      </c>
      <c r="B173" t="s">
        <v>1460</v>
      </c>
      <c r="C173" t="s">
        <v>1436</v>
      </c>
      <c r="D173" t="s">
        <v>1435</v>
      </c>
      <c r="E173">
        <v>40229</v>
      </c>
      <c r="F173">
        <v>17</v>
      </c>
      <c r="G173">
        <v>10098</v>
      </c>
    </row>
    <row r="174" spans="1:7" hidden="1">
      <c r="A174" t="s">
        <v>1449</v>
      </c>
      <c r="B174" t="s">
        <v>1460</v>
      </c>
      <c r="C174" t="s">
        <v>1436</v>
      </c>
      <c r="D174" t="s">
        <v>1435</v>
      </c>
      <c r="E174">
        <v>40716</v>
      </c>
      <c r="F174">
        <v>17</v>
      </c>
      <c r="G174">
        <v>9112</v>
      </c>
    </row>
    <row r="175" spans="1:7" hidden="1">
      <c r="A175" t="s">
        <v>1438</v>
      </c>
      <c r="B175" t="s">
        <v>1460</v>
      </c>
      <c r="C175" t="s">
        <v>1441</v>
      </c>
      <c r="D175" t="s">
        <v>1435</v>
      </c>
      <c r="E175">
        <v>40548</v>
      </c>
      <c r="F175">
        <v>18</v>
      </c>
      <c r="G175">
        <v>7380</v>
      </c>
    </row>
    <row r="176" spans="1:7" hidden="1">
      <c r="A176" t="s">
        <v>1444</v>
      </c>
      <c r="B176" t="s">
        <v>1460</v>
      </c>
      <c r="C176" t="s">
        <v>1436</v>
      </c>
      <c r="D176" t="s">
        <v>1435</v>
      </c>
      <c r="E176">
        <v>40226</v>
      </c>
      <c r="F176">
        <v>18</v>
      </c>
      <c r="G176">
        <v>12438</v>
      </c>
    </row>
    <row r="177" spans="1:7" hidden="1">
      <c r="A177" t="s">
        <v>1451</v>
      </c>
      <c r="B177" t="s">
        <v>1460</v>
      </c>
      <c r="C177" t="s">
        <v>1436</v>
      </c>
      <c r="D177" t="s">
        <v>1435</v>
      </c>
      <c r="E177">
        <v>40871</v>
      </c>
      <c r="F177">
        <v>18</v>
      </c>
      <c r="G177">
        <v>8046</v>
      </c>
    </row>
    <row r="178" spans="1:7" hidden="1">
      <c r="A178" t="s">
        <v>1449</v>
      </c>
      <c r="B178" t="s">
        <v>1460</v>
      </c>
      <c r="C178" t="s">
        <v>1439</v>
      </c>
      <c r="D178" t="s">
        <v>1435</v>
      </c>
      <c r="E178">
        <v>40345</v>
      </c>
      <c r="F178">
        <v>19</v>
      </c>
      <c r="G178">
        <v>8189</v>
      </c>
    </row>
    <row r="179" spans="1:7" hidden="1">
      <c r="A179" t="s">
        <v>1440</v>
      </c>
      <c r="B179" t="s">
        <v>1460</v>
      </c>
      <c r="C179" t="s">
        <v>1439</v>
      </c>
      <c r="D179" t="s">
        <v>1435</v>
      </c>
      <c r="E179">
        <v>40351</v>
      </c>
      <c r="F179">
        <v>19</v>
      </c>
      <c r="G179">
        <v>13224</v>
      </c>
    </row>
    <row r="180" spans="1:7" hidden="1">
      <c r="A180" t="s">
        <v>1442</v>
      </c>
      <c r="B180" t="s">
        <v>1460</v>
      </c>
      <c r="C180" t="s">
        <v>1439</v>
      </c>
      <c r="D180" t="s">
        <v>1435</v>
      </c>
      <c r="E180">
        <v>40715</v>
      </c>
      <c r="F180">
        <v>19</v>
      </c>
      <c r="G180">
        <v>9063</v>
      </c>
    </row>
    <row r="181" spans="1:7" hidden="1">
      <c r="A181" t="s">
        <v>1451</v>
      </c>
      <c r="B181" t="s">
        <v>1460</v>
      </c>
      <c r="C181" t="s">
        <v>1439</v>
      </c>
      <c r="D181" t="s">
        <v>1435</v>
      </c>
      <c r="E181">
        <v>40807</v>
      </c>
      <c r="F181">
        <v>19</v>
      </c>
      <c r="G181">
        <v>14820</v>
      </c>
    </row>
    <row r="182" spans="1:7" hidden="1">
      <c r="A182" t="s">
        <v>1456</v>
      </c>
      <c r="B182" t="s">
        <v>1460</v>
      </c>
      <c r="C182" t="s">
        <v>1436</v>
      </c>
      <c r="D182" t="s">
        <v>1435</v>
      </c>
      <c r="E182">
        <v>40863</v>
      </c>
      <c r="F182">
        <v>19</v>
      </c>
      <c r="G182">
        <v>15409</v>
      </c>
    </row>
    <row r="183" spans="1:7" hidden="1">
      <c r="A183" t="s">
        <v>1451</v>
      </c>
      <c r="B183" t="s">
        <v>1460</v>
      </c>
      <c r="C183" t="s">
        <v>1439</v>
      </c>
      <c r="D183" t="s">
        <v>1435</v>
      </c>
      <c r="E183">
        <v>40687</v>
      </c>
      <c r="F183">
        <v>20</v>
      </c>
      <c r="G183">
        <v>16960</v>
      </c>
    </row>
    <row r="184" spans="1:7" hidden="1">
      <c r="A184" t="s">
        <v>1456</v>
      </c>
      <c r="B184" t="s">
        <v>1460</v>
      </c>
      <c r="C184" t="s">
        <v>1436</v>
      </c>
      <c r="D184" t="s">
        <v>1435</v>
      </c>
      <c r="E184">
        <v>40534</v>
      </c>
      <c r="F184">
        <v>20</v>
      </c>
      <c r="G184">
        <v>15820</v>
      </c>
    </row>
    <row r="185" spans="1:7" hidden="1">
      <c r="A185" t="s">
        <v>1446</v>
      </c>
      <c r="B185" t="s">
        <v>1460</v>
      </c>
      <c r="C185" t="s">
        <v>1436</v>
      </c>
      <c r="D185" t="s">
        <v>1435</v>
      </c>
      <c r="E185">
        <v>40663</v>
      </c>
      <c r="F185">
        <v>20</v>
      </c>
      <c r="G185">
        <v>15300</v>
      </c>
    </row>
    <row r="186" spans="1:7" hidden="1">
      <c r="A186" t="s">
        <v>1446</v>
      </c>
      <c r="B186" t="s">
        <v>1459</v>
      </c>
      <c r="C186" t="s">
        <v>1445</v>
      </c>
      <c r="D186" t="s">
        <v>1453</v>
      </c>
      <c r="E186">
        <v>40710</v>
      </c>
      <c r="F186">
        <v>1</v>
      </c>
      <c r="G186">
        <v>816</v>
      </c>
    </row>
    <row r="187" spans="1:7" hidden="1">
      <c r="A187" t="s">
        <v>1448</v>
      </c>
      <c r="B187" t="s">
        <v>1459</v>
      </c>
      <c r="C187" t="s">
        <v>1436</v>
      </c>
      <c r="D187" t="s">
        <v>1453</v>
      </c>
      <c r="E187">
        <v>40774</v>
      </c>
      <c r="F187">
        <v>1</v>
      </c>
      <c r="G187">
        <v>669</v>
      </c>
    </row>
    <row r="188" spans="1:7" hidden="1">
      <c r="A188" t="s">
        <v>1442</v>
      </c>
      <c r="B188" t="s">
        <v>1459</v>
      </c>
      <c r="C188" t="s">
        <v>1441</v>
      </c>
      <c r="D188" t="s">
        <v>1452</v>
      </c>
      <c r="E188">
        <v>40665</v>
      </c>
      <c r="F188">
        <v>1</v>
      </c>
      <c r="G188">
        <v>352</v>
      </c>
    </row>
    <row r="189" spans="1:7" hidden="1">
      <c r="A189" t="s">
        <v>1454</v>
      </c>
      <c r="B189" t="s">
        <v>1459</v>
      </c>
      <c r="C189" t="s">
        <v>1441</v>
      </c>
      <c r="D189" t="s">
        <v>1452</v>
      </c>
      <c r="E189">
        <v>40837</v>
      </c>
      <c r="F189">
        <v>1</v>
      </c>
      <c r="G189">
        <v>796</v>
      </c>
    </row>
    <row r="190" spans="1:7" hidden="1">
      <c r="A190" t="s">
        <v>1447</v>
      </c>
      <c r="B190" t="s">
        <v>1459</v>
      </c>
      <c r="C190" t="s">
        <v>1439</v>
      </c>
      <c r="D190" t="s">
        <v>1452</v>
      </c>
      <c r="E190">
        <v>40522</v>
      </c>
      <c r="F190">
        <v>1</v>
      </c>
      <c r="G190">
        <v>444</v>
      </c>
    </row>
    <row r="191" spans="1:7" hidden="1">
      <c r="A191" t="s">
        <v>1438</v>
      </c>
      <c r="B191" t="s">
        <v>1459</v>
      </c>
      <c r="C191" t="s">
        <v>1436</v>
      </c>
      <c r="D191" t="s">
        <v>1452</v>
      </c>
      <c r="E191">
        <v>40215</v>
      </c>
      <c r="F191">
        <v>1</v>
      </c>
      <c r="G191">
        <v>598</v>
      </c>
    </row>
    <row r="192" spans="1:7" hidden="1">
      <c r="A192" t="s">
        <v>1444</v>
      </c>
      <c r="B192" t="s">
        <v>1459</v>
      </c>
      <c r="C192" t="s">
        <v>1436</v>
      </c>
      <c r="D192" t="s">
        <v>1452</v>
      </c>
      <c r="E192">
        <v>40424</v>
      </c>
      <c r="F192">
        <v>1</v>
      </c>
      <c r="G192">
        <v>766</v>
      </c>
    </row>
    <row r="193" spans="1:7">
      <c r="A193" t="s">
        <v>1438</v>
      </c>
      <c r="B193" t="s">
        <v>1459</v>
      </c>
      <c r="C193" t="s">
        <v>1445</v>
      </c>
      <c r="D193" t="s">
        <v>1450</v>
      </c>
      <c r="E193">
        <v>40323</v>
      </c>
      <c r="F193">
        <v>1</v>
      </c>
      <c r="G193">
        <v>824</v>
      </c>
    </row>
    <row r="194" spans="1:7" hidden="1">
      <c r="A194" t="s">
        <v>1442</v>
      </c>
      <c r="B194" t="s">
        <v>1459</v>
      </c>
      <c r="C194" t="s">
        <v>1441</v>
      </c>
      <c r="D194" t="s">
        <v>1455</v>
      </c>
      <c r="E194">
        <v>40697</v>
      </c>
      <c r="F194">
        <v>2</v>
      </c>
      <c r="G194">
        <v>1110</v>
      </c>
    </row>
    <row r="195" spans="1:7" hidden="1">
      <c r="A195" t="s">
        <v>1446</v>
      </c>
      <c r="B195" t="s">
        <v>1459</v>
      </c>
      <c r="C195" t="s">
        <v>1445</v>
      </c>
      <c r="D195" t="s">
        <v>1453</v>
      </c>
      <c r="E195">
        <v>40610</v>
      </c>
      <c r="F195">
        <v>2</v>
      </c>
      <c r="G195">
        <v>1158</v>
      </c>
    </row>
    <row r="196" spans="1:7" hidden="1">
      <c r="A196" t="s">
        <v>1454</v>
      </c>
      <c r="B196" t="s">
        <v>1459</v>
      </c>
      <c r="C196" t="s">
        <v>1441</v>
      </c>
      <c r="D196" t="s">
        <v>1453</v>
      </c>
      <c r="E196">
        <v>40670</v>
      </c>
      <c r="F196">
        <v>2</v>
      </c>
      <c r="G196">
        <v>708</v>
      </c>
    </row>
    <row r="197" spans="1:7" hidden="1">
      <c r="A197" t="s">
        <v>1448</v>
      </c>
      <c r="B197" t="s">
        <v>1459</v>
      </c>
      <c r="C197" t="s">
        <v>1439</v>
      </c>
      <c r="D197" t="s">
        <v>1453</v>
      </c>
      <c r="E197">
        <v>40247</v>
      </c>
      <c r="F197">
        <v>2</v>
      </c>
      <c r="G197">
        <v>1384</v>
      </c>
    </row>
    <row r="198" spans="1:7" hidden="1">
      <c r="A198" t="s">
        <v>1451</v>
      </c>
      <c r="B198" t="s">
        <v>1459</v>
      </c>
      <c r="C198" t="s">
        <v>1436</v>
      </c>
      <c r="D198" t="s">
        <v>1453</v>
      </c>
      <c r="E198">
        <v>40375</v>
      </c>
      <c r="F198">
        <v>2</v>
      </c>
      <c r="G198">
        <v>974</v>
      </c>
    </row>
    <row r="199" spans="1:7" hidden="1">
      <c r="A199" t="s">
        <v>1440</v>
      </c>
      <c r="B199" t="s">
        <v>1459</v>
      </c>
      <c r="C199" t="s">
        <v>1436</v>
      </c>
      <c r="D199" t="s">
        <v>1453</v>
      </c>
      <c r="E199">
        <v>40526</v>
      </c>
      <c r="F199">
        <v>2</v>
      </c>
      <c r="G199">
        <v>1540</v>
      </c>
    </row>
    <row r="200" spans="1:7" hidden="1">
      <c r="A200" t="s">
        <v>1454</v>
      </c>
      <c r="B200" t="s">
        <v>1459</v>
      </c>
      <c r="C200" t="s">
        <v>1445</v>
      </c>
      <c r="D200" t="s">
        <v>1452</v>
      </c>
      <c r="E200">
        <v>40228</v>
      </c>
      <c r="F200">
        <v>2</v>
      </c>
      <c r="G200">
        <v>1320</v>
      </c>
    </row>
    <row r="201" spans="1:7" hidden="1">
      <c r="A201" t="s">
        <v>1449</v>
      </c>
      <c r="B201" t="s">
        <v>1459</v>
      </c>
      <c r="C201" t="s">
        <v>1445</v>
      </c>
      <c r="D201" t="s">
        <v>1452</v>
      </c>
      <c r="E201">
        <v>40721</v>
      </c>
      <c r="F201">
        <v>2</v>
      </c>
      <c r="G201">
        <v>792</v>
      </c>
    </row>
    <row r="202" spans="1:7" hidden="1">
      <c r="A202" t="s">
        <v>1440</v>
      </c>
      <c r="B202" t="s">
        <v>1459</v>
      </c>
      <c r="C202" t="s">
        <v>1441</v>
      </c>
      <c r="D202" t="s">
        <v>1452</v>
      </c>
      <c r="E202">
        <v>40476</v>
      </c>
      <c r="F202">
        <v>2</v>
      </c>
      <c r="G202">
        <v>1474</v>
      </c>
    </row>
    <row r="203" spans="1:7" hidden="1">
      <c r="A203" t="s">
        <v>1442</v>
      </c>
      <c r="B203" t="s">
        <v>1459</v>
      </c>
      <c r="C203" t="s">
        <v>1441</v>
      </c>
      <c r="D203" t="s">
        <v>1452</v>
      </c>
      <c r="E203">
        <v>40738</v>
      </c>
      <c r="F203">
        <v>2</v>
      </c>
      <c r="G203">
        <v>848</v>
      </c>
    </row>
    <row r="204" spans="1:7" hidden="1">
      <c r="A204" t="s">
        <v>1442</v>
      </c>
      <c r="B204" t="s">
        <v>1459</v>
      </c>
      <c r="C204" t="s">
        <v>1439</v>
      </c>
      <c r="D204" t="s">
        <v>1452</v>
      </c>
      <c r="E204">
        <v>40330</v>
      </c>
      <c r="F204">
        <v>2</v>
      </c>
      <c r="G204">
        <v>1090</v>
      </c>
    </row>
    <row r="205" spans="1:7">
      <c r="A205" t="s">
        <v>1449</v>
      </c>
      <c r="B205" t="s">
        <v>1459</v>
      </c>
      <c r="C205" t="s">
        <v>1445</v>
      </c>
      <c r="D205" t="s">
        <v>1450</v>
      </c>
      <c r="E205">
        <v>40373</v>
      </c>
      <c r="F205">
        <v>2</v>
      </c>
      <c r="G205">
        <v>1286</v>
      </c>
    </row>
    <row r="206" spans="1:7">
      <c r="A206" t="s">
        <v>1444</v>
      </c>
      <c r="B206" t="s">
        <v>1459</v>
      </c>
      <c r="C206" t="s">
        <v>1439</v>
      </c>
      <c r="D206" t="s">
        <v>1450</v>
      </c>
      <c r="E206">
        <v>40557</v>
      </c>
      <c r="F206">
        <v>2</v>
      </c>
      <c r="G206">
        <v>1146</v>
      </c>
    </row>
    <row r="207" spans="1:7" hidden="1">
      <c r="A207" t="s">
        <v>1440</v>
      </c>
      <c r="B207" t="s">
        <v>1459</v>
      </c>
      <c r="C207" t="s">
        <v>1445</v>
      </c>
      <c r="D207" t="s">
        <v>1455</v>
      </c>
      <c r="E207">
        <v>40430</v>
      </c>
      <c r="F207">
        <v>3</v>
      </c>
      <c r="G207">
        <v>1557</v>
      </c>
    </row>
    <row r="208" spans="1:7" hidden="1">
      <c r="A208" t="s">
        <v>1449</v>
      </c>
      <c r="B208" t="s">
        <v>1459</v>
      </c>
      <c r="C208" t="s">
        <v>1445</v>
      </c>
      <c r="D208" t="s">
        <v>1453</v>
      </c>
      <c r="E208">
        <v>40536</v>
      </c>
      <c r="F208">
        <v>3</v>
      </c>
      <c r="G208">
        <v>2295</v>
      </c>
    </row>
    <row r="209" spans="1:7" hidden="1">
      <c r="A209" t="s">
        <v>1444</v>
      </c>
      <c r="B209" t="s">
        <v>1459</v>
      </c>
      <c r="C209" t="s">
        <v>1439</v>
      </c>
      <c r="D209" t="s">
        <v>1452</v>
      </c>
      <c r="E209">
        <v>40273</v>
      </c>
      <c r="F209">
        <v>3</v>
      </c>
      <c r="G209">
        <v>1254</v>
      </c>
    </row>
    <row r="210" spans="1:7" hidden="1">
      <c r="A210" t="s">
        <v>1449</v>
      </c>
      <c r="B210" t="s">
        <v>1459</v>
      </c>
      <c r="C210" t="s">
        <v>1439</v>
      </c>
      <c r="D210" t="s">
        <v>1452</v>
      </c>
      <c r="E210">
        <v>40768</v>
      </c>
      <c r="F210">
        <v>3</v>
      </c>
      <c r="G210">
        <v>1401</v>
      </c>
    </row>
    <row r="211" spans="1:7" hidden="1">
      <c r="A211" t="s">
        <v>1438</v>
      </c>
      <c r="B211" t="s">
        <v>1459</v>
      </c>
      <c r="C211" t="s">
        <v>1436</v>
      </c>
      <c r="D211" t="s">
        <v>1452</v>
      </c>
      <c r="E211">
        <v>40215</v>
      </c>
      <c r="F211">
        <v>3</v>
      </c>
      <c r="G211">
        <v>2448</v>
      </c>
    </row>
    <row r="212" spans="1:7" hidden="1">
      <c r="A212" t="s">
        <v>1438</v>
      </c>
      <c r="B212" t="s">
        <v>1459</v>
      </c>
      <c r="C212" t="s">
        <v>1436</v>
      </c>
      <c r="D212" t="s">
        <v>1452</v>
      </c>
      <c r="E212">
        <v>40813</v>
      </c>
      <c r="F212">
        <v>3</v>
      </c>
      <c r="G212">
        <v>1995</v>
      </c>
    </row>
    <row r="213" spans="1:7">
      <c r="A213" t="s">
        <v>1446</v>
      </c>
      <c r="B213" t="s">
        <v>1459</v>
      </c>
      <c r="C213" t="s">
        <v>1441</v>
      </c>
      <c r="D213" t="s">
        <v>1450</v>
      </c>
      <c r="E213">
        <v>40596</v>
      </c>
      <c r="F213">
        <v>3</v>
      </c>
      <c r="G213">
        <v>1560</v>
      </c>
    </row>
    <row r="214" spans="1:7" hidden="1">
      <c r="A214" t="s">
        <v>1448</v>
      </c>
      <c r="B214" t="s">
        <v>1459</v>
      </c>
      <c r="C214" t="s">
        <v>1439</v>
      </c>
      <c r="D214" t="s">
        <v>1455</v>
      </c>
      <c r="E214">
        <v>40826</v>
      </c>
      <c r="F214">
        <v>4</v>
      </c>
      <c r="G214">
        <v>2564</v>
      </c>
    </row>
    <row r="215" spans="1:7" hidden="1">
      <c r="A215" t="s">
        <v>1442</v>
      </c>
      <c r="B215" t="s">
        <v>1459</v>
      </c>
      <c r="C215" t="s">
        <v>1445</v>
      </c>
      <c r="D215" t="s">
        <v>1453</v>
      </c>
      <c r="E215">
        <v>40632</v>
      </c>
      <c r="F215">
        <v>4</v>
      </c>
      <c r="G215">
        <v>2392</v>
      </c>
    </row>
    <row r="216" spans="1:7" hidden="1">
      <c r="A216" t="s">
        <v>1442</v>
      </c>
      <c r="B216" t="s">
        <v>1459</v>
      </c>
      <c r="C216" t="s">
        <v>1439</v>
      </c>
      <c r="D216" t="s">
        <v>1453</v>
      </c>
      <c r="E216">
        <v>40542</v>
      </c>
      <c r="F216">
        <v>4</v>
      </c>
      <c r="G216">
        <v>2836</v>
      </c>
    </row>
    <row r="217" spans="1:7" hidden="1">
      <c r="A217" t="s">
        <v>1449</v>
      </c>
      <c r="B217" t="s">
        <v>1459</v>
      </c>
      <c r="C217" t="s">
        <v>1436</v>
      </c>
      <c r="D217" t="s">
        <v>1453</v>
      </c>
      <c r="E217">
        <v>40627</v>
      </c>
      <c r="F217">
        <v>4</v>
      </c>
      <c r="G217">
        <v>3544</v>
      </c>
    </row>
    <row r="218" spans="1:7" hidden="1">
      <c r="A218" t="s">
        <v>1449</v>
      </c>
      <c r="B218" t="s">
        <v>1459</v>
      </c>
      <c r="C218" t="s">
        <v>1439</v>
      </c>
      <c r="D218" t="s">
        <v>1452</v>
      </c>
      <c r="E218">
        <v>40639</v>
      </c>
      <c r="F218">
        <v>4</v>
      </c>
      <c r="G218">
        <v>1968</v>
      </c>
    </row>
    <row r="219" spans="1:7" hidden="1">
      <c r="A219" t="s">
        <v>1456</v>
      </c>
      <c r="B219" t="s">
        <v>1459</v>
      </c>
      <c r="C219" t="s">
        <v>1439</v>
      </c>
      <c r="D219" t="s">
        <v>1452</v>
      </c>
      <c r="E219">
        <v>40642</v>
      </c>
      <c r="F219">
        <v>4</v>
      </c>
      <c r="G219">
        <v>1916</v>
      </c>
    </row>
    <row r="220" spans="1:7">
      <c r="A220" t="s">
        <v>1447</v>
      </c>
      <c r="B220" t="s">
        <v>1459</v>
      </c>
      <c r="C220" t="s">
        <v>1445</v>
      </c>
      <c r="D220" t="s">
        <v>1450</v>
      </c>
      <c r="E220">
        <v>40354</v>
      </c>
      <c r="F220">
        <v>4</v>
      </c>
      <c r="G220">
        <v>2180</v>
      </c>
    </row>
    <row r="221" spans="1:7">
      <c r="A221" t="s">
        <v>1449</v>
      </c>
      <c r="B221" t="s">
        <v>1459</v>
      </c>
      <c r="C221" t="s">
        <v>1445</v>
      </c>
      <c r="D221" t="s">
        <v>1450</v>
      </c>
      <c r="E221">
        <v>40491</v>
      </c>
      <c r="F221">
        <v>4</v>
      </c>
      <c r="G221">
        <v>1448</v>
      </c>
    </row>
    <row r="222" spans="1:7">
      <c r="A222" t="s">
        <v>1451</v>
      </c>
      <c r="B222" t="s">
        <v>1459</v>
      </c>
      <c r="C222" t="s">
        <v>1441</v>
      </c>
      <c r="D222" t="s">
        <v>1450</v>
      </c>
      <c r="E222">
        <v>40614</v>
      </c>
      <c r="F222">
        <v>4</v>
      </c>
      <c r="G222">
        <v>1932</v>
      </c>
    </row>
    <row r="223" spans="1:7" hidden="1">
      <c r="A223" t="s">
        <v>1454</v>
      </c>
      <c r="B223" t="s">
        <v>1459</v>
      </c>
      <c r="C223" t="s">
        <v>1436</v>
      </c>
      <c r="D223" t="s">
        <v>1453</v>
      </c>
      <c r="E223">
        <v>40473</v>
      </c>
      <c r="F223">
        <v>5</v>
      </c>
      <c r="G223">
        <v>2265</v>
      </c>
    </row>
    <row r="224" spans="1:7" hidden="1">
      <c r="A224" t="s">
        <v>1456</v>
      </c>
      <c r="B224" t="s">
        <v>1459</v>
      </c>
      <c r="C224" t="s">
        <v>1436</v>
      </c>
      <c r="D224" t="s">
        <v>1453</v>
      </c>
      <c r="E224">
        <v>40687</v>
      </c>
      <c r="F224">
        <v>5</v>
      </c>
      <c r="G224">
        <v>3690</v>
      </c>
    </row>
    <row r="225" spans="1:7" hidden="1">
      <c r="A225" t="s">
        <v>1440</v>
      </c>
      <c r="B225" t="s">
        <v>1459</v>
      </c>
      <c r="C225" t="s">
        <v>1441</v>
      </c>
      <c r="D225" t="s">
        <v>1452</v>
      </c>
      <c r="E225">
        <v>40313</v>
      </c>
      <c r="F225">
        <v>5</v>
      </c>
      <c r="G225">
        <v>3020</v>
      </c>
    </row>
    <row r="226" spans="1:7" hidden="1">
      <c r="A226" t="s">
        <v>1440</v>
      </c>
      <c r="B226" t="s">
        <v>1459</v>
      </c>
      <c r="C226" t="s">
        <v>1439</v>
      </c>
      <c r="D226" t="s">
        <v>1452</v>
      </c>
      <c r="E226">
        <v>40719</v>
      </c>
      <c r="F226">
        <v>5</v>
      </c>
      <c r="G226">
        <v>2925</v>
      </c>
    </row>
    <row r="227" spans="1:7">
      <c r="A227" t="s">
        <v>1449</v>
      </c>
      <c r="B227" t="s">
        <v>1459</v>
      </c>
      <c r="C227" t="s">
        <v>1445</v>
      </c>
      <c r="D227" t="s">
        <v>1450</v>
      </c>
      <c r="E227">
        <v>40271</v>
      </c>
      <c r="F227">
        <v>5</v>
      </c>
      <c r="G227">
        <v>3910</v>
      </c>
    </row>
    <row r="228" spans="1:7">
      <c r="A228" t="s">
        <v>1442</v>
      </c>
      <c r="B228" t="s">
        <v>1459</v>
      </c>
      <c r="C228" t="s">
        <v>1436</v>
      </c>
      <c r="D228" t="s">
        <v>1450</v>
      </c>
      <c r="E228">
        <v>40476</v>
      </c>
      <c r="F228">
        <v>5</v>
      </c>
      <c r="G228">
        <v>3555</v>
      </c>
    </row>
    <row r="229" spans="1:7">
      <c r="A229" t="s">
        <v>1444</v>
      </c>
      <c r="B229" t="s">
        <v>1459</v>
      </c>
      <c r="C229" t="s">
        <v>1436</v>
      </c>
      <c r="D229" t="s">
        <v>1450</v>
      </c>
      <c r="E229">
        <v>40478</v>
      </c>
      <c r="F229">
        <v>5</v>
      </c>
      <c r="G229">
        <v>1880</v>
      </c>
    </row>
    <row r="230" spans="1:7" hidden="1">
      <c r="A230" t="s">
        <v>1446</v>
      </c>
      <c r="B230" t="s">
        <v>1459</v>
      </c>
      <c r="C230" t="s">
        <v>1439</v>
      </c>
      <c r="D230" t="s">
        <v>1455</v>
      </c>
      <c r="E230">
        <v>40341</v>
      </c>
      <c r="F230">
        <v>6</v>
      </c>
      <c r="G230">
        <v>2610</v>
      </c>
    </row>
    <row r="231" spans="1:7" hidden="1">
      <c r="A231" t="s">
        <v>1442</v>
      </c>
      <c r="B231" t="s">
        <v>1459</v>
      </c>
      <c r="C231" t="s">
        <v>1439</v>
      </c>
      <c r="D231" t="s">
        <v>1455</v>
      </c>
      <c r="E231">
        <v>40372</v>
      </c>
      <c r="F231">
        <v>6</v>
      </c>
      <c r="G231">
        <v>2334</v>
      </c>
    </row>
    <row r="232" spans="1:7" hidden="1">
      <c r="A232" t="s">
        <v>1440</v>
      </c>
      <c r="B232" t="s">
        <v>1459</v>
      </c>
      <c r="C232" t="s">
        <v>1436</v>
      </c>
      <c r="D232" t="s">
        <v>1455</v>
      </c>
      <c r="E232">
        <v>40470</v>
      </c>
      <c r="F232">
        <v>6</v>
      </c>
      <c r="G232">
        <v>5310</v>
      </c>
    </row>
    <row r="233" spans="1:7" hidden="1">
      <c r="A233" t="s">
        <v>1447</v>
      </c>
      <c r="B233" t="s">
        <v>1459</v>
      </c>
      <c r="C233" t="s">
        <v>1445</v>
      </c>
      <c r="D233" t="s">
        <v>1435</v>
      </c>
      <c r="E233">
        <v>40312</v>
      </c>
      <c r="F233">
        <v>6</v>
      </c>
      <c r="G233">
        <v>3666</v>
      </c>
    </row>
    <row r="234" spans="1:7" hidden="1">
      <c r="A234" t="s">
        <v>1454</v>
      </c>
      <c r="B234" t="s">
        <v>1459</v>
      </c>
      <c r="C234" t="s">
        <v>1441</v>
      </c>
      <c r="D234" t="s">
        <v>1435</v>
      </c>
      <c r="E234">
        <v>40730</v>
      </c>
      <c r="F234">
        <v>6</v>
      </c>
      <c r="G234">
        <v>4680</v>
      </c>
    </row>
    <row r="235" spans="1:7" hidden="1">
      <c r="A235" t="s">
        <v>1456</v>
      </c>
      <c r="B235" t="s">
        <v>1459</v>
      </c>
      <c r="C235" t="s">
        <v>1445</v>
      </c>
      <c r="D235" t="s">
        <v>1453</v>
      </c>
      <c r="E235">
        <v>40596</v>
      </c>
      <c r="F235">
        <v>6</v>
      </c>
      <c r="G235">
        <v>3612</v>
      </c>
    </row>
    <row r="236" spans="1:7" hidden="1">
      <c r="A236" t="s">
        <v>1440</v>
      </c>
      <c r="B236" t="s">
        <v>1459</v>
      </c>
      <c r="C236" t="s">
        <v>1439</v>
      </c>
      <c r="D236" t="s">
        <v>1453</v>
      </c>
      <c r="E236">
        <v>40628</v>
      </c>
      <c r="F236">
        <v>6</v>
      </c>
      <c r="G236">
        <v>3948</v>
      </c>
    </row>
    <row r="237" spans="1:7" hidden="1">
      <c r="A237" t="s">
        <v>1454</v>
      </c>
      <c r="B237" t="s">
        <v>1459</v>
      </c>
      <c r="C237" t="s">
        <v>1439</v>
      </c>
      <c r="D237" t="s">
        <v>1453</v>
      </c>
      <c r="E237">
        <v>40851</v>
      </c>
      <c r="F237">
        <v>6</v>
      </c>
      <c r="G237">
        <v>5376</v>
      </c>
    </row>
    <row r="238" spans="1:7" hidden="1">
      <c r="A238" t="s">
        <v>1449</v>
      </c>
      <c r="B238" t="s">
        <v>1459</v>
      </c>
      <c r="C238" t="s">
        <v>1436</v>
      </c>
      <c r="D238" t="s">
        <v>1452</v>
      </c>
      <c r="E238">
        <v>40207</v>
      </c>
      <c r="F238">
        <v>6</v>
      </c>
      <c r="G238">
        <v>4086</v>
      </c>
    </row>
    <row r="239" spans="1:7" hidden="1">
      <c r="A239" t="s">
        <v>1446</v>
      </c>
      <c r="B239" t="s">
        <v>1459</v>
      </c>
      <c r="C239" t="s">
        <v>1436</v>
      </c>
      <c r="D239" t="s">
        <v>1452</v>
      </c>
      <c r="E239">
        <v>40731</v>
      </c>
      <c r="F239">
        <v>6</v>
      </c>
      <c r="G239">
        <v>5388</v>
      </c>
    </row>
    <row r="240" spans="1:7">
      <c r="A240" t="s">
        <v>1443</v>
      </c>
      <c r="B240" t="s">
        <v>1459</v>
      </c>
      <c r="C240" t="s">
        <v>1445</v>
      </c>
      <c r="D240" t="s">
        <v>1450</v>
      </c>
      <c r="E240">
        <v>40484</v>
      </c>
      <c r="F240">
        <v>6</v>
      </c>
      <c r="G240">
        <v>3564</v>
      </c>
    </row>
    <row r="241" spans="1:7">
      <c r="A241" t="s">
        <v>1449</v>
      </c>
      <c r="B241" t="s">
        <v>1459</v>
      </c>
      <c r="C241" t="s">
        <v>1441</v>
      </c>
      <c r="D241" t="s">
        <v>1450</v>
      </c>
      <c r="E241">
        <v>40246</v>
      </c>
      <c r="F241">
        <v>6</v>
      </c>
      <c r="G241">
        <v>3174</v>
      </c>
    </row>
    <row r="242" spans="1:7">
      <c r="A242" t="s">
        <v>1456</v>
      </c>
      <c r="B242" t="s">
        <v>1459</v>
      </c>
      <c r="C242" t="s">
        <v>1439</v>
      </c>
      <c r="D242" t="s">
        <v>1450</v>
      </c>
      <c r="E242">
        <v>40746</v>
      </c>
      <c r="F242">
        <v>6</v>
      </c>
      <c r="G242">
        <v>5028</v>
      </c>
    </row>
    <row r="243" spans="1:7" hidden="1">
      <c r="A243" t="s">
        <v>1442</v>
      </c>
      <c r="B243" t="s">
        <v>1459</v>
      </c>
      <c r="C243" t="s">
        <v>1445</v>
      </c>
      <c r="D243" t="s">
        <v>1455</v>
      </c>
      <c r="E243">
        <v>40712</v>
      </c>
      <c r="F243">
        <v>7</v>
      </c>
      <c r="G243">
        <v>3395</v>
      </c>
    </row>
    <row r="244" spans="1:7" hidden="1">
      <c r="A244" t="s">
        <v>1448</v>
      </c>
      <c r="B244" t="s">
        <v>1459</v>
      </c>
      <c r="C244" t="s">
        <v>1441</v>
      </c>
      <c r="D244" t="s">
        <v>1435</v>
      </c>
      <c r="E244">
        <v>40190</v>
      </c>
      <c r="F244">
        <v>7</v>
      </c>
      <c r="G244">
        <v>2751</v>
      </c>
    </row>
    <row r="245" spans="1:7" hidden="1">
      <c r="A245" t="s">
        <v>1443</v>
      </c>
      <c r="B245" t="s">
        <v>1459</v>
      </c>
      <c r="C245" t="s">
        <v>1439</v>
      </c>
      <c r="D245" t="s">
        <v>1435</v>
      </c>
      <c r="E245">
        <v>40212</v>
      </c>
      <c r="F245">
        <v>7</v>
      </c>
      <c r="G245">
        <v>2849</v>
      </c>
    </row>
    <row r="246" spans="1:7" hidden="1">
      <c r="A246" t="s">
        <v>1442</v>
      </c>
      <c r="B246" t="s">
        <v>1459</v>
      </c>
      <c r="C246" t="s">
        <v>1445</v>
      </c>
      <c r="D246" t="s">
        <v>1453</v>
      </c>
      <c r="E246">
        <v>40549</v>
      </c>
      <c r="F246">
        <v>7</v>
      </c>
      <c r="G246">
        <v>5999</v>
      </c>
    </row>
    <row r="247" spans="1:7" hidden="1">
      <c r="A247" t="s">
        <v>1443</v>
      </c>
      <c r="B247" t="s">
        <v>1459</v>
      </c>
      <c r="C247" t="s">
        <v>1445</v>
      </c>
      <c r="D247" t="s">
        <v>1453</v>
      </c>
      <c r="E247">
        <v>40582</v>
      </c>
      <c r="F247">
        <v>7</v>
      </c>
      <c r="G247">
        <v>2716</v>
      </c>
    </row>
    <row r="248" spans="1:7" hidden="1">
      <c r="A248" t="s">
        <v>1449</v>
      </c>
      <c r="B248" t="s">
        <v>1459</v>
      </c>
      <c r="C248" t="s">
        <v>1439</v>
      </c>
      <c r="D248" t="s">
        <v>1452</v>
      </c>
      <c r="E248">
        <v>40728</v>
      </c>
      <c r="F248">
        <v>7</v>
      </c>
      <c r="G248">
        <v>3101</v>
      </c>
    </row>
    <row r="249" spans="1:7" hidden="1">
      <c r="A249" t="s">
        <v>1442</v>
      </c>
      <c r="B249" t="s">
        <v>1459</v>
      </c>
      <c r="C249" t="s">
        <v>1439</v>
      </c>
      <c r="D249" t="s">
        <v>1452</v>
      </c>
      <c r="E249">
        <v>40866</v>
      </c>
      <c r="F249">
        <v>7</v>
      </c>
      <c r="G249">
        <v>5082</v>
      </c>
    </row>
    <row r="250" spans="1:7">
      <c r="A250" t="s">
        <v>1449</v>
      </c>
      <c r="B250" t="s">
        <v>1459</v>
      </c>
      <c r="C250" t="s">
        <v>1445</v>
      </c>
      <c r="D250" t="s">
        <v>1450</v>
      </c>
      <c r="E250">
        <v>40765</v>
      </c>
      <c r="F250">
        <v>7</v>
      </c>
      <c r="G250">
        <v>4277</v>
      </c>
    </row>
    <row r="251" spans="1:7">
      <c r="A251" t="s">
        <v>1449</v>
      </c>
      <c r="B251" t="s">
        <v>1459</v>
      </c>
      <c r="C251" t="s">
        <v>1441</v>
      </c>
      <c r="D251" t="s">
        <v>1450</v>
      </c>
      <c r="E251">
        <v>40789</v>
      </c>
      <c r="F251">
        <v>7</v>
      </c>
      <c r="G251">
        <v>3304</v>
      </c>
    </row>
    <row r="252" spans="1:7">
      <c r="A252" t="s">
        <v>1443</v>
      </c>
      <c r="B252" t="s">
        <v>1459</v>
      </c>
      <c r="C252" t="s">
        <v>1439</v>
      </c>
      <c r="D252" t="s">
        <v>1450</v>
      </c>
      <c r="E252">
        <v>40782</v>
      </c>
      <c r="F252">
        <v>7</v>
      </c>
      <c r="G252">
        <v>2947</v>
      </c>
    </row>
    <row r="253" spans="1:7">
      <c r="A253" t="s">
        <v>1451</v>
      </c>
      <c r="B253" t="s">
        <v>1459</v>
      </c>
      <c r="C253" t="s">
        <v>1436</v>
      </c>
      <c r="D253" t="s">
        <v>1450</v>
      </c>
      <c r="E253">
        <v>40456</v>
      </c>
      <c r="F253">
        <v>7</v>
      </c>
      <c r="G253">
        <v>2919</v>
      </c>
    </row>
    <row r="254" spans="1:7" hidden="1">
      <c r="A254" t="s">
        <v>1443</v>
      </c>
      <c r="B254" t="s">
        <v>1459</v>
      </c>
      <c r="C254" t="s">
        <v>1441</v>
      </c>
      <c r="D254" t="s">
        <v>1455</v>
      </c>
      <c r="E254">
        <v>40290</v>
      </c>
      <c r="F254">
        <v>8</v>
      </c>
      <c r="G254">
        <v>5088</v>
      </c>
    </row>
    <row r="255" spans="1:7" hidden="1">
      <c r="A255" t="s">
        <v>1440</v>
      </c>
      <c r="B255" t="s">
        <v>1459</v>
      </c>
      <c r="C255" t="s">
        <v>1441</v>
      </c>
      <c r="D255" t="s">
        <v>1455</v>
      </c>
      <c r="E255">
        <v>40435</v>
      </c>
      <c r="F255">
        <v>8</v>
      </c>
      <c r="G255">
        <v>3288</v>
      </c>
    </row>
    <row r="256" spans="1:7" hidden="1">
      <c r="A256" t="s">
        <v>1449</v>
      </c>
      <c r="B256" t="s">
        <v>1459</v>
      </c>
      <c r="C256" t="s">
        <v>1439</v>
      </c>
      <c r="D256" t="s">
        <v>1455</v>
      </c>
      <c r="E256">
        <v>40296</v>
      </c>
      <c r="F256">
        <v>8</v>
      </c>
      <c r="G256">
        <v>3592</v>
      </c>
    </row>
    <row r="257" spans="1:7" hidden="1">
      <c r="A257" t="s">
        <v>1449</v>
      </c>
      <c r="B257" t="s">
        <v>1459</v>
      </c>
      <c r="C257" t="s">
        <v>1445</v>
      </c>
      <c r="D257" t="s">
        <v>1435</v>
      </c>
      <c r="E257">
        <v>40501</v>
      </c>
      <c r="F257">
        <v>8</v>
      </c>
      <c r="G257">
        <v>3568</v>
      </c>
    </row>
    <row r="258" spans="1:7" hidden="1">
      <c r="A258" t="s">
        <v>1451</v>
      </c>
      <c r="B258" t="s">
        <v>1459</v>
      </c>
      <c r="C258" t="s">
        <v>1445</v>
      </c>
      <c r="D258" t="s">
        <v>1435</v>
      </c>
      <c r="E258">
        <v>40703</v>
      </c>
      <c r="F258">
        <v>8</v>
      </c>
      <c r="G258">
        <v>7120</v>
      </c>
    </row>
    <row r="259" spans="1:7" hidden="1">
      <c r="A259" t="s">
        <v>1456</v>
      </c>
      <c r="B259" t="s">
        <v>1459</v>
      </c>
      <c r="C259" t="s">
        <v>1441</v>
      </c>
      <c r="D259" t="s">
        <v>1435</v>
      </c>
      <c r="E259">
        <v>40891</v>
      </c>
      <c r="F259">
        <v>8</v>
      </c>
      <c r="G259">
        <v>4824</v>
      </c>
    </row>
    <row r="260" spans="1:7" hidden="1">
      <c r="A260" t="s">
        <v>1448</v>
      </c>
      <c r="B260" t="s">
        <v>1459</v>
      </c>
      <c r="C260" t="s">
        <v>1441</v>
      </c>
      <c r="D260" t="s">
        <v>1453</v>
      </c>
      <c r="E260">
        <v>40679</v>
      </c>
      <c r="F260">
        <v>8</v>
      </c>
      <c r="G260">
        <v>3080</v>
      </c>
    </row>
    <row r="261" spans="1:7" hidden="1">
      <c r="A261" t="s">
        <v>1438</v>
      </c>
      <c r="B261" t="s">
        <v>1459</v>
      </c>
      <c r="C261" t="s">
        <v>1441</v>
      </c>
      <c r="D261" t="s">
        <v>1453</v>
      </c>
      <c r="E261">
        <v>40831</v>
      </c>
      <c r="F261">
        <v>8</v>
      </c>
      <c r="G261">
        <v>3392</v>
      </c>
    </row>
    <row r="262" spans="1:7" hidden="1">
      <c r="A262" t="s">
        <v>1448</v>
      </c>
      <c r="B262" t="s">
        <v>1459</v>
      </c>
      <c r="C262" t="s">
        <v>1441</v>
      </c>
      <c r="D262" t="s">
        <v>1452</v>
      </c>
      <c r="E262">
        <v>40756</v>
      </c>
      <c r="F262">
        <v>8</v>
      </c>
      <c r="G262">
        <v>6800</v>
      </c>
    </row>
    <row r="263" spans="1:7" hidden="1">
      <c r="A263" t="s">
        <v>1448</v>
      </c>
      <c r="B263" t="s">
        <v>1459</v>
      </c>
      <c r="C263" t="s">
        <v>1439</v>
      </c>
      <c r="D263" t="s">
        <v>1452</v>
      </c>
      <c r="E263">
        <v>40206</v>
      </c>
      <c r="F263">
        <v>8</v>
      </c>
      <c r="G263">
        <v>4096</v>
      </c>
    </row>
    <row r="264" spans="1:7" hidden="1">
      <c r="A264" t="s">
        <v>1442</v>
      </c>
      <c r="B264" t="s">
        <v>1459</v>
      </c>
      <c r="C264" t="s">
        <v>1436</v>
      </c>
      <c r="D264" t="s">
        <v>1452</v>
      </c>
      <c r="E264">
        <v>40680</v>
      </c>
      <c r="F264">
        <v>8</v>
      </c>
      <c r="G264">
        <v>3544</v>
      </c>
    </row>
    <row r="265" spans="1:7">
      <c r="A265" t="s">
        <v>1444</v>
      </c>
      <c r="B265" t="s">
        <v>1459</v>
      </c>
      <c r="C265" t="s">
        <v>1445</v>
      </c>
      <c r="D265" t="s">
        <v>1450</v>
      </c>
      <c r="E265">
        <v>40351</v>
      </c>
      <c r="F265">
        <v>8</v>
      </c>
      <c r="G265">
        <v>4080</v>
      </c>
    </row>
    <row r="266" spans="1:7">
      <c r="A266" t="s">
        <v>1443</v>
      </c>
      <c r="B266" t="s">
        <v>1459</v>
      </c>
      <c r="C266" t="s">
        <v>1441</v>
      </c>
      <c r="D266" t="s">
        <v>1450</v>
      </c>
      <c r="E266">
        <v>40541</v>
      </c>
      <c r="F266">
        <v>8</v>
      </c>
      <c r="G266">
        <v>6872</v>
      </c>
    </row>
    <row r="267" spans="1:7">
      <c r="A267" t="s">
        <v>1449</v>
      </c>
      <c r="B267" t="s">
        <v>1459</v>
      </c>
      <c r="C267" t="s">
        <v>1439</v>
      </c>
      <c r="D267" t="s">
        <v>1450</v>
      </c>
      <c r="E267">
        <v>40561</v>
      </c>
      <c r="F267">
        <v>8</v>
      </c>
      <c r="G267">
        <v>6576</v>
      </c>
    </row>
    <row r="268" spans="1:7">
      <c r="A268" t="s">
        <v>1442</v>
      </c>
      <c r="B268" t="s">
        <v>1459</v>
      </c>
      <c r="C268" t="s">
        <v>1436</v>
      </c>
      <c r="D268" t="s">
        <v>1450</v>
      </c>
      <c r="E268">
        <v>40278</v>
      </c>
      <c r="F268">
        <v>8</v>
      </c>
      <c r="G268">
        <v>5056</v>
      </c>
    </row>
    <row r="269" spans="1:7" hidden="1">
      <c r="A269" t="s">
        <v>1449</v>
      </c>
      <c r="B269" t="s">
        <v>1459</v>
      </c>
      <c r="C269" t="s">
        <v>1445</v>
      </c>
      <c r="D269" t="s">
        <v>1455</v>
      </c>
      <c r="E269">
        <v>40878</v>
      </c>
      <c r="F269">
        <v>9</v>
      </c>
      <c r="G269">
        <v>7461</v>
      </c>
    </row>
    <row r="270" spans="1:7" hidden="1">
      <c r="A270" t="s">
        <v>1443</v>
      </c>
      <c r="B270" t="s">
        <v>1459</v>
      </c>
      <c r="C270" t="s">
        <v>1441</v>
      </c>
      <c r="D270" t="s">
        <v>1455</v>
      </c>
      <c r="E270">
        <v>40332</v>
      </c>
      <c r="F270">
        <v>9</v>
      </c>
      <c r="G270">
        <v>3438</v>
      </c>
    </row>
    <row r="271" spans="1:7" hidden="1">
      <c r="A271" t="s">
        <v>1456</v>
      </c>
      <c r="B271" t="s">
        <v>1459</v>
      </c>
      <c r="C271" t="s">
        <v>1441</v>
      </c>
      <c r="D271" t="s">
        <v>1455</v>
      </c>
      <c r="E271">
        <v>40792</v>
      </c>
      <c r="F271">
        <v>9</v>
      </c>
      <c r="G271">
        <v>7803</v>
      </c>
    </row>
    <row r="272" spans="1:7" hidden="1">
      <c r="A272" t="s">
        <v>1446</v>
      </c>
      <c r="B272" t="s">
        <v>1459</v>
      </c>
      <c r="C272" t="s">
        <v>1439</v>
      </c>
      <c r="D272" t="s">
        <v>1455</v>
      </c>
      <c r="E272">
        <v>40750</v>
      </c>
      <c r="F272">
        <v>9</v>
      </c>
      <c r="G272">
        <v>5256</v>
      </c>
    </row>
    <row r="273" spans="1:7" hidden="1">
      <c r="A273" t="s">
        <v>1444</v>
      </c>
      <c r="B273" t="s">
        <v>1459</v>
      </c>
      <c r="C273" t="s">
        <v>1436</v>
      </c>
      <c r="D273" t="s">
        <v>1455</v>
      </c>
      <c r="E273">
        <v>40526</v>
      </c>
      <c r="F273">
        <v>9</v>
      </c>
      <c r="G273">
        <v>2790</v>
      </c>
    </row>
    <row r="274" spans="1:7" hidden="1">
      <c r="A274" t="s">
        <v>1449</v>
      </c>
      <c r="B274" t="s">
        <v>1459</v>
      </c>
      <c r="C274" t="s">
        <v>1445</v>
      </c>
      <c r="D274" t="s">
        <v>1435</v>
      </c>
      <c r="E274">
        <v>40181</v>
      </c>
      <c r="F274">
        <v>9</v>
      </c>
      <c r="G274">
        <v>5301</v>
      </c>
    </row>
    <row r="275" spans="1:7" hidden="1">
      <c r="A275" t="s">
        <v>1440</v>
      </c>
      <c r="B275" t="s">
        <v>1459</v>
      </c>
      <c r="C275" t="s">
        <v>1441</v>
      </c>
      <c r="D275" t="s">
        <v>1435</v>
      </c>
      <c r="E275">
        <v>40368</v>
      </c>
      <c r="F275">
        <v>9</v>
      </c>
      <c r="G275">
        <v>4455</v>
      </c>
    </row>
    <row r="276" spans="1:7" hidden="1">
      <c r="A276" t="s">
        <v>1440</v>
      </c>
      <c r="B276" t="s">
        <v>1459</v>
      </c>
      <c r="C276" t="s">
        <v>1436</v>
      </c>
      <c r="D276" t="s">
        <v>1435</v>
      </c>
      <c r="E276">
        <v>40212</v>
      </c>
      <c r="F276">
        <v>9</v>
      </c>
      <c r="G276">
        <v>8028</v>
      </c>
    </row>
    <row r="277" spans="1:7" hidden="1">
      <c r="A277" t="s">
        <v>1446</v>
      </c>
      <c r="B277" t="s">
        <v>1459</v>
      </c>
      <c r="C277" t="s">
        <v>1436</v>
      </c>
      <c r="D277" t="s">
        <v>1435</v>
      </c>
      <c r="E277">
        <v>40731</v>
      </c>
      <c r="F277">
        <v>9</v>
      </c>
      <c r="G277">
        <v>7344</v>
      </c>
    </row>
    <row r="278" spans="1:7" hidden="1">
      <c r="A278" t="s">
        <v>1451</v>
      </c>
      <c r="B278" t="s">
        <v>1459</v>
      </c>
      <c r="C278" t="s">
        <v>1441</v>
      </c>
      <c r="D278" t="s">
        <v>1453</v>
      </c>
      <c r="E278">
        <v>40380</v>
      </c>
      <c r="F278">
        <v>9</v>
      </c>
      <c r="G278">
        <v>4959</v>
      </c>
    </row>
    <row r="279" spans="1:7" hidden="1">
      <c r="A279" t="s">
        <v>1447</v>
      </c>
      <c r="B279" t="s">
        <v>1459</v>
      </c>
      <c r="C279" t="s">
        <v>1439</v>
      </c>
      <c r="D279" t="s">
        <v>1453</v>
      </c>
      <c r="E279">
        <v>40247</v>
      </c>
      <c r="F279">
        <v>9</v>
      </c>
      <c r="G279">
        <v>5742</v>
      </c>
    </row>
    <row r="280" spans="1:7" hidden="1">
      <c r="A280" t="s">
        <v>1448</v>
      </c>
      <c r="B280" t="s">
        <v>1459</v>
      </c>
      <c r="C280" t="s">
        <v>1439</v>
      </c>
      <c r="D280" t="s">
        <v>1452</v>
      </c>
      <c r="E280">
        <v>40498</v>
      </c>
      <c r="F280">
        <v>9</v>
      </c>
      <c r="G280">
        <v>7002</v>
      </c>
    </row>
    <row r="281" spans="1:7">
      <c r="A281" t="s">
        <v>1444</v>
      </c>
      <c r="B281" t="s">
        <v>1459</v>
      </c>
      <c r="C281" t="s">
        <v>1445</v>
      </c>
      <c r="D281" t="s">
        <v>1450</v>
      </c>
      <c r="E281">
        <v>40422</v>
      </c>
      <c r="F281">
        <v>9</v>
      </c>
      <c r="G281">
        <v>3789</v>
      </c>
    </row>
    <row r="282" spans="1:7">
      <c r="A282" t="s">
        <v>1442</v>
      </c>
      <c r="B282" t="s">
        <v>1459</v>
      </c>
      <c r="C282" t="s">
        <v>1441</v>
      </c>
      <c r="D282" t="s">
        <v>1450</v>
      </c>
      <c r="E282">
        <v>40267</v>
      </c>
      <c r="F282">
        <v>9</v>
      </c>
      <c r="G282">
        <v>3006</v>
      </c>
    </row>
    <row r="283" spans="1:7">
      <c r="A283" t="s">
        <v>1448</v>
      </c>
      <c r="B283" t="s">
        <v>1459</v>
      </c>
      <c r="C283" t="s">
        <v>1441</v>
      </c>
      <c r="D283" t="s">
        <v>1450</v>
      </c>
      <c r="E283">
        <v>40691</v>
      </c>
      <c r="F283">
        <v>9</v>
      </c>
      <c r="G283">
        <v>4041</v>
      </c>
    </row>
    <row r="284" spans="1:7">
      <c r="A284" t="s">
        <v>1448</v>
      </c>
      <c r="B284" t="s">
        <v>1459</v>
      </c>
      <c r="C284" t="s">
        <v>1439</v>
      </c>
      <c r="D284" t="s">
        <v>1450</v>
      </c>
      <c r="E284">
        <v>40576</v>
      </c>
      <c r="F284">
        <v>9</v>
      </c>
      <c r="G284">
        <v>6165</v>
      </c>
    </row>
    <row r="285" spans="1:7">
      <c r="A285" t="s">
        <v>1442</v>
      </c>
      <c r="B285" t="s">
        <v>1459</v>
      </c>
      <c r="C285" t="s">
        <v>1439</v>
      </c>
      <c r="D285" t="s">
        <v>1450</v>
      </c>
      <c r="E285">
        <v>40666</v>
      </c>
      <c r="F285">
        <v>9</v>
      </c>
      <c r="G285">
        <v>6939</v>
      </c>
    </row>
    <row r="286" spans="1:7" hidden="1">
      <c r="A286" t="s">
        <v>1449</v>
      </c>
      <c r="B286" t="s">
        <v>1459</v>
      </c>
      <c r="C286" t="s">
        <v>1445</v>
      </c>
      <c r="D286" t="s">
        <v>1455</v>
      </c>
      <c r="E286">
        <v>40389</v>
      </c>
      <c r="F286">
        <v>10</v>
      </c>
      <c r="G286">
        <v>8540</v>
      </c>
    </row>
    <row r="287" spans="1:7" hidden="1">
      <c r="A287" t="s">
        <v>1446</v>
      </c>
      <c r="B287" t="s">
        <v>1459</v>
      </c>
      <c r="C287" t="s">
        <v>1445</v>
      </c>
      <c r="D287" t="s">
        <v>1455</v>
      </c>
      <c r="E287">
        <v>40665</v>
      </c>
      <c r="F287">
        <v>10</v>
      </c>
      <c r="G287">
        <v>5650</v>
      </c>
    </row>
    <row r="288" spans="1:7" hidden="1">
      <c r="A288" t="s">
        <v>1456</v>
      </c>
      <c r="B288" t="s">
        <v>1459</v>
      </c>
      <c r="C288" t="s">
        <v>1445</v>
      </c>
      <c r="D288" t="s">
        <v>1455</v>
      </c>
      <c r="E288">
        <v>40759</v>
      </c>
      <c r="F288">
        <v>10</v>
      </c>
      <c r="G288">
        <v>7760</v>
      </c>
    </row>
    <row r="289" spans="1:7" hidden="1">
      <c r="A289" t="s">
        <v>1449</v>
      </c>
      <c r="B289" t="s">
        <v>1459</v>
      </c>
      <c r="C289" t="s">
        <v>1439</v>
      </c>
      <c r="D289" t="s">
        <v>1455</v>
      </c>
      <c r="E289">
        <v>40670</v>
      </c>
      <c r="F289">
        <v>10</v>
      </c>
      <c r="G289">
        <v>8130</v>
      </c>
    </row>
    <row r="290" spans="1:7" hidden="1">
      <c r="A290" t="s">
        <v>1446</v>
      </c>
      <c r="B290" t="s">
        <v>1459</v>
      </c>
      <c r="C290" t="s">
        <v>1436</v>
      </c>
      <c r="D290" t="s">
        <v>1455</v>
      </c>
      <c r="E290">
        <v>40344</v>
      </c>
      <c r="F290">
        <v>10</v>
      </c>
      <c r="G290">
        <v>3230</v>
      </c>
    </row>
    <row r="291" spans="1:7" hidden="1">
      <c r="A291" t="s">
        <v>1454</v>
      </c>
      <c r="B291" t="s">
        <v>1459</v>
      </c>
      <c r="C291" t="s">
        <v>1445</v>
      </c>
      <c r="D291" t="s">
        <v>1453</v>
      </c>
      <c r="E291">
        <v>40638</v>
      </c>
      <c r="F291">
        <v>10</v>
      </c>
      <c r="G291">
        <v>6580</v>
      </c>
    </row>
    <row r="292" spans="1:7" hidden="1">
      <c r="A292" t="s">
        <v>1454</v>
      </c>
      <c r="B292" t="s">
        <v>1459</v>
      </c>
      <c r="C292" t="s">
        <v>1436</v>
      </c>
      <c r="D292" t="s">
        <v>1453</v>
      </c>
      <c r="E292">
        <v>40855</v>
      </c>
      <c r="F292">
        <v>10</v>
      </c>
      <c r="G292">
        <v>4450</v>
      </c>
    </row>
    <row r="293" spans="1:7" hidden="1">
      <c r="A293" t="s">
        <v>1438</v>
      </c>
      <c r="B293" t="s">
        <v>1459</v>
      </c>
      <c r="C293" t="s">
        <v>1439</v>
      </c>
      <c r="D293" t="s">
        <v>1452</v>
      </c>
      <c r="E293">
        <v>40498</v>
      </c>
      <c r="F293">
        <v>10</v>
      </c>
      <c r="G293">
        <v>6470</v>
      </c>
    </row>
    <row r="294" spans="1:7">
      <c r="A294" t="s">
        <v>1449</v>
      </c>
      <c r="B294" t="s">
        <v>1459</v>
      </c>
      <c r="C294" t="s">
        <v>1441</v>
      </c>
      <c r="D294" t="s">
        <v>1450</v>
      </c>
      <c r="E294">
        <v>40686</v>
      </c>
      <c r="F294">
        <v>10</v>
      </c>
      <c r="G294">
        <v>5930</v>
      </c>
    </row>
    <row r="295" spans="1:7">
      <c r="A295" t="s">
        <v>1454</v>
      </c>
      <c r="B295" t="s">
        <v>1459</v>
      </c>
      <c r="C295" t="s">
        <v>1441</v>
      </c>
      <c r="D295" t="s">
        <v>1450</v>
      </c>
      <c r="E295">
        <v>40869</v>
      </c>
      <c r="F295">
        <v>10</v>
      </c>
      <c r="G295">
        <v>3630</v>
      </c>
    </row>
    <row r="296" spans="1:7">
      <c r="A296" t="s">
        <v>1442</v>
      </c>
      <c r="B296" t="s">
        <v>1459</v>
      </c>
      <c r="C296" t="s">
        <v>1439</v>
      </c>
      <c r="D296" t="s">
        <v>1450</v>
      </c>
      <c r="E296">
        <v>40631</v>
      </c>
      <c r="F296">
        <v>10</v>
      </c>
      <c r="G296">
        <v>6800</v>
      </c>
    </row>
    <row r="297" spans="1:7" hidden="1">
      <c r="A297" t="s">
        <v>1449</v>
      </c>
      <c r="B297" t="s">
        <v>1459</v>
      </c>
      <c r="C297" t="s">
        <v>1441</v>
      </c>
      <c r="D297" t="s">
        <v>1455</v>
      </c>
      <c r="E297">
        <v>40595</v>
      </c>
      <c r="F297">
        <v>11</v>
      </c>
      <c r="G297">
        <v>4609</v>
      </c>
    </row>
    <row r="298" spans="1:7" hidden="1">
      <c r="A298" t="s">
        <v>1451</v>
      </c>
      <c r="B298" t="s">
        <v>1459</v>
      </c>
      <c r="C298" t="s">
        <v>1436</v>
      </c>
      <c r="D298" t="s">
        <v>1455</v>
      </c>
      <c r="E298">
        <v>40764</v>
      </c>
      <c r="F298">
        <v>11</v>
      </c>
      <c r="G298">
        <v>8646</v>
      </c>
    </row>
    <row r="299" spans="1:7" hidden="1">
      <c r="A299" t="s">
        <v>1438</v>
      </c>
      <c r="B299" t="s">
        <v>1459</v>
      </c>
      <c r="C299" t="s">
        <v>1445</v>
      </c>
      <c r="D299" t="s">
        <v>1435</v>
      </c>
      <c r="E299">
        <v>40582</v>
      </c>
      <c r="F299">
        <v>11</v>
      </c>
      <c r="G299">
        <v>7656</v>
      </c>
    </row>
    <row r="300" spans="1:7" hidden="1">
      <c r="A300" t="s">
        <v>1443</v>
      </c>
      <c r="B300" t="s">
        <v>1459</v>
      </c>
      <c r="C300" t="s">
        <v>1439</v>
      </c>
      <c r="D300" t="s">
        <v>1435</v>
      </c>
      <c r="E300">
        <v>40212</v>
      </c>
      <c r="F300">
        <v>11</v>
      </c>
      <c r="G300">
        <v>8811</v>
      </c>
    </row>
    <row r="301" spans="1:7" hidden="1">
      <c r="A301" t="s">
        <v>1447</v>
      </c>
      <c r="B301" t="s">
        <v>1459</v>
      </c>
      <c r="C301" t="s">
        <v>1439</v>
      </c>
      <c r="D301" t="s">
        <v>1435</v>
      </c>
      <c r="E301">
        <v>40887</v>
      </c>
      <c r="F301">
        <v>11</v>
      </c>
      <c r="G301">
        <v>4972</v>
      </c>
    </row>
    <row r="302" spans="1:7" hidden="1">
      <c r="A302" t="s">
        <v>1448</v>
      </c>
      <c r="B302" t="s">
        <v>1459</v>
      </c>
      <c r="C302" t="s">
        <v>1436</v>
      </c>
      <c r="D302" t="s">
        <v>1435</v>
      </c>
      <c r="E302">
        <v>40677</v>
      </c>
      <c r="F302">
        <v>11</v>
      </c>
      <c r="G302">
        <v>6798</v>
      </c>
    </row>
    <row r="303" spans="1:7" hidden="1">
      <c r="A303" t="s">
        <v>1454</v>
      </c>
      <c r="B303" t="s">
        <v>1459</v>
      </c>
      <c r="C303" t="s">
        <v>1436</v>
      </c>
      <c r="D303" t="s">
        <v>1452</v>
      </c>
      <c r="E303">
        <v>40848</v>
      </c>
      <c r="F303">
        <v>11</v>
      </c>
      <c r="G303">
        <v>7348</v>
      </c>
    </row>
    <row r="304" spans="1:7">
      <c r="A304" t="s">
        <v>1444</v>
      </c>
      <c r="B304" t="s">
        <v>1459</v>
      </c>
      <c r="C304" t="s">
        <v>1439</v>
      </c>
      <c r="D304" t="s">
        <v>1450</v>
      </c>
      <c r="E304">
        <v>40252</v>
      </c>
      <c r="F304">
        <v>11</v>
      </c>
      <c r="G304">
        <v>7953</v>
      </c>
    </row>
    <row r="305" spans="1:7">
      <c r="A305" t="s">
        <v>1444</v>
      </c>
      <c r="B305" t="s">
        <v>1459</v>
      </c>
      <c r="C305" t="s">
        <v>1436</v>
      </c>
      <c r="D305" t="s">
        <v>1450</v>
      </c>
      <c r="E305">
        <v>40309</v>
      </c>
      <c r="F305">
        <v>11</v>
      </c>
      <c r="G305">
        <v>8833</v>
      </c>
    </row>
    <row r="306" spans="1:7" hidden="1">
      <c r="A306" t="s">
        <v>1454</v>
      </c>
      <c r="B306" t="s">
        <v>1459</v>
      </c>
      <c r="C306" t="s">
        <v>1445</v>
      </c>
      <c r="D306" t="s">
        <v>1435</v>
      </c>
      <c r="E306">
        <v>40382</v>
      </c>
      <c r="F306">
        <v>12</v>
      </c>
      <c r="G306">
        <v>6132</v>
      </c>
    </row>
    <row r="307" spans="1:7" hidden="1">
      <c r="A307" t="s">
        <v>1448</v>
      </c>
      <c r="B307" t="s">
        <v>1459</v>
      </c>
      <c r="C307" t="s">
        <v>1445</v>
      </c>
      <c r="D307" t="s">
        <v>1435</v>
      </c>
      <c r="E307">
        <v>40576</v>
      </c>
      <c r="F307">
        <v>12</v>
      </c>
      <c r="G307">
        <v>4452</v>
      </c>
    </row>
    <row r="308" spans="1:7" hidden="1">
      <c r="A308" t="s">
        <v>1448</v>
      </c>
      <c r="B308" t="s">
        <v>1459</v>
      </c>
      <c r="C308" t="s">
        <v>1445</v>
      </c>
      <c r="D308" t="s">
        <v>1435</v>
      </c>
      <c r="E308">
        <v>40896</v>
      </c>
      <c r="F308">
        <v>12</v>
      </c>
      <c r="G308">
        <v>8880</v>
      </c>
    </row>
    <row r="309" spans="1:7" hidden="1">
      <c r="A309" t="s">
        <v>1440</v>
      </c>
      <c r="B309" t="s">
        <v>1459</v>
      </c>
      <c r="C309" t="s">
        <v>1436</v>
      </c>
      <c r="D309" t="s">
        <v>1435</v>
      </c>
      <c r="E309">
        <v>40212</v>
      </c>
      <c r="F309">
        <v>12</v>
      </c>
      <c r="G309">
        <v>4704</v>
      </c>
    </row>
    <row r="310" spans="1:7" hidden="1">
      <c r="A310" t="s">
        <v>1443</v>
      </c>
      <c r="B310" t="s">
        <v>1459</v>
      </c>
      <c r="C310" t="s">
        <v>1441</v>
      </c>
      <c r="D310" t="s">
        <v>1453</v>
      </c>
      <c r="E310">
        <v>40229</v>
      </c>
      <c r="F310">
        <v>12</v>
      </c>
      <c r="G310">
        <v>10224</v>
      </c>
    </row>
    <row r="311" spans="1:7" hidden="1">
      <c r="A311" t="s">
        <v>1440</v>
      </c>
      <c r="B311" t="s">
        <v>1459</v>
      </c>
      <c r="C311" t="s">
        <v>1441</v>
      </c>
      <c r="D311" t="s">
        <v>1453</v>
      </c>
      <c r="E311">
        <v>40313</v>
      </c>
      <c r="F311">
        <v>12</v>
      </c>
      <c r="G311">
        <v>4740</v>
      </c>
    </row>
    <row r="312" spans="1:7" hidden="1">
      <c r="A312" t="s">
        <v>1438</v>
      </c>
      <c r="B312" t="s">
        <v>1459</v>
      </c>
      <c r="C312" t="s">
        <v>1436</v>
      </c>
      <c r="D312" t="s">
        <v>1453</v>
      </c>
      <c r="E312">
        <v>40673</v>
      </c>
      <c r="F312">
        <v>12</v>
      </c>
      <c r="G312">
        <v>8424</v>
      </c>
    </row>
    <row r="313" spans="1:7" hidden="1">
      <c r="A313" t="s">
        <v>1448</v>
      </c>
      <c r="B313" t="s">
        <v>1459</v>
      </c>
      <c r="C313" t="s">
        <v>1441</v>
      </c>
      <c r="D313" t="s">
        <v>1452</v>
      </c>
      <c r="E313">
        <v>40648</v>
      </c>
      <c r="F313">
        <v>12</v>
      </c>
      <c r="G313">
        <v>4980</v>
      </c>
    </row>
    <row r="314" spans="1:7" hidden="1">
      <c r="A314" t="s">
        <v>1449</v>
      </c>
      <c r="B314" t="s">
        <v>1459</v>
      </c>
      <c r="C314" t="s">
        <v>1436</v>
      </c>
      <c r="D314" t="s">
        <v>1452</v>
      </c>
      <c r="E314">
        <v>40557</v>
      </c>
      <c r="F314">
        <v>12</v>
      </c>
      <c r="G314">
        <v>6984</v>
      </c>
    </row>
    <row r="315" spans="1:7">
      <c r="A315" t="s">
        <v>1451</v>
      </c>
      <c r="B315" t="s">
        <v>1459</v>
      </c>
      <c r="C315" t="s">
        <v>1445</v>
      </c>
      <c r="D315" t="s">
        <v>1450</v>
      </c>
      <c r="E315">
        <v>40439</v>
      </c>
      <c r="F315">
        <v>12</v>
      </c>
      <c r="G315">
        <v>9192</v>
      </c>
    </row>
    <row r="316" spans="1:7">
      <c r="A316" t="s">
        <v>1448</v>
      </c>
      <c r="B316" t="s">
        <v>1459</v>
      </c>
      <c r="C316" t="s">
        <v>1445</v>
      </c>
      <c r="D316" t="s">
        <v>1450</v>
      </c>
      <c r="E316">
        <v>40449</v>
      </c>
      <c r="F316">
        <v>12</v>
      </c>
      <c r="G316">
        <v>4188</v>
      </c>
    </row>
    <row r="317" spans="1:7">
      <c r="A317" t="s">
        <v>1438</v>
      </c>
      <c r="B317" t="s">
        <v>1459</v>
      </c>
      <c r="C317" t="s">
        <v>1436</v>
      </c>
      <c r="D317" t="s">
        <v>1450</v>
      </c>
      <c r="E317">
        <v>40459</v>
      </c>
      <c r="F317">
        <v>12</v>
      </c>
      <c r="G317">
        <v>4488</v>
      </c>
    </row>
    <row r="318" spans="1:7" hidden="1">
      <c r="A318" t="s">
        <v>1448</v>
      </c>
      <c r="B318" t="s">
        <v>1459</v>
      </c>
      <c r="C318" t="s">
        <v>1445</v>
      </c>
      <c r="D318" t="s">
        <v>1455</v>
      </c>
      <c r="E318">
        <v>40203</v>
      </c>
      <c r="F318">
        <v>13</v>
      </c>
      <c r="G318">
        <v>5083</v>
      </c>
    </row>
    <row r="319" spans="1:7" hidden="1">
      <c r="A319" t="s">
        <v>1456</v>
      </c>
      <c r="B319" t="s">
        <v>1459</v>
      </c>
      <c r="C319" t="s">
        <v>1445</v>
      </c>
      <c r="D319" t="s">
        <v>1455</v>
      </c>
      <c r="E319">
        <v>40613</v>
      </c>
      <c r="F319">
        <v>13</v>
      </c>
      <c r="G319">
        <v>6669</v>
      </c>
    </row>
    <row r="320" spans="1:7" hidden="1">
      <c r="A320" t="s">
        <v>1440</v>
      </c>
      <c r="B320" t="s">
        <v>1459</v>
      </c>
      <c r="C320" t="s">
        <v>1445</v>
      </c>
      <c r="D320" t="s">
        <v>1435</v>
      </c>
      <c r="E320">
        <v>40337</v>
      </c>
      <c r="F320">
        <v>13</v>
      </c>
      <c r="G320">
        <v>6994</v>
      </c>
    </row>
    <row r="321" spans="1:7" hidden="1">
      <c r="A321" t="s">
        <v>1438</v>
      </c>
      <c r="B321" t="s">
        <v>1459</v>
      </c>
      <c r="C321" t="s">
        <v>1445</v>
      </c>
      <c r="D321" t="s">
        <v>1435</v>
      </c>
      <c r="E321">
        <v>40575</v>
      </c>
      <c r="F321">
        <v>13</v>
      </c>
      <c r="G321">
        <v>8125</v>
      </c>
    </row>
    <row r="322" spans="1:7" hidden="1">
      <c r="A322" t="s">
        <v>1449</v>
      </c>
      <c r="B322" t="s">
        <v>1459</v>
      </c>
      <c r="C322" t="s">
        <v>1445</v>
      </c>
      <c r="D322" t="s">
        <v>1453</v>
      </c>
      <c r="E322">
        <v>40379</v>
      </c>
      <c r="F322">
        <v>13</v>
      </c>
      <c r="G322">
        <v>11648</v>
      </c>
    </row>
    <row r="323" spans="1:7" hidden="1">
      <c r="A323" t="s">
        <v>1451</v>
      </c>
      <c r="B323" t="s">
        <v>1459</v>
      </c>
      <c r="C323" t="s">
        <v>1445</v>
      </c>
      <c r="D323" t="s">
        <v>1453</v>
      </c>
      <c r="E323">
        <v>40859</v>
      </c>
      <c r="F323">
        <v>13</v>
      </c>
      <c r="G323">
        <v>9516</v>
      </c>
    </row>
    <row r="324" spans="1:7" hidden="1">
      <c r="A324" t="s">
        <v>1438</v>
      </c>
      <c r="B324" t="s">
        <v>1459</v>
      </c>
      <c r="C324" t="s">
        <v>1441</v>
      </c>
      <c r="D324" t="s">
        <v>1452</v>
      </c>
      <c r="E324">
        <v>40376</v>
      </c>
      <c r="F324">
        <v>13</v>
      </c>
      <c r="G324">
        <v>5915</v>
      </c>
    </row>
    <row r="325" spans="1:7" hidden="1">
      <c r="A325" t="s">
        <v>1438</v>
      </c>
      <c r="B325" t="s">
        <v>1459</v>
      </c>
      <c r="C325" t="s">
        <v>1436</v>
      </c>
      <c r="D325" t="s">
        <v>1452</v>
      </c>
      <c r="E325">
        <v>40361</v>
      </c>
      <c r="F325">
        <v>13</v>
      </c>
      <c r="G325">
        <v>8086</v>
      </c>
    </row>
    <row r="326" spans="1:7">
      <c r="A326" t="s">
        <v>1451</v>
      </c>
      <c r="B326" t="s">
        <v>1459</v>
      </c>
      <c r="C326" t="s">
        <v>1441</v>
      </c>
      <c r="D326" t="s">
        <v>1450</v>
      </c>
      <c r="E326">
        <v>40556</v>
      </c>
      <c r="F326">
        <v>13</v>
      </c>
      <c r="G326">
        <v>5512</v>
      </c>
    </row>
    <row r="327" spans="1:7" hidden="1">
      <c r="A327" t="s">
        <v>1448</v>
      </c>
      <c r="B327" t="s">
        <v>1459</v>
      </c>
      <c r="C327" t="s">
        <v>1439</v>
      </c>
      <c r="D327" t="s">
        <v>1435</v>
      </c>
      <c r="E327">
        <v>40507</v>
      </c>
      <c r="F327">
        <v>14</v>
      </c>
      <c r="G327">
        <v>5754</v>
      </c>
    </row>
    <row r="328" spans="1:7" hidden="1">
      <c r="A328" t="s">
        <v>1456</v>
      </c>
      <c r="B328" t="s">
        <v>1459</v>
      </c>
      <c r="C328" t="s">
        <v>1436</v>
      </c>
      <c r="D328" t="s">
        <v>1435</v>
      </c>
      <c r="E328">
        <v>40192</v>
      </c>
      <c r="F328">
        <v>14</v>
      </c>
      <c r="G328">
        <v>11550</v>
      </c>
    </row>
    <row r="329" spans="1:7" hidden="1">
      <c r="A329" t="s">
        <v>1440</v>
      </c>
      <c r="B329" t="s">
        <v>1459</v>
      </c>
      <c r="C329" t="s">
        <v>1436</v>
      </c>
      <c r="D329" t="s">
        <v>1435</v>
      </c>
      <c r="E329">
        <v>40323</v>
      </c>
      <c r="F329">
        <v>14</v>
      </c>
      <c r="G329">
        <v>4522</v>
      </c>
    </row>
    <row r="330" spans="1:7" hidden="1">
      <c r="A330" t="s">
        <v>1438</v>
      </c>
      <c r="B330" t="s">
        <v>1459</v>
      </c>
      <c r="C330" t="s">
        <v>1445</v>
      </c>
      <c r="D330" t="s">
        <v>1453</v>
      </c>
      <c r="E330">
        <v>40360</v>
      </c>
      <c r="F330">
        <v>14</v>
      </c>
      <c r="G330">
        <v>12138</v>
      </c>
    </row>
    <row r="331" spans="1:7" hidden="1">
      <c r="A331" t="s">
        <v>1454</v>
      </c>
      <c r="B331" t="s">
        <v>1459</v>
      </c>
      <c r="C331" t="s">
        <v>1441</v>
      </c>
      <c r="D331" t="s">
        <v>1452</v>
      </c>
      <c r="E331">
        <v>40577</v>
      </c>
      <c r="F331">
        <v>14</v>
      </c>
      <c r="G331">
        <v>10528</v>
      </c>
    </row>
    <row r="332" spans="1:7" hidden="1">
      <c r="A332" t="s">
        <v>1447</v>
      </c>
      <c r="B332" t="s">
        <v>1459</v>
      </c>
      <c r="C332" t="s">
        <v>1439</v>
      </c>
      <c r="D332" t="s">
        <v>1452</v>
      </c>
      <c r="E332">
        <v>40887</v>
      </c>
      <c r="F332">
        <v>14</v>
      </c>
      <c r="G332">
        <v>4704</v>
      </c>
    </row>
    <row r="333" spans="1:7" hidden="1">
      <c r="A333" t="s">
        <v>1449</v>
      </c>
      <c r="B333" t="s">
        <v>1459</v>
      </c>
      <c r="C333" t="s">
        <v>1436</v>
      </c>
      <c r="D333" t="s">
        <v>1452</v>
      </c>
      <c r="E333">
        <v>40904</v>
      </c>
      <c r="F333">
        <v>14</v>
      </c>
      <c r="G333">
        <v>8190</v>
      </c>
    </row>
    <row r="334" spans="1:7" hidden="1">
      <c r="A334" t="s">
        <v>1442</v>
      </c>
      <c r="B334" t="s">
        <v>1459</v>
      </c>
      <c r="C334" t="s">
        <v>1439</v>
      </c>
      <c r="D334" t="s">
        <v>1435</v>
      </c>
      <c r="E334">
        <v>40392</v>
      </c>
      <c r="F334">
        <v>15</v>
      </c>
      <c r="G334">
        <v>12285</v>
      </c>
    </row>
    <row r="335" spans="1:7" hidden="1">
      <c r="A335" t="s">
        <v>1449</v>
      </c>
      <c r="B335" t="s">
        <v>1459</v>
      </c>
      <c r="C335" t="s">
        <v>1436</v>
      </c>
      <c r="D335" t="s">
        <v>1435</v>
      </c>
      <c r="E335">
        <v>40212</v>
      </c>
      <c r="F335">
        <v>15</v>
      </c>
      <c r="G335">
        <v>7770</v>
      </c>
    </row>
    <row r="336" spans="1:7" hidden="1">
      <c r="A336" t="s">
        <v>1454</v>
      </c>
      <c r="B336" t="s">
        <v>1459</v>
      </c>
      <c r="C336" t="s">
        <v>1445</v>
      </c>
      <c r="D336" t="s">
        <v>1453</v>
      </c>
      <c r="E336">
        <v>40568</v>
      </c>
      <c r="F336">
        <v>15</v>
      </c>
      <c r="G336">
        <v>13020</v>
      </c>
    </row>
    <row r="337" spans="1:7" hidden="1">
      <c r="A337" t="s">
        <v>1442</v>
      </c>
      <c r="B337" t="s">
        <v>1459</v>
      </c>
      <c r="C337" t="s">
        <v>1439</v>
      </c>
      <c r="D337" t="s">
        <v>1453</v>
      </c>
      <c r="E337">
        <v>40404</v>
      </c>
      <c r="F337">
        <v>15</v>
      </c>
      <c r="G337">
        <v>8505</v>
      </c>
    </row>
    <row r="338" spans="1:7" hidden="1">
      <c r="A338" t="s">
        <v>1444</v>
      </c>
      <c r="B338" t="s">
        <v>1459</v>
      </c>
      <c r="C338" t="s">
        <v>1441</v>
      </c>
      <c r="D338" t="s">
        <v>1452</v>
      </c>
      <c r="E338">
        <v>40456</v>
      </c>
      <c r="F338">
        <v>15</v>
      </c>
      <c r="G338">
        <v>8535</v>
      </c>
    </row>
    <row r="339" spans="1:7">
      <c r="A339" t="s">
        <v>1443</v>
      </c>
      <c r="B339" t="s">
        <v>1459</v>
      </c>
      <c r="C339" t="s">
        <v>1439</v>
      </c>
      <c r="D339" t="s">
        <v>1450</v>
      </c>
      <c r="E339">
        <v>40501</v>
      </c>
      <c r="F339">
        <v>15</v>
      </c>
      <c r="G339">
        <v>7695</v>
      </c>
    </row>
    <row r="340" spans="1:7" hidden="1">
      <c r="A340" t="s">
        <v>1454</v>
      </c>
      <c r="B340" t="s">
        <v>1459</v>
      </c>
      <c r="C340" t="s">
        <v>1441</v>
      </c>
      <c r="D340" t="s">
        <v>1435</v>
      </c>
      <c r="E340">
        <v>40491</v>
      </c>
      <c r="F340">
        <v>16</v>
      </c>
      <c r="G340">
        <v>5536</v>
      </c>
    </row>
    <row r="341" spans="1:7" hidden="1">
      <c r="A341" t="s">
        <v>1446</v>
      </c>
      <c r="B341" t="s">
        <v>1459</v>
      </c>
      <c r="C341" t="s">
        <v>1436</v>
      </c>
      <c r="D341" t="s">
        <v>1435</v>
      </c>
      <c r="E341">
        <v>40760</v>
      </c>
      <c r="F341">
        <v>16</v>
      </c>
      <c r="G341">
        <v>10688</v>
      </c>
    </row>
    <row r="342" spans="1:7" hidden="1">
      <c r="A342" t="s">
        <v>1454</v>
      </c>
      <c r="B342" t="s">
        <v>1459</v>
      </c>
      <c r="C342" t="s">
        <v>1445</v>
      </c>
      <c r="D342" t="s">
        <v>1435</v>
      </c>
      <c r="E342">
        <v>40850</v>
      </c>
      <c r="F342">
        <v>17</v>
      </c>
      <c r="G342">
        <v>13872</v>
      </c>
    </row>
    <row r="343" spans="1:7" hidden="1">
      <c r="A343" t="s">
        <v>1447</v>
      </c>
      <c r="B343" t="s">
        <v>1459</v>
      </c>
      <c r="C343" t="s">
        <v>1439</v>
      </c>
      <c r="D343" t="s">
        <v>1435</v>
      </c>
      <c r="E343">
        <v>40247</v>
      </c>
      <c r="F343">
        <v>17</v>
      </c>
      <c r="G343">
        <v>14195</v>
      </c>
    </row>
    <row r="344" spans="1:7" hidden="1">
      <c r="A344" t="s">
        <v>1449</v>
      </c>
      <c r="B344" t="s">
        <v>1459</v>
      </c>
      <c r="C344" t="s">
        <v>1436</v>
      </c>
      <c r="D344" t="s">
        <v>1435</v>
      </c>
      <c r="E344">
        <v>40212</v>
      </c>
      <c r="F344">
        <v>17</v>
      </c>
      <c r="G344">
        <v>11407</v>
      </c>
    </row>
    <row r="345" spans="1:7" hidden="1">
      <c r="A345" t="s">
        <v>1442</v>
      </c>
      <c r="B345" t="s">
        <v>1459</v>
      </c>
      <c r="C345" t="s">
        <v>1436</v>
      </c>
      <c r="D345" t="s">
        <v>1435</v>
      </c>
      <c r="E345">
        <v>40508</v>
      </c>
      <c r="F345">
        <v>17</v>
      </c>
      <c r="G345">
        <v>13651</v>
      </c>
    </row>
    <row r="346" spans="1:7" hidden="1">
      <c r="A346" t="s">
        <v>1447</v>
      </c>
      <c r="B346" t="s">
        <v>1459</v>
      </c>
      <c r="C346" t="s">
        <v>1445</v>
      </c>
      <c r="D346" t="s">
        <v>1435</v>
      </c>
      <c r="E346">
        <v>40626</v>
      </c>
      <c r="F346">
        <v>18</v>
      </c>
      <c r="G346">
        <v>10260</v>
      </c>
    </row>
    <row r="347" spans="1:7" hidden="1">
      <c r="A347" t="s">
        <v>1438</v>
      </c>
      <c r="B347" t="s">
        <v>1459</v>
      </c>
      <c r="C347" t="s">
        <v>1441</v>
      </c>
      <c r="D347" t="s">
        <v>1435</v>
      </c>
      <c r="E347">
        <v>40228</v>
      </c>
      <c r="F347">
        <v>18</v>
      </c>
      <c r="G347">
        <v>15858</v>
      </c>
    </row>
    <row r="348" spans="1:7" hidden="1">
      <c r="A348" t="s">
        <v>1438</v>
      </c>
      <c r="B348" t="s">
        <v>1459</v>
      </c>
      <c r="C348" t="s">
        <v>1441</v>
      </c>
      <c r="D348" t="s">
        <v>1435</v>
      </c>
      <c r="E348">
        <v>40316</v>
      </c>
      <c r="F348">
        <v>18</v>
      </c>
      <c r="G348">
        <v>11214</v>
      </c>
    </row>
    <row r="349" spans="1:7" hidden="1">
      <c r="A349" t="s">
        <v>1454</v>
      </c>
      <c r="B349" t="s">
        <v>1459</v>
      </c>
      <c r="C349" t="s">
        <v>1441</v>
      </c>
      <c r="D349" t="s">
        <v>1435</v>
      </c>
      <c r="E349">
        <v>40898</v>
      </c>
      <c r="F349">
        <v>18</v>
      </c>
      <c r="G349">
        <v>13464</v>
      </c>
    </row>
    <row r="350" spans="1:7" hidden="1">
      <c r="A350" t="s">
        <v>1440</v>
      </c>
      <c r="B350" t="s">
        <v>1459</v>
      </c>
      <c r="C350" t="s">
        <v>1441</v>
      </c>
      <c r="D350" t="s">
        <v>1435</v>
      </c>
      <c r="E350">
        <v>40593</v>
      </c>
      <c r="F350">
        <v>19</v>
      </c>
      <c r="G350">
        <v>6536</v>
      </c>
    </row>
    <row r="351" spans="1:7" hidden="1">
      <c r="A351" t="s">
        <v>1446</v>
      </c>
      <c r="B351" t="s">
        <v>1458</v>
      </c>
      <c r="C351" t="s">
        <v>1445</v>
      </c>
      <c r="D351" t="s">
        <v>1455</v>
      </c>
      <c r="E351">
        <v>40792</v>
      </c>
      <c r="F351">
        <v>1</v>
      </c>
      <c r="G351">
        <v>594</v>
      </c>
    </row>
    <row r="352" spans="1:7" hidden="1">
      <c r="A352" t="s">
        <v>1443</v>
      </c>
      <c r="B352" t="s">
        <v>1458</v>
      </c>
      <c r="C352" t="s">
        <v>1441</v>
      </c>
      <c r="D352" t="s">
        <v>1455</v>
      </c>
      <c r="E352">
        <v>40820</v>
      </c>
      <c r="F352">
        <v>1</v>
      </c>
      <c r="G352">
        <v>312</v>
      </c>
    </row>
    <row r="353" spans="1:7" hidden="1">
      <c r="A353" t="s">
        <v>1438</v>
      </c>
      <c r="B353" t="s">
        <v>1458</v>
      </c>
      <c r="C353" t="s">
        <v>1441</v>
      </c>
      <c r="D353" t="s">
        <v>1455</v>
      </c>
      <c r="E353">
        <v>40820</v>
      </c>
      <c r="F353">
        <v>1</v>
      </c>
      <c r="G353">
        <v>393</v>
      </c>
    </row>
    <row r="354" spans="1:7" hidden="1">
      <c r="A354" t="s">
        <v>1456</v>
      </c>
      <c r="B354" t="s">
        <v>1458</v>
      </c>
      <c r="C354" t="s">
        <v>1439</v>
      </c>
      <c r="D354" t="s">
        <v>1455</v>
      </c>
      <c r="E354">
        <v>40652</v>
      </c>
      <c r="F354">
        <v>1</v>
      </c>
      <c r="G354">
        <v>328</v>
      </c>
    </row>
    <row r="355" spans="1:7" hidden="1">
      <c r="A355" t="s">
        <v>1438</v>
      </c>
      <c r="B355" t="s">
        <v>1458</v>
      </c>
      <c r="C355" t="s">
        <v>1445</v>
      </c>
      <c r="D355" t="s">
        <v>1453</v>
      </c>
      <c r="E355">
        <v>40408</v>
      </c>
      <c r="F355">
        <v>1</v>
      </c>
      <c r="G355">
        <v>563</v>
      </c>
    </row>
    <row r="356" spans="1:7" hidden="1">
      <c r="A356" t="s">
        <v>1446</v>
      </c>
      <c r="B356" t="s">
        <v>1458</v>
      </c>
      <c r="C356" t="s">
        <v>1445</v>
      </c>
      <c r="D356" t="s">
        <v>1453</v>
      </c>
      <c r="E356">
        <v>40522</v>
      </c>
      <c r="F356">
        <v>1</v>
      </c>
      <c r="G356">
        <v>443</v>
      </c>
    </row>
    <row r="357" spans="1:7" hidden="1">
      <c r="A357" t="s">
        <v>1447</v>
      </c>
      <c r="B357" t="s">
        <v>1458</v>
      </c>
      <c r="C357" t="s">
        <v>1441</v>
      </c>
      <c r="D357" t="s">
        <v>1453</v>
      </c>
      <c r="E357">
        <v>40491</v>
      </c>
      <c r="F357">
        <v>1</v>
      </c>
      <c r="G357">
        <v>461</v>
      </c>
    </row>
    <row r="358" spans="1:7" hidden="1">
      <c r="A358" t="s">
        <v>1449</v>
      </c>
      <c r="B358" t="s">
        <v>1458</v>
      </c>
      <c r="C358" t="s">
        <v>1441</v>
      </c>
      <c r="D358" t="s">
        <v>1453</v>
      </c>
      <c r="E358">
        <v>40870</v>
      </c>
      <c r="F358">
        <v>1</v>
      </c>
      <c r="G358">
        <v>558</v>
      </c>
    </row>
    <row r="359" spans="1:7" hidden="1">
      <c r="A359" t="s">
        <v>1438</v>
      </c>
      <c r="B359" t="s">
        <v>1458</v>
      </c>
      <c r="C359" t="s">
        <v>1445</v>
      </c>
      <c r="D359" t="s">
        <v>1452</v>
      </c>
      <c r="E359">
        <v>40450</v>
      </c>
      <c r="F359">
        <v>1</v>
      </c>
      <c r="G359">
        <v>388</v>
      </c>
    </row>
    <row r="360" spans="1:7" hidden="1">
      <c r="A360" t="s">
        <v>1448</v>
      </c>
      <c r="B360" t="s">
        <v>1458</v>
      </c>
      <c r="C360" t="s">
        <v>1445</v>
      </c>
      <c r="D360" t="s">
        <v>1452</v>
      </c>
      <c r="E360">
        <v>40838</v>
      </c>
      <c r="F360">
        <v>1</v>
      </c>
      <c r="G360">
        <v>569</v>
      </c>
    </row>
    <row r="361" spans="1:7">
      <c r="A361" t="s">
        <v>1456</v>
      </c>
      <c r="B361" t="s">
        <v>1458</v>
      </c>
      <c r="C361" t="s">
        <v>1441</v>
      </c>
      <c r="D361" t="s">
        <v>1450</v>
      </c>
      <c r="E361">
        <v>40663</v>
      </c>
      <c r="F361">
        <v>1</v>
      </c>
      <c r="G361">
        <v>425</v>
      </c>
    </row>
    <row r="362" spans="1:7">
      <c r="A362" t="s">
        <v>1444</v>
      </c>
      <c r="B362" t="s">
        <v>1458</v>
      </c>
      <c r="C362" t="s">
        <v>1436</v>
      </c>
      <c r="D362" t="s">
        <v>1450</v>
      </c>
      <c r="E362">
        <v>40553</v>
      </c>
      <c r="F362">
        <v>1</v>
      </c>
      <c r="G362">
        <v>438</v>
      </c>
    </row>
    <row r="363" spans="1:7" hidden="1">
      <c r="A363" t="s">
        <v>1438</v>
      </c>
      <c r="B363" t="s">
        <v>1458</v>
      </c>
      <c r="C363" t="s">
        <v>1445</v>
      </c>
      <c r="D363" t="s">
        <v>1455</v>
      </c>
      <c r="E363">
        <v>40844</v>
      </c>
      <c r="F363">
        <v>2</v>
      </c>
      <c r="G363">
        <v>1352</v>
      </c>
    </row>
    <row r="364" spans="1:7" hidden="1">
      <c r="A364" t="s">
        <v>1448</v>
      </c>
      <c r="B364" t="s">
        <v>1458</v>
      </c>
      <c r="C364" t="s">
        <v>1439</v>
      </c>
      <c r="D364" t="s">
        <v>1455</v>
      </c>
      <c r="E364">
        <v>40505</v>
      </c>
      <c r="F364">
        <v>2</v>
      </c>
      <c r="G364">
        <v>928</v>
      </c>
    </row>
    <row r="365" spans="1:7" hidden="1">
      <c r="A365" t="s">
        <v>1443</v>
      </c>
      <c r="B365" t="s">
        <v>1458</v>
      </c>
      <c r="C365" t="s">
        <v>1439</v>
      </c>
      <c r="D365" t="s">
        <v>1455</v>
      </c>
      <c r="E365">
        <v>40744</v>
      </c>
      <c r="F365">
        <v>2</v>
      </c>
      <c r="G365">
        <v>1316</v>
      </c>
    </row>
    <row r="366" spans="1:7" hidden="1">
      <c r="A366" t="s">
        <v>1446</v>
      </c>
      <c r="B366" t="s">
        <v>1458</v>
      </c>
      <c r="C366" t="s">
        <v>1436</v>
      </c>
      <c r="D366" t="s">
        <v>1455</v>
      </c>
      <c r="E366">
        <v>40744</v>
      </c>
      <c r="F366">
        <v>2</v>
      </c>
      <c r="G366">
        <v>686</v>
      </c>
    </row>
    <row r="367" spans="1:7" hidden="1">
      <c r="A367" t="s">
        <v>1438</v>
      </c>
      <c r="B367" t="s">
        <v>1458</v>
      </c>
      <c r="C367" t="s">
        <v>1441</v>
      </c>
      <c r="D367" t="s">
        <v>1453</v>
      </c>
      <c r="E367">
        <v>40406</v>
      </c>
      <c r="F367">
        <v>2</v>
      </c>
      <c r="G367">
        <v>986</v>
      </c>
    </row>
    <row r="368" spans="1:7" hidden="1">
      <c r="A368" t="s">
        <v>1440</v>
      </c>
      <c r="B368" t="s">
        <v>1458</v>
      </c>
      <c r="C368" t="s">
        <v>1445</v>
      </c>
      <c r="D368" t="s">
        <v>1452</v>
      </c>
      <c r="E368">
        <v>40470</v>
      </c>
      <c r="F368">
        <v>2</v>
      </c>
      <c r="G368">
        <v>840</v>
      </c>
    </row>
    <row r="369" spans="1:7" hidden="1">
      <c r="A369" t="s">
        <v>1442</v>
      </c>
      <c r="B369" t="s">
        <v>1458</v>
      </c>
      <c r="C369" t="s">
        <v>1445</v>
      </c>
      <c r="D369" t="s">
        <v>1452</v>
      </c>
      <c r="E369">
        <v>40483</v>
      </c>
      <c r="F369">
        <v>2</v>
      </c>
      <c r="G369">
        <v>674</v>
      </c>
    </row>
    <row r="370" spans="1:7" hidden="1">
      <c r="A370" t="s">
        <v>1443</v>
      </c>
      <c r="B370" t="s">
        <v>1458</v>
      </c>
      <c r="C370" t="s">
        <v>1441</v>
      </c>
      <c r="D370" t="s">
        <v>1452</v>
      </c>
      <c r="E370">
        <v>40772</v>
      </c>
      <c r="F370">
        <v>2</v>
      </c>
      <c r="G370">
        <v>938</v>
      </c>
    </row>
    <row r="371" spans="1:7">
      <c r="A371" t="s">
        <v>1438</v>
      </c>
      <c r="B371" t="s">
        <v>1458</v>
      </c>
      <c r="C371" t="s">
        <v>1441</v>
      </c>
      <c r="D371" t="s">
        <v>1450</v>
      </c>
      <c r="E371">
        <v>40675</v>
      </c>
      <c r="F371">
        <v>2</v>
      </c>
      <c r="G371">
        <v>1398</v>
      </c>
    </row>
    <row r="372" spans="1:7" hidden="1">
      <c r="A372" t="s">
        <v>1447</v>
      </c>
      <c r="B372" t="s">
        <v>1458</v>
      </c>
      <c r="C372" t="s">
        <v>1445</v>
      </c>
      <c r="D372" t="s">
        <v>1455</v>
      </c>
      <c r="E372">
        <v>40898</v>
      </c>
      <c r="F372">
        <v>3</v>
      </c>
      <c r="G372">
        <v>1149</v>
      </c>
    </row>
    <row r="373" spans="1:7" hidden="1">
      <c r="A373" t="s">
        <v>1451</v>
      </c>
      <c r="B373" t="s">
        <v>1458</v>
      </c>
      <c r="C373" t="s">
        <v>1441</v>
      </c>
      <c r="D373" t="s">
        <v>1455</v>
      </c>
      <c r="E373">
        <v>40183</v>
      </c>
      <c r="F373">
        <v>3</v>
      </c>
      <c r="G373">
        <v>1281</v>
      </c>
    </row>
    <row r="374" spans="1:7" hidden="1">
      <c r="A374" t="s">
        <v>1449</v>
      </c>
      <c r="B374" t="s">
        <v>1458</v>
      </c>
      <c r="C374" t="s">
        <v>1441</v>
      </c>
      <c r="D374" t="s">
        <v>1455</v>
      </c>
      <c r="E374">
        <v>40508</v>
      </c>
      <c r="F374">
        <v>3</v>
      </c>
      <c r="G374">
        <v>1827</v>
      </c>
    </row>
    <row r="375" spans="1:7" hidden="1">
      <c r="A375" t="s">
        <v>1454</v>
      </c>
      <c r="B375" t="s">
        <v>1458</v>
      </c>
      <c r="C375" t="s">
        <v>1441</v>
      </c>
      <c r="D375" t="s">
        <v>1453</v>
      </c>
      <c r="E375">
        <v>40789</v>
      </c>
      <c r="F375">
        <v>3</v>
      </c>
      <c r="G375">
        <v>1524</v>
      </c>
    </row>
    <row r="376" spans="1:7" hidden="1">
      <c r="A376" t="s">
        <v>1443</v>
      </c>
      <c r="B376" t="s">
        <v>1458</v>
      </c>
      <c r="C376" t="s">
        <v>1439</v>
      </c>
      <c r="D376" t="s">
        <v>1453</v>
      </c>
      <c r="E376">
        <v>40667</v>
      </c>
      <c r="F376">
        <v>3</v>
      </c>
      <c r="G376">
        <v>1956</v>
      </c>
    </row>
    <row r="377" spans="1:7" hidden="1">
      <c r="A377" t="s">
        <v>1438</v>
      </c>
      <c r="B377" t="s">
        <v>1458</v>
      </c>
      <c r="C377" t="s">
        <v>1439</v>
      </c>
      <c r="D377" t="s">
        <v>1453</v>
      </c>
      <c r="E377">
        <v>40718</v>
      </c>
      <c r="F377">
        <v>3</v>
      </c>
      <c r="G377">
        <v>1977</v>
      </c>
    </row>
    <row r="378" spans="1:7" hidden="1">
      <c r="A378" t="s">
        <v>1454</v>
      </c>
      <c r="B378" t="s">
        <v>1458</v>
      </c>
      <c r="C378" t="s">
        <v>1445</v>
      </c>
      <c r="D378" t="s">
        <v>1452</v>
      </c>
      <c r="E378">
        <v>40276</v>
      </c>
      <c r="F378">
        <v>3</v>
      </c>
      <c r="G378">
        <v>990</v>
      </c>
    </row>
    <row r="379" spans="1:7" hidden="1">
      <c r="A379" t="s">
        <v>1456</v>
      </c>
      <c r="B379" t="s">
        <v>1458</v>
      </c>
      <c r="C379" t="s">
        <v>1436</v>
      </c>
      <c r="D379" t="s">
        <v>1452</v>
      </c>
      <c r="E379">
        <v>40864</v>
      </c>
      <c r="F379">
        <v>3</v>
      </c>
      <c r="G379">
        <v>1920</v>
      </c>
    </row>
    <row r="380" spans="1:7">
      <c r="A380" t="s">
        <v>1444</v>
      </c>
      <c r="B380" t="s">
        <v>1458</v>
      </c>
      <c r="C380" t="s">
        <v>1445</v>
      </c>
      <c r="D380" t="s">
        <v>1450</v>
      </c>
      <c r="E380">
        <v>40501</v>
      </c>
      <c r="F380">
        <v>3</v>
      </c>
      <c r="G380">
        <v>1521</v>
      </c>
    </row>
    <row r="381" spans="1:7">
      <c r="A381" t="s">
        <v>1443</v>
      </c>
      <c r="B381" t="s">
        <v>1458</v>
      </c>
      <c r="C381" t="s">
        <v>1441</v>
      </c>
      <c r="D381" t="s">
        <v>1450</v>
      </c>
      <c r="E381">
        <v>40414</v>
      </c>
      <c r="F381">
        <v>3</v>
      </c>
      <c r="G381">
        <v>1044</v>
      </c>
    </row>
    <row r="382" spans="1:7">
      <c r="A382" t="s">
        <v>1446</v>
      </c>
      <c r="B382" t="s">
        <v>1458</v>
      </c>
      <c r="C382" t="s">
        <v>1441</v>
      </c>
      <c r="D382" t="s">
        <v>1450</v>
      </c>
      <c r="E382">
        <v>40728</v>
      </c>
      <c r="F382">
        <v>3</v>
      </c>
      <c r="G382">
        <v>1473</v>
      </c>
    </row>
    <row r="383" spans="1:7">
      <c r="A383" t="s">
        <v>1456</v>
      </c>
      <c r="B383" t="s">
        <v>1458</v>
      </c>
      <c r="C383" t="s">
        <v>1439</v>
      </c>
      <c r="D383" t="s">
        <v>1450</v>
      </c>
      <c r="E383">
        <v>40539</v>
      </c>
      <c r="F383">
        <v>3</v>
      </c>
      <c r="G383">
        <v>1857</v>
      </c>
    </row>
    <row r="384" spans="1:7">
      <c r="A384" t="s">
        <v>1454</v>
      </c>
      <c r="B384" t="s">
        <v>1458</v>
      </c>
      <c r="C384" t="s">
        <v>1439</v>
      </c>
      <c r="D384" t="s">
        <v>1450</v>
      </c>
      <c r="E384">
        <v>40865</v>
      </c>
      <c r="F384">
        <v>3</v>
      </c>
      <c r="G384">
        <v>1728</v>
      </c>
    </row>
    <row r="385" spans="1:7" hidden="1">
      <c r="A385" t="s">
        <v>1451</v>
      </c>
      <c r="B385" t="s">
        <v>1458</v>
      </c>
      <c r="C385" t="s">
        <v>1445</v>
      </c>
      <c r="D385" t="s">
        <v>1455</v>
      </c>
      <c r="E385">
        <v>40238</v>
      </c>
      <c r="F385">
        <v>4</v>
      </c>
      <c r="G385">
        <v>2632</v>
      </c>
    </row>
    <row r="386" spans="1:7" hidden="1">
      <c r="A386" t="s">
        <v>1442</v>
      </c>
      <c r="B386" t="s">
        <v>1458</v>
      </c>
      <c r="C386" t="s">
        <v>1439</v>
      </c>
      <c r="D386" t="s">
        <v>1455</v>
      </c>
      <c r="E386">
        <v>40319</v>
      </c>
      <c r="F386">
        <v>4</v>
      </c>
      <c r="G386">
        <v>1852</v>
      </c>
    </row>
    <row r="387" spans="1:7" hidden="1">
      <c r="A387" t="s">
        <v>1449</v>
      </c>
      <c r="B387" t="s">
        <v>1458</v>
      </c>
      <c r="C387" t="s">
        <v>1436</v>
      </c>
      <c r="D387" t="s">
        <v>1455</v>
      </c>
      <c r="E387">
        <v>40499</v>
      </c>
      <c r="F387">
        <v>4</v>
      </c>
      <c r="G387">
        <v>1884</v>
      </c>
    </row>
    <row r="388" spans="1:7" hidden="1">
      <c r="A388" t="s">
        <v>1440</v>
      </c>
      <c r="B388" t="s">
        <v>1458</v>
      </c>
      <c r="C388" t="s">
        <v>1436</v>
      </c>
      <c r="D388" t="s">
        <v>1455</v>
      </c>
      <c r="E388">
        <v>40572</v>
      </c>
      <c r="F388">
        <v>4</v>
      </c>
      <c r="G388">
        <v>1240</v>
      </c>
    </row>
    <row r="389" spans="1:7" hidden="1">
      <c r="A389" t="s">
        <v>1442</v>
      </c>
      <c r="B389" t="s">
        <v>1458</v>
      </c>
      <c r="C389" t="s">
        <v>1436</v>
      </c>
      <c r="D389" t="s">
        <v>1455</v>
      </c>
      <c r="E389">
        <v>40890</v>
      </c>
      <c r="F389">
        <v>4</v>
      </c>
      <c r="G389">
        <v>2436</v>
      </c>
    </row>
    <row r="390" spans="1:7" hidden="1">
      <c r="A390" t="s">
        <v>1440</v>
      </c>
      <c r="B390" t="s">
        <v>1458</v>
      </c>
      <c r="C390" t="s">
        <v>1445</v>
      </c>
      <c r="D390" t="s">
        <v>1453</v>
      </c>
      <c r="E390">
        <v>40694</v>
      </c>
      <c r="F390">
        <v>4</v>
      </c>
      <c r="G390">
        <v>2144</v>
      </c>
    </row>
    <row r="391" spans="1:7" hidden="1">
      <c r="A391" t="s">
        <v>1448</v>
      </c>
      <c r="B391" t="s">
        <v>1458</v>
      </c>
      <c r="C391" t="s">
        <v>1445</v>
      </c>
      <c r="D391" t="s">
        <v>1453</v>
      </c>
      <c r="E391">
        <v>40737</v>
      </c>
      <c r="F391">
        <v>4</v>
      </c>
      <c r="G391">
        <v>1360</v>
      </c>
    </row>
    <row r="392" spans="1:7" hidden="1">
      <c r="A392" t="s">
        <v>1449</v>
      </c>
      <c r="B392" t="s">
        <v>1458</v>
      </c>
      <c r="C392" t="s">
        <v>1441</v>
      </c>
      <c r="D392" t="s">
        <v>1452</v>
      </c>
      <c r="E392">
        <v>40456</v>
      </c>
      <c r="F392">
        <v>4</v>
      </c>
      <c r="G392">
        <v>2108</v>
      </c>
    </row>
    <row r="393" spans="1:7" hidden="1">
      <c r="A393" t="s">
        <v>1440</v>
      </c>
      <c r="B393" t="s">
        <v>1458</v>
      </c>
      <c r="C393" t="s">
        <v>1441</v>
      </c>
      <c r="D393" t="s">
        <v>1452</v>
      </c>
      <c r="E393">
        <v>40548</v>
      </c>
      <c r="F393">
        <v>4</v>
      </c>
      <c r="G393">
        <v>2348</v>
      </c>
    </row>
    <row r="394" spans="1:7" hidden="1">
      <c r="A394" t="s">
        <v>1438</v>
      </c>
      <c r="B394" t="s">
        <v>1458</v>
      </c>
      <c r="C394" t="s">
        <v>1441</v>
      </c>
      <c r="D394" t="s">
        <v>1452</v>
      </c>
      <c r="E394">
        <v>40732</v>
      </c>
      <c r="F394">
        <v>4</v>
      </c>
      <c r="G394">
        <v>2292</v>
      </c>
    </row>
    <row r="395" spans="1:7" hidden="1">
      <c r="A395" t="s">
        <v>1444</v>
      </c>
      <c r="B395" t="s">
        <v>1458</v>
      </c>
      <c r="C395" t="s">
        <v>1439</v>
      </c>
      <c r="D395" t="s">
        <v>1452</v>
      </c>
      <c r="E395">
        <v>40541</v>
      </c>
      <c r="F395">
        <v>4</v>
      </c>
      <c r="G395">
        <v>2564</v>
      </c>
    </row>
    <row r="396" spans="1:7">
      <c r="A396" t="s">
        <v>1451</v>
      </c>
      <c r="B396" t="s">
        <v>1458</v>
      </c>
      <c r="C396" t="s">
        <v>1436</v>
      </c>
      <c r="D396" t="s">
        <v>1450</v>
      </c>
      <c r="E396">
        <v>40430</v>
      </c>
      <c r="F396">
        <v>4</v>
      </c>
      <c r="G396">
        <v>1244</v>
      </c>
    </row>
    <row r="397" spans="1:7">
      <c r="A397" t="s">
        <v>1451</v>
      </c>
      <c r="B397" t="s">
        <v>1458</v>
      </c>
      <c r="C397" t="s">
        <v>1436</v>
      </c>
      <c r="D397" t="s">
        <v>1450</v>
      </c>
      <c r="E397">
        <v>40446</v>
      </c>
      <c r="F397">
        <v>4</v>
      </c>
      <c r="G397">
        <v>1352</v>
      </c>
    </row>
    <row r="398" spans="1:7" hidden="1">
      <c r="A398" t="s">
        <v>1448</v>
      </c>
      <c r="B398" t="s">
        <v>1458</v>
      </c>
      <c r="C398" t="s">
        <v>1445</v>
      </c>
      <c r="D398" t="s">
        <v>1455</v>
      </c>
      <c r="E398">
        <v>40351</v>
      </c>
      <c r="F398">
        <v>5</v>
      </c>
      <c r="G398">
        <v>2505</v>
      </c>
    </row>
    <row r="399" spans="1:7" hidden="1">
      <c r="A399" t="s">
        <v>1440</v>
      </c>
      <c r="B399" t="s">
        <v>1458</v>
      </c>
      <c r="C399" t="s">
        <v>1441</v>
      </c>
      <c r="D399" t="s">
        <v>1452</v>
      </c>
      <c r="E399">
        <v>40498</v>
      </c>
      <c r="F399">
        <v>5</v>
      </c>
      <c r="G399">
        <v>2285</v>
      </c>
    </row>
    <row r="400" spans="1:7">
      <c r="A400" t="s">
        <v>1448</v>
      </c>
      <c r="B400" t="s">
        <v>1458</v>
      </c>
      <c r="C400" t="s">
        <v>1445</v>
      </c>
      <c r="D400" t="s">
        <v>1450</v>
      </c>
      <c r="E400">
        <v>40757</v>
      </c>
      <c r="F400">
        <v>5</v>
      </c>
      <c r="G400">
        <v>1590</v>
      </c>
    </row>
    <row r="401" spans="1:7">
      <c r="A401" t="s">
        <v>1440</v>
      </c>
      <c r="B401" t="s">
        <v>1458</v>
      </c>
      <c r="C401" t="s">
        <v>1445</v>
      </c>
      <c r="D401" t="s">
        <v>1450</v>
      </c>
      <c r="E401">
        <v>40767</v>
      </c>
      <c r="F401">
        <v>5</v>
      </c>
      <c r="G401">
        <v>2705</v>
      </c>
    </row>
    <row r="402" spans="1:7">
      <c r="A402" t="s">
        <v>1456</v>
      </c>
      <c r="B402" t="s">
        <v>1458</v>
      </c>
      <c r="C402" t="s">
        <v>1441</v>
      </c>
      <c r="D402" t="s">
        <v>1450</v>
      </c>
      <c r="E402">
        <v>40890</v>
      </c>
      <c r="F402">
        <v>5</v>
      </c>
      <c r="G402">
        <v>3300</v>
      </c>
    </row>
    <row r="403" spans="1:7">
      <c r="A403" t="s">
        <v>1448</v>
      </c>
      <c r="B403" t="s">
        <v>1458</v>
      </c>
      <c r="C403" t="s">
        <v>1439</v>
      </c>
      <c r="D403" t="s">
        <v>1450</v>
      </c>
      <c r="E403">
        <v>40520</v>
      </c>
      <c r="F403">
        <v>5</v>
      </c>
      <c r="G403">
        <v>2935</v>
      </c>
    </row>
    <row r="404" spans="1:7" hidden="1">
      <c r="A404" t="s">
        <v>1447</v>
      </c>
      <c r="B404" t="s">
        <v>1458</v>
      </c>
      <c r="C404" t="s">
        <v>1441</v>
      </c>
      <c r="D404" t="s">
        <v>1455</v>
      </c>
      <c r="E404">
        <v>40344</v>
      </c>
      <c r="F404">
        <v>6</v>
      </c>
      <c r="G404">
        <v>3168</v>
      </c>
    </row>
    <row r="405" spans="1:7" hidden="1">
      <c r="A405" t="s">
        <v>1449</v>
      </c>
      <c r="B405" t="s">
        <v>1458</v>
      </c>
      <c r="C405" t="s">
        <v>1441</v>
      </c>
      <c r="D405" t="s">
        <v>1455</v>
      </c>
      <c r="E405">
        <v>40808</v>
      </c>
      <c r="F405">
        <v>6</v>
      </c>
      <c r="G405">
        <v>3180</v>
      </c>
    </row>
    <row r="406" spans="1:7" hidden="1">
      <c r="A406" t="s">
        <v>1447</v>
      </c>
      <c r="B406" t="s">
        <v>1458</v>
      </c>
      <c r="C406" t="s">
        <v>1441</v>
      </c>
      <c r="D406" t="s">
        <v>1435</v>
      </c>
      <c r="E406">
        <v>40323</v>
      </c>
      <c r="F406">
        <v>6</v>
      </c>
      <c r="G406">
        <v>3876</v>
      </c>
    </row>
    <row r="407" spans="1:7" hidden="1">
      <c r="A407" t="s">
        <v>1451</v>
      </c>
      <c r="B407" t="s">
        <v>1458</v>
      </c>
      <c r="C407" t="s">
        <v>1441</v>
      </c>
      <c r="D407" t="s">
        <v>1435</v>
      </c>
      <c r="E407">
        <v>40887</v>
      </c>
      <c r="F407">
        <v>6</v>
      </c>
      <c r="G407">
        <v>2046</v>
      </c>
    </row>
    <row r="408" spans="1:7" hidden="1">
      <c r="A408" t="s">
        <v>1451</v>
      </c>
      <c r="B408" t="s">
        <v>1458</v>
      </c>
      <c r="C408" t="s">
        <v>1439</v>
      </c>
      <c r="D408" t="s">
        <v>1435</v>
      </c>
      <c r="E408">
        <v>40551</v>
      </c>
      <c r="F408">
        <v>6</v>
      </c>
      <c r="G408">
        <v>3792</v>
      </c>
    </row>
    <row r="409" spans="1:7" hidden="1">
      <c r="A409" t="s">
        <v>1449</v>
      </c>
      <c r="B409" t="s">
        <v>1458</v>
      </c>
      <c r="C409" t="s">
        <v>1436</v>
      </c>
      <c r="D409" t="s">
        <v>1435</v>
      </c>
      <c r="E409">
        <v>40697</v>
      </c>
      <c r="F409">
        <v>6</v>
      </c>
      <c r="G409">
        <v>3150</v>
      </c>
    </row>
    <row r="410" spans="1:7" hidden="1">
      <c r="A410" t="s">
        <v>1446</v>
      </c>
      <c r="B410" t="s">
        <v>1458</v>
      </c>
      <c r="C410" t="s">
        <v>1436</v>
      </c>
      <c r="D410" t="s">
        <v>1435</v>
      </c>
      <c r="E410">
        <v>40821</v>
      </c>
      <c r="F410">
        <v>6</v>
      </c>
      <c r="G410">
        <v>1842</v>
      </c>
    </row>
    <row r="411" spans="1:7" hidden="1">
      <c r="A411" t="s">
        <v>1448</v>
      </c>
      <c r="B411" t="s">
        <v>1458</v>
      </c>
      <c r="C411" t="s">
        <v>1445</v>
      </c>
      <c r="D411" t="s">
        <v>1453</v>
      </c>
      <c r="E411">
        <v>40792</v>
      </c>
      <c r="F411">
        <v>6</v>
      </c>
      <c r="G411">
        <v>1896</v>
      </c>
    </row>
    <row r="412" spans="1:7" hidden="1">
      <c r="A412" t="s">
        <v>1454</v>
      </c>
      <c r="B412" t="s">
        <v>1458</v>
      </c>
      <c r="C412" t="s">
        <v>1441</v>
      </c>
      <c r="D412" t="s">
        <v>1453</v>
      </c>
      <c r="E412">
        <v>40550</v>
      </c>
      <c r="F412">
        <v>6</v>
      </c>
      <c r="G412">
        <v>3642</v>
      </c>
    </row>
    <row r="413" spans="1:7" hidden="1">
      <c r="A413" t="s">
        <v>1456</v>
      </c>
      <c r="B413" t="s">
        <v>1458</v>
      </c>
      <c r="C413" t="s">
        <v>1441</v>
      </c>
      <c r="D413" t="s">
        <v>1453</v>
      </c>
      <c r="E413">
        <v>40681</v>
      </c>
      <c r="F413">
        <v>6</v>
      </c>
      <c r="G413">
        <v>1860</v>
      </c>
    </row>
    <row r="414" spans="1:7" hidden="1">
      <c r="A414" t="s">
        <v>1449</v>
      </c>
      <c r="B414" t="s">
        <v>1458</v>
      </c>
      <c r="C414" t="s">
        <v>1436</v>
      </c>
      <c r="D414" t="s">
        <v>1453</v>
      </c>
      <c r="E414">
        <v>40858</v>
      </c>
      <c r="F414">
        <v>6</v>
      </c>
      <c r="G414">
        <v>2772</v>
      </c>
    </row>
    <row r="415" spans="1:7" hidden="1">
      <c r="A415" t="s">
        <v>1451</v>
      </c>
      <c r="B415" t="s">
        <v>1458</v>
      </c>
      <c r="C415" t="s">
        <v>1436</v>
      </c>
      <c r="D415" t="s">
        <v>1453</v>
      </c>
      <c r="E415">
        <v>40889</v>
      </c>
      <c r="F415">
        <v>6</v>
      </c>
      <c r="G415">
        <v>2052</v>
      </c>
    </row>
    <row r="416" spans="1:7" hidden="1">
      <c r="A416" t="s">
        <v>1451</v>
      </c>
      <c r="B416" t="s">
        <v>1458</v>
      </c>
      <c r="C416" t="s">
        <v>1439</v>
      </c>
      <c r="D416" t="s">
        <v>1452</v>
      </c>
      <c r="E416">
        <v>40452</v>
      </c>
      <c r="F416">
        <v>6</v>
      </c>
      <c r="G416">
        <v>1890</v>
      </c>
    </row>
    <row r="417" spans="1:7">
      <c r="A417" t="s">
        <v>1449</v>
      </c>
      <c r="B417" t="s">
        <v>1458</v>
      </c>
      <c r="C417" t="s">
        <v>1445</v>
      </c>
      <c r="D417" t="s">
        <v>1450</v>
      </c>
      <c r="E417">
        <v>40576</v>
      </c>
      <c r="F417">
        <v>6</v>
      </c>
      <c r="G417">
        <v>2814</v>
      </c>
    </row>
    <row r="418" spans="1:7">
      <c r="A418" t="s">
        <v>1447</v>
      </c>
      <c r="B418" t="s">
        <v>1458</v>
      </c>
      <c r="C418" t="s">
        <v>1441</v>
      </c>
      <c r="D418" t="s">
        <v>1450</v>
      </c>
      <c r="E418">
        <v>40806</v>
      </c>
      <c r="F418">
        <v>6</v>
      </c>
      <c r="G418">
        <v>1956</v>
      </c>
    </row>
    <row r="419" spans="1:7" hidden="1">
      <c r="A419" t="s">
        <v>1444</v>
      </c>
      <c r="B419" t="s">
        <v>1458</v>
      </c>
      <c r="C419" t="s">
        <v>1441</v>
      </c>
      <c r="D419" t="s">
        <v>1455</v>
      </c>
      <c r="E419">
        <v>40353</v>
      </c>
      <c r="F419">
        <v>7</v>
      </c>
      <c r="G419">
        <v>3241</v>
      </c>
    </row>
    <row r="420" spans="1:7" hidden="1">
      <c r="A420" t="s">
        <v>1447</v>
      </c>
      <c r="B420" t="s">
        <v>1458</v>
      </c>
      <c r="C420" t="s">
        <v>1441</v>
      </c>
      <c r="D420" t="s">
        <v>1455</v>
      </c>
      <c r="E420">
        <v>40666</v>
      </c>
      <c r="F420">
        <v>7</v>
      </c>
      <c r="G420">
        <v>2457</v>
      </c>
    </row>
    <row r="421" spans="1:7" hidden="1">
      <c r="A421" t="s">
        <v>1448</v>
      </c>
      <c r="B421" t="s">
        <v>1458</v>
      </c>
      <c r="C421" t="s">
        <v>1436</v>
      </c>
      <c r="D421" t="s">
        <v>1455</v>
      </c>
      <c r="E421">
        <v>40469</v>
      </c>
      <c r="F421">
        <v>7</v>
      </c>
      <c r="G421">
        <v>3248</v>
      </c>
    </row>
    <row r="422" spans="1:7" hidden="1">
      <c r="A422" t="s">
        <v>1448</v>
      </c>
      <c r="B422" t="s">
        <v>1458</v>
      </c>
      <c r="C422" t="s">
        <v>1436</v>
      </c>
      <c r="D422" t="s">
        <v>1435</v>
      </c>
      <c r="E422">
        <v>40380</v>
      </c>
      <c r="F422">
        <v>7</v>
      </c>
      <c r="G422">
        <v>2856</v>
      </c>
    </row>
    <row r="423" spans="1:7" hidden="1">
      <c r="A423" t="s">
        <v>1454</v>
      </c>
      <c r="B423" t="s">
        <v>1458</v>
      </c>
      <c r="C423" t="s">
        <v>1441</v>
      </c>
      <c r="D423" t="s">
        <v>1453</v>
      </c>
      <c r="E423">
        <v>40361</v>
      </c>
      <c r="F423">
        <v>7</v>
      </c>
      <c r="G423">
        <v>2716</v>
      </c>
    </row>
    <row r="424" spans="1:7" hidden="1">
      <c r="A424" t="s">
        <v>1449</v>
      </c>
      <c r="B424" t="s">
        <v>1458</v>
      </c>
      <c r="C424" t="s">
        <v>1436</v>
      </c>
      <c r="D424" t="s">
        <v>1453</v>
      </c>
      <c r="E424">
        <v>40850</v>
      </c>
      <c r="F424">
        <v>7</v>
      </c>
      <c r="G424">
        <v>2737</v>
      </c>
    </row>
    <row r="425" spans="1:7" hidden="1">
      <c r="A425" t="s">
        <v>1449</v>
      </c>
      <c r="B425" t="s">
        <v>1458</v>
      </c>
      <c r="C425" t="s">
        <v>1436</v>
      </c>
      <c r="D425" t="s">
        <v>1453</v>
      </c>
      <c r="E425">
        <v>40890</v>
      </c>
      <c r="F425">
        <v>7</v>
      </c>
      <c r="G425">
        <v>3346</v>
      </c>
    </row>
    <row r="426" spans="1:7">
      <c r="A426" t="s">
        <v>1447</v>
      </c>
      <c r="B426" t="s">
        <v>1458</v>
      </c>
      <c r="C426" t="s">
        <v>1436</v>
      </c>
      <c r="D426" t="s">
        <v>1450</v>
      </c>
      <c r="E426">
        <v>40582</v>
      </c>
      <c r="F426">
        <v>7</v>
      </c>
      <c r="G426">
        <v>2632</v>
      </c>
    </row>
    <row r="427" spans="1:7" hidden="1">
      <c r="A427" t="s">
        <v>1456</v>
      </c>
      <c r="B427" t="s">
        <v>1458</v>
      </c>
      <c r="C427" t="s">
        <v>1445</v>
      </c>
      <c r="D427" t="s">
        <v>1435</v>
      </c>
      <c r="E427">
        <v>40642</v>
      </c>
      <c r="F427">
        <v>8</v>
      </c>
      <c r="G427">
        <v>4928</v>
      </c>
    </row>
    <row r="428" spans="1:7" hidden="1">
      <c r="A428" t="s">
        <v>1449</v>
      </c>
      <c r="B428" t="s">
        <v>1458</v>
      </c>
      <c r="C428" t="s">
        <v>1441</v>
      </c>
      <c r="D428" t="s">
        <v>1435</v>
      </c>
      <c r="E428">
        <v>40726</v>
      </c>
      <c r="F428">
        <v>8</v>
      </c>
      <c r="G428">
        <v>4600</v>
      </c>
    </row>
    <row r="429" spans="1:7" hidden="1">
      <c r="A429" t="s">
        <v>1449</v>
      </c>
      <c r="B429" t="s">
        <v>1458</v>
      </c>
      <c r="C429" t="s">
        <v>1439</v>
      </c>
      <c r="D429" t="s">
        <v>1435</v>
      </c>
      <c r="E429">
        <v>40218</v>
      </c>
      <c r="F429">
        <v>8</v>
      </c>
      <c r="G429">
        <v>5280</v>
      </c>
    </row>
    <row r="430" spans="1:7" hidden="1">
      <c r="A430" t="s">
        <v>1443</v>
      </c>
      <c r="B430" t="s">
        <v>1458</v>
      </c>
      <c r="C430" t="s">
        <v>1439</v>
      </c>
      <c r="D430" t="s">
        <v>1435</v>
      </c>
      <c r="E430">
        <v>40606</v>
      </c>
      <c r="F430">
        <v>8</v>
      </c>
      <c r="G430">
        <v>4424</v>
      </c>
    </row>
    <row r="431" spans="1:7" hidden="1">
      <c r="A431" t="s">
        <v>1438</v>
      </c>
      <c r="B431" t="s">
        <v>1458</v>
      </c>
      <c r="C431" t="s">
        <v>1439</v>
      </c>
      <c r="D431" t="s">
        <v>1435</v>
      </c>
      <c r="E431">
        <v>40765</v>
      </c>
      <c r="F431">
        <v>8</v>
      </c>
      <c r="G431">
        <v>5600</v>
      </c>
    </row>
    <row r="432" spans="1:7" hidden="1">
      <c r="A432" t="s">
        <v>1449</v>
      </c>
      <c r="B432" t="s">
        <v>1458</v>
      </c>
      <c r="C432" t="s">
        <v>1439</v>
      </c>
      <c r="D432" t="s">
        <v>1435</v>
      </c>
      <c r="E432">
        <v>40823</v>
      </c>
      <c r="F432">
        <v>8</v>
      </c>
      <c r="G432">
        <v>4264</v>
      </c>
    </row>
    <row r="433" spans="1:7" hidden="1">
      <c r="A433" t="s">
        <v>1448</v>
      </c>
      <c r="B433" t="s">
        <v>1458</v>
      </c>
      <c r="C433" t="s">
        <v>1436</v>
      </c>
      <c r="D433" t="s">
        <v>1453</v>
      </c>
      <c r="E433">
        <v>40226</v>
      </c>
      <c r="F433">
        <v>8</v>
      </c>
      <c r="G433">
        <v>3904</v>
      </c>
    </row>
    <row r="434" spans="1:7" hidden="1">
      <c r="A434" t="s">
        <v>1451</v>
      </c>
      <c r="B434" t="s">
        <v>1458</v>
      </c>
      <c r="C434" t="s">
        <v>1436</v>
      </c>
      <c r="D434" t="s">
        <v>1453</v>
      </c>
      <c r="E434">
        <v>40386</v>
      </c>
      <c r="F434">
        <v>8</v>
      </c>
      <c r="G434">
        <v>5552</v>
      </c>
    </row>
    <row r="435" spans="1:7" hidden="1">
      <c r="A435" t="s">
        <v>1451</v>
      </c>
      <c r="B435" t="s">
        <v>1458</v>
      </c>
      <c r="C435" t="s">
        <v>1439</v>
      </c>
      <c r="D435" t="s">
        <v>1452</v>
      </c>
      <c r="E435">
        <v>40904</v>
      </c>
      <c r="F435">
        <v>8</v>
      </c>
      <c r="G435">
        <v>2640</v>
      </c>
    </row>
    <row r="436" spans="1:7">
      <c r="A436" t="s">
        <v>1451</v>
      </c>
      <c r="B436" t="s">
        <v>1458</v>
      </c>
      <c r="C436" t="s">
        <v>1445</v>
      </c>
      <c r="D436" t="s">
        <v>1450</v>
      </c>
      <c r="E436">
        <v>40862</v>
      </c>
      <c r="F436">
        <v>8</v>
      </c>
      <c r="G436">
        <v>2872</v>
      </c>
    </row>
    <row r="437" spans="1:7">
      <c r="A437" t="s">
        <v>1446</v>
      </c>
      <c r="B437" t="s">
        <v>1458</v>
      </c>
      <c r="C437" t="s">
        <v>1441</v>
      </c>
      <c r="D437" t="s">
        <v>1450</v>
      </c>
      <c r="E437">
        <v>40407</v>
      </c>
      <c r="F437">
        <v>8</v>
      </c>
      <c r="G437">
        <v>2832</v>
      </c>
    </row>
    <row r="438" spans="1:7">
      <c r="A438" t="s">
        <v>1442</v>
      </c>
      <c r="B438" t="s">
        <v>1458</v>
      </c>
      <c r="C438" t="s">
        <v>1439</v>
      </c>
      <c r="D438" t="s">
        <v>1450</v>
      </c>
      <c r="E438">
        <v>40598</v>
      </c>
      <c r="F438">
        <v>8</v>
      </c>
      <c r="G438">
        <v>3976</v>
      </c>
    </row>
    <row r="439" spans="1:7" hidden="1">
      <c r="A439" t="s">
        <v>1446</v>
      </c>
      <c r="B439" t="s">
        <v>1458</v>
      </c>
      <c r="C439" t="s">
        <v>1445</v>
      </c>
      <c r="D439" t="s">
        <v>1455</v>
      </c>
      <c r="E439">
        <v>40512</v>
      </c>
      <c r="F439">
        <v>9</v>
      </c>
      <c r="G439">
        <v>5031</v>
      </c>
    </row>
    <row r="440" spans="1:7" hidden="1">
      <c r="A440" t="s">
        <v>1442</v>
      </c>
      <c r="B440" t="s">
        <v>1458</v>
      </c>
      <c r="C440" t="s">
        <v>1441</v>
      </c>
      <c r="D440" t="s">
        <v>1455</v>
      </c>
      <c r="E440">
        <v>40533</v>
      </c>
      <c r="F440">
        <v>9</v>
      </c>
      <c r="G440">
        <v>5085</v>
      </c>
    </row>
    <row r="441" spans="1:7" hidden="1">
      <c r="A441" t="s">
        <v>1451</v>
      </c>
      <c r="B441" t="s">
        <v>1458</v>
      </c>
      <c r="C441" t="s">
        <v>1439</v>
      </c>
      <c r="D441" t="s">
        <v>1455</v>
      </c>
      <c r="E441">
        <v>40570</v>
      </c>
      <c r="F441">
        <v>9</v>
      </c>
      <c r="G441">
        <v>2997</v>
      </c>
    </row>
    <row r="442" spans="1:7" hidden="1">
      <c r="A442" t="s">
        <v>1444</v>
      </c>
      <c r="B442" t="s">
        <v>1458</v>
      </c>
      <c r="C442" t="s">
        <v>1436</v>
      </c>
      <c r="D442" t="s">
        <v>1455</v>
      </c>
      <c r="E442">
        <v>40344</v>
      </c>
      <c r="F442">
        <v>9</v>
      </c>
      <c r="G442">
        <v>4725</v>
      </c>
    </row>
    <row r="443" spans="1:7" hidden="1">
      <c r="A443" t="s">
        <v>1448</v>
      </c>
      <c r="B443" t="s">
        <v>1458</v>
      </c>
      <c r="C443" t="s">
        <v>1445</v>
      </c>
      <c r="D443" t="s">
        <v>1435</v>
      </c>
      <c r="E443">
        <v>40424</v>
      </c>
      <c r="F443">
        <v>9</v>
      </c>
      <c r="G443">
        <v>5724</v>
      </c>
    </row>
    <row r="444" spans="1:7" hidden="1">
      <c r="A444" t="s">
        <v>1447</v>
      </c>
      <c r="B444" t="s">
        <v>1458</v>
      </c>
      <c r="C444" t="s">
        <v>1441</v>
      </c>
      <c r="D444" t="s">
        <v>1435</v>
      </c>
      <c r="E444">
        <v>40320</v>
      </c>
      <c r="F444">
        <v>9</v>
      </c>
      <c r="G444">
        <v>3969</v>
      </c>
    </row>
    <row r="445" spans="1:7" hidden="1">
      <c r="A445" t="s">
        <v>1442</v>
      </c>
      <c r="B445" t="s">
        <v>1458</v>
      </c>
      <c r="C445" t="s">
        <v>1436</v>
      </c>
      <c r="D445" t="s">
        <v>1435</v>
      </c>
      <c r="E445">
        <v>40539</v>
      </c>
      <c r="F445">
        <v>9</v>
      </c>
      <c r="G445">
        <v>5238</v>
      </c>
    </row>
    <row r="446" spans="1:7" hidden="1">
      <c r="A446" t="s">
        <v>1449</v>
      </c>
      <c r="B446" t="s">
        <v>1458</v>
      </c>
      <c r="C446" t="s">
        <v>1436</v>
      </c>
      <c r="D446" t="s">
        <v>1435</v>
      </c>
      <c r="E446">
        <v>40852</v>
      </c>
      <c r="F446">
        <v>9</v>
      </c>
      <c r="G446">
        <v>3681</v>
      </c>
    </row>
    <row r="447" spans="1:7" hidden="1">
      <c r="A447" t="s">
        <v>1444</v>
      </c>
      <c r="B447" t="s">
        <v>1458</v>
      </c>
      <c r="C447" t="s">
        <v>1441</v>
      </c>
      <c r="D447" t="s">
        <v>1452</v>
      </c>
      <c r="E447">
        <v>40323</v>
      </c>
      <c r="F447">
        <v>9</v>
      </c>
      <c r="G447">
        <v>3780</v>
      </c>
    </row>
    <row r="448" spans="1:7" hidden="1">
      <c r="A448" t="s">
        <v>1440</v>
      </c>
      <c r="B448" t="s">
        <v>1458</v>
      </c>
      <c r="C448" t="s">
        <v>1436</v>
      </c>
      <c r="D448" t="s">
        <v>1452</v>
      </c>
      <c r="E448">
        <v>40626</v>
      </c>
      <c r="F448">
        <v>9</v>
      </c>
      <c r="G448">
        <v>5220</v>
      </c>
    </row>
    <row r="449" spans="1:7">
      <c r="A449" t="s">
        <v>1456</v>
      </c>
      <c r="B449" t="s">
        <v>1458</v>
      </c>
      <c r="C449" t="s">
        <v>1445</v>
      </c>
      <c r="D449" t="s">
        <v>1450</v>
      </c>
      <c r="E449">
        <v>40637</v>
      </c>
      <c r="F449">
        <v>9</v>
      </c>
      <c r="G449">
        <v>5445</v>
      </c>
    </row>
    <row r="450" spans="1:7">
      <c r="A450" t="s">
        <v>1456</v>
      </c>
      <c r="B450" t="s">
        <v>1458</v>
      </c>
      <c r="C450" t="s">
        <v>1436</v>
      </c>
      <c r="D450" t="s">
        <v>1450</v>
      </c>
      <c r="E450">
        <v>40852</v>
      </c>
      <c r="F450">
        <v>9</v>
      </c>
      <c r="G450">
        <v>3555</v>
      </c>
    </row>
    <row r="451" spans="1:7" hidden="1">
      <c r="A451" t="s">
        <v>1448</v>
      </c>
      <c r="B451" t="s">
        <v>1458</v>
      </c>
      <c r="C451" t="s">
        <v>1439</v>
      </c>
      <c r="D451" t="s">
        <v>1455</v>
      </c>
      <c r="E451">
        <v>40824</v>
      </c>
      <c r="F451">
        <v>10</v>
      </c>
      <c r="G451">
        <v>6760</v>
      </c>
    </row>
    <row r="452" spans="1:7" hidden="1">
      <c r="A452" t="s">
        <v>1444</v>
      </c>
      <c r="B452" t="s">
        <v>1458</v>
      </c>
      <c r="C452" t="s">
        <v>1445</v>
      </c>
      <c r="D452" t="s">
        <v>1453</v>
      </c>
      <c r="E452">
        <v>40278</v>
      </c>
      <c r="F452">
        <v>10</v>
      </c>
      <c r="G452">
        <v>3130</v>
      </c>
    </row>
    <row r="453" spans="1:7" hidden="1">
      <c r="A453" t="s">
        <v>1454</v>
      </c>
      <c r="B453" t="s">
        <v>1458</v>
      </c>
      <c r="C453" t="s">
        <v>1436</v>
      </c>
      <c r="D453" t="s">
        <v>1453</v>
      </c>
      <c r="E453">
        <v>40812</v>
      </c>
      <c r="F453">
        <v>10</v>
      </c>
      <c r="G453">
        <v>6270</v>
      </c>
    </row>
    <row r="454" spans="1:7" hidden="1">
      <c r="A454" t="s">
        <v>1454</v>
      </c>
      <c r="B454" t="s">
        <v>1458</v>
      </c>
      <c r="C454" t="s">
        <v>1441</v>
      </c>
      <c r="D454" t="s">
        <v>1452</v>
      </c>
      <c r="E454">
        <v>40189</v>
      </c>
      <c r="F454">
        <v>10</v>
      </c>
      <c r="G454">
        <v>5720</v>
      </c>
    </row>
    <row r="455" spans="1:7" hidden="1">
      <c r="A455" t="s">
        <v>1438</v>
      </c>
      <c r="B455" t="s">
        <v>1458</v>
      </c>
      <c r="C455" t="s">
        <v>1439</v>
      </c>
      <c r="D455" t="s">
        <v>1452</v>
      </c>
      <c r="E455">
        <v>40192</v>
      </c>
      <c r="F455">
        <v>10</v>
      </c>
      <c r="G455">
        <v>4900</v>
      </c>
    </row>
    <row r="456" spans="1:7">
      <c r="A456" t="s">
        <v>1447</v>
      </c>
      <c r="B456" t="s">
        <v>1458</v>
      </c>
      <c r="C456" t="s">
        <v>1441</v>
      </c>
      <c r="D456" t="s">
        <v>1450</v>
      </c>
      <c r="E456">
        <v>40813</v>
      </c>
      <c r="F456">
        <v>10</v>
      </c>
      <c r="G456">
        <v>5870</v>
      </c>
    </row>
    <row r="457" spans="1:7" hidden="1">
      <c r="A457" t="s">
        <v>1454</v>
      </c>
      <c r="B457" t="s">
        <v>1458</v>
      </c>
      <c r="C457" t="s">
        <v>1436</v>
      </c>
      <c r="D457" t="s">
        <v>1455</v>
      </c>
      <c r="E457">
        <v>40242</v>
      </c>
      <c r="F457">
        <v>11</v>
      </c>
      <c r="G457">
        <v>3795</v>
      </c>
    </row>
    <row r="458" spans="1:7" hidden="1">
      <c r="A458" t="s">
        <v>1447</v>
      </c>
      <c r="B458" t="s">
        <v>1458</v>
      </c>
      <c r="C458" t="s">
        <v>1445</v>
      </c>
      <c r="D458" t="s">
        <v>1435</v>
      </c>
      <c r="E458">
        <v>40491</v>
      </c>
      <c r="F458">
        <v>11</v>
      </c>
      <c r="G458">
        <v>5005</v>
      </c>
    </row>
    <row r="459" spans="1:7" hidden="1">
      <c r="A459" t="s">
        <v>1454</v>
      </c>
      <c r="B459" t="s">
        <v>1458</v>
      </c>
      <c r="C459" t="s">
        <v>1441</v>
      </c>
      <c r="D459" t="s">
        <v>1435</v>
      </c>
      <c r="E459">
        <v>40190</v>
      </c>
      <c r="F459">
        <v>11</v>
      </c>
      <c r="G459">
        <v>4818</v>
      </c>
    </row>
    <row r="460" spans="1:7" hidden="1">
      <c r="A460" t="s">
        <v>1442</v>
      </c>
      <c r="B460" t="s">
        <v>1458</v>
      </c>
      <c r="C460" t="s">
        <v>1441</v>
      </c>
      <c r="D460" t="s">
        <v>1435</v>
      </c>
      <c r="E460">
        <v>40483</v>
      </c>
      <c r="F460">
        <v>11</v>
      </c>
      <c r="G460">
        <v>5698</v>
      </c>
    </row>
    <row r="461" spans="1:7" hidden="1">
      <c r="A461" t="s">
        <v>1449</v>
      </c>
      <c r="B461" t="s">
        <v>1458</v>
      </c>
      <c r="C461" t="s">
        <v>1439</v>
      </c>
      <c r="D461" t="s">
        <v>1453</v>
      </c>
      <c r="E461">
        <v>40529</v>
      </c>
      <c r="F461">
        <v>11</v>
      </c>
      <c r="G461">
        <v>4631</v>
      </c>
    </row>
    <row r="462" spans="1:7" hidden="1">
      <c r="A462" t="s">
        <v>1448</v>
      </c>
      <c r="B462" t="s">
        <v>1458</v>
      </c>
      <c r="C462" t="s">
        <v>1439</v>
      </c>
      <c r="D462" t="s">
        <v>1453</v>
      </c>
      <c r="E462">
        <v>40567</v>
      </c>
      <c r="F462">
        <v>11</v>
      </c>
      <c r="G462">
        <v>4664</v>
      </c>
    </row>
    <row r="463" spans="1:7" hidden="1">
      <c r="A463" t="s">
        <v>1444</v>
      </c>
      <c r="B463" t="s">
        <v>1458</v>
      </c>
      <c r="C463" t="s">
        <v>1445</v>
      </c>
      <c r="D463" t="s">
        <v>1452</v>
      </c>
      <c r="E463">
        <v>40222</v>
      </c>
      <c r="F463">
        <v>11</v>
      </c>
      <c r="G463">
        <v>6490</v>
      </c>
    </row>
    <row r="464" spans="1:7" hidden="1">
      <c r="A464" t="s">
        <v>1448</v>
      </c>
      <c r="B464" t="s">
        <v>1458</v>
      </c>
      <c r="C464" t="s">
        <v>1439</v>
      </c>
      <c r="D464" t="s">
        <v>1452</v>
      </c>
      <c r="E464">
        <v>40315</v>
      </c>
      <c r="F464">
        <v>11</v>
      </c>
      <c r="G464">
        <v>4565</v>
      </c>
    </row>
    <row r="465" spans="1:7" hidden="1">
      <c r="A465" t="s">
        <v>1448</v>
      </c>
      <c r="B465" t="s">
        <v>1458</v>
      </c>
      <c r="C465" t="s">
        <v>1436</v>
      </c>
      <c r="D465" t="s">
        <v>1452</v>
      </c>
      <c r="E465">
        <v>40487</v>
      </c>
      <c r="F465">
        <v>11</v>
      </c>
      <c r="G465">
        <v>5599</v>
      </c>
    </row>
    <row r="466" spans="1:7">
      <c r="A466" t="s">
        <v>1448</v>
      </c>
      <c r="B466" t="s">
        <v>1458</v>
      </c>
      <c r="C466" t="s">
        <v>1439</v>
      </c>
      <c r="D466" t="s">
        <v>1450</v>
      </c>
      <c r="E466">
        <v>40551</v>
      </c>
      <c r="F466">
        <v>11</v>
      </c>
      <c r="G466">
        <v>6908</v>
      </c>
    </row>
    <row r="467" spans="1:7" hidden="1">
      <c r="A467" t="s">
        <v>1454</v>
      </c>
      <c r="B467" t="s">
        <v>1458</v>
      </c>
      <c r="C467" t="s">
        <v>1441</v>
      </c>
      <c r="D467" t="s">
        <v>1455</v>
      </c>
      <c r="E467">
        <v>40886</v>
      </c>
      <c r="F467">
        <v>12</v>
      </c>
      <c r="G467">
        <v>8304</v>
      </c>
    </row>
    <row r="468" spans="1:7" hidden="1">
      <c r="A468" t="s">
        <v>1440</v>
      </c>
      <c r="B468" t="s">
        <v>1458</v>
      </c>
      <c r="C468" t="s">
        <v>1436</v>
      </c>
      <c r="D468" t="s">
        <v>1455</v>
      </c>
      <c r="E468">
        <v>40686</v>
      </c>
      <c r="F468">
        <v>12</v>
      </c>
      <c r="G468">
        <v>4932</v>
      </c>
    </row>
    <row r="469" spans="1:7" hidden="1">
      <c r="A469" t="s">
        <v>1438</v>
      </c>
      <c r="B469" t="s">
        <v>1458</v>
      </c>
      <c r="C469" t="s">
        <v>1445</v>
      </c>
      <c r="D469" t="s">
        <v>1435</v>
      </c>
      <c r="E469">
        <v>40386</v>
      </c>
      <c r="F469">
        <v>12</v>
      </c>
      <c r="G469">
        <v>4104</v>
      </c>
    </row>
    <row r="470" spans="1:7" hidden="1">
      <c r="A470" t="s">
        <v>1442</v>
      </c>
      <c r="B470" t="s">
        <v>1458</v>
      </c>
      <c r="C470" t="s">
        <v>1441</v>
      </c>
      <c r="D470" t="s">
        <v>1453</v>
      </c>
      <c r="E470">
        <v>40534</v>
      </c>
      <c r="F470">
        <v>12</v>
      </c>
      <c r="G470">
        <v>6288</v>
      </c>
    </row>
    <row r="471" spans="1:7" hidden="1">
      <c r="A471" t="s">
        <v>1438</v>
      </c>
      <c r="B471" t="s">
        <v>1458</v>
      </c>
      <c r="C471" t="s">
        <v>1439</v>
      </c>
      <c r="D471" t="s">
        <v>1453</v>
      </c>
      <c r="E471">
        <v>40653</v>
      </c>
      <c r="F471">
        <v>12</v>
      </c>
      <c r="G471">
        <v>6048</v>
      </c>
    </row>
    <row r="472" spans="1:7" hidden="1">
      <c r="A472" t="s">
        <v>1448</v>
      </c>
      <c r="B472" t="s">
        <v>1458</v>
      </c>
      <c r="C472" t="s">
        <v>1436</v>
      </c>
      <c r="D472" t="s">
        <v>1453</v>
      </c>
      <c r="E472">
        <v>40477</v>
      </c>
      <c r="F472">
        <v>12</v>
      </c>
      <c r="G472">
        <v>4764</v>
      </c>
    </row>
    <row r="473" spans="1:7" hidden="1">
      <c r="A473" t="s">
        <v>1444</v>
      </c>
      <c r="B473" t="s">
        <v>1458</v>
      </c>
      <c r="C473" t="s">
        <v>1436</v>
      </c>
      <c r="D473" t="s">
        <v>1452</v>
      </c>
      <c r="E473">
        <v>40254</v>
      </c>
      <c r="F473">
        <v>12</v>
      </c>
      <c r="G473">
        <v>4104</v>
      </c>
    </row>
    <row r="474" spans="1:7">
      <c r="A474" t="s">
        <v>1438</v>
      </c>
      <c r="B474" t="s">
        <v>1458</v>
      </c>
      <c r="C474" t="s">
        <v>1445</v>
      </c>
      <c r="D474" t="s">
        <v>1450</v>
      </c>
      <c r="E474">
        <v>40296</v>
      </c>
      <c r="F474">
        <v>12</v>
      </c>
      <c r="G474">
        <v>3768</v>
      </c>
    </row>
    <row r="475" spans="1:7">
      <c r="A475" t="s">
        <v>1438</v>
      </c>
      <c r="B475" t="s">
        <v>1458</v>
      </c>
      <c r="C475" t="s">
        <v>1445</v>
      </c>
      <c r="D475" t="s">
        <v>1450</v>
      </c>
      <c r="E475">
        <v>40421</v>
      </c>
      <c r="F475">
        <v>12</v>
      </c>
      <c r="G475">
        <v>3624</v>
      </c>
    </row>
    <row r="476" spans="1:7">
      <c r="A476" t="s">
        <v>1447</v>
      </c>
      <c r="B476" t="s">
        <v>1458</v>
      </c>
      <c r="C476" t="s">
        <v>1445</v>
      </c>
      <c r="D476" t="s">
        <v>1450</v>
      </c>
      <c r="E476">
        <v>40780</v>
      </c>
      <c r="F476">
        <v>12</v>
      </c>
      <c r="G476">
        <v>6456</v>
      </c>
    </row>
    <row r="477" spans="1:7">
      <c r="A477" t="s">
        <v>1448</v>
      </c>
      <c r="B477" t="s">
        <v>1458</v>
      </c>
      <c r="C477" t="s">
        <v>1445</v>
      </c>
      <c r="D477" t="s">
        <v>1450</v>
      </c>
      <c r="E477">
        <v>40822</v>
      </c>
      <c r="F477">
        <v>12</v>
      </c>
      <c r="G477">
        <v>5592</v>
      </c>
    </row>
    <row r="478" spans="1:7">
      <c r="A478" t="s">
        <v>1447</v>
      </c>
      <c r="B478" t="s">
        <v>1458</v>
      </c>
      <c r="C478" t="s">
        <v>1439</v>
      </c>
      <c r="D478" t="s">
        <v>1450</v>
      </c>
      <c r="E478">
        <v>40281</v>
      </c>
      <c r="F478">
        <v>12</v>
      </c>
      <c r="G478">
        <v>3672</v>
      </c>
    </row>
    <row r="479" spans="1:7">
      <c r="A479" t="s">
        <v>1448</v>
      </c>
      <c r="B479" t="s">
        <v>1458</v>
      </c>
      <c r="C479" t="s">
        <v>1436</v>
      </c>
      <c r="D479" t="s">
        <v>1450</v>
      </c>
      <c r="E479">
        <v>40289</v>
      </c>
      <c r="F479">
        <v>12</v>
      </c>
      <c r="G479">
        <v>3912</v>
      </c>
    </row>
    <row r="480" spans="1:7" hidden="1">
      <c r="A480" t="s">
        <v>1438</v>
      </c>
      <c r="B480" t="s">
        <v>1458</v>
      </c>
      <c r="C480" t="s">
        <v>1439</v>
      </c>
      <c r="D480" t="s">
        <v>1455</v>
      </c>
      <c r="E480">
        <v>40718</v>
      </c>
      <c r="F480">
        <v>13</v>
      </c>
      <c r="G480">
        <v>6084</v>
      </c>
    </row>
    <row r="481" spans="1:7" hidden="1">
      <c r="A481" t="s">
        <v>1449</v>
      </c>
      <c r="B481" t="s">
        <v>1458</v>
      </c>
      <c r="C481" t="s">
        <v>1445</v>
      </c>
      <c r="D481" t="s">
        <v>1435</v>
      </c>
      <c r="E481">
        <v>40574</v>
      </c>
      <c r="F481">
        <v>13</v>
      </c>
      <c r="G481">
        <v>5785</v>
      </c>
    </row>
    <row r="482" spans="1:7" hidden="1">
      <c r="A482" t="s">
        <v>1448</v>
      </c>
      <c r="B482" t="s">
        <v>1458</v>
      </c>
      <c r="C482" t="s">
        <v>1441</v>
      </c>
      <c r="D482" t="s">
        <v>1435</v>
      </c>
      <c r="E482">
        <v>40733</v>
      </c>
      <c r="F482">
        <v>13</v>
      </c>
      <c r="G482">
        <v>4459</v>
      </c>
    </row>
    <row r="483" spans="1:7" hidden="1">
      <c r="A483" t="s">
        <v>1449</v>
      </c>
      <c r="B483" t="s">
        <v>1458</v>
      </c>
      <c r="C483" t="s">
        <v>1439</v>
      </c>
      <c r="D483" t="s">
        <v>1435</v>
      </c>
      <c r="E483">
        <v>40218</v>
      </c>
      <c r="F483">
        <v>13</v>
      </c>
      <c r="G483">
        <v>4589</v>
      </c>
    </row>
    <row r="484" spans="1:7" hidden="1">
      <c r="A484" t="s">
        <v>1454</v>
      </c>
      <c r="B484" t="s">
        <v>1458</v>
      </c>
      <c r="C484" t="s">
        <v>1439</v>
      </c>
      <c r="D484" t="s">
        <v>1435</v>
      </c>
      <c r="E484">
        <v>40554</v>
      </c>
      <c r="F484">
        <v>13</v>
      </c>
      <c r="G484">
        <v>6253</v>
      </c>
    </row>
    <row r="485" spans="1:7" hidden="1">
      <c r="A485" t="s">
        <v>1438</v>
      </c>
      <c r="B485" t="s">
        <v>1458</v>
      </c>
      <c r="C485" t="s">
        <v>1445</v>
      </c>
      <c r="D485" t="s">
        <v>1453</v>
      </c>
      <c r="E485">
        <v>40574</v>
      </c>
      <c r="F485">
        <v>13</v>
      </c>
      <c r="G485">
        <v>7059</v>
      </c>
    </row>
    <row r="486" spans="1:7" hidden="1">
      <c r="A486" t="s">
        <v>1440</v>
      </c>
      <c r="B486" t="s">
        <v>1458</v>
      </c>
      <c r="C486" t="s">
        <v>1439</v>
      </c>
      <c r="D486" t="s">
        <v>1453</v>
      </c>
      <c r="E486">
        <v>40274</v>
      </c>
      <c r="F486">
        <v>13</v>
      </c>
      <c r="G486">
        <v>9048</v>
      </c>
    </row>
    <row r="487" spans="1:7" hidden="1">
      <c r="A487" t="s">
        <v>1448</v>
      </c>
      <c r="B487" t="s">
        <v>1458</v>
      </c>
      <c r="C487" t="s">
        <v>1439</v>
      </c>
      <c r="D487" t="s">
        <v>1453</v>
      </c>
      <c r="E487">
        <v>40780</v>
      </c>
      <c r="F487">
        <v>13</v>
      </c>
      <c r="G487">
        <v>6552</v>
      </c>
    </row>
    <row r="488" spans="1:7" hidden="1">
      <c r="A488" t="s">
        <v>1442</v>
      </c>
      <c r="B488" t="s">
        <v>1458</v>
      </c>
      <c r="C488" t="s">
        <v>1436</v>
      </c>
      <c r="D488" t="s">
        <v>1453</v>
      </c>
      <c r="E488">
        <v>40689</v>
      </c>
      <c r="F488">
        <v>13</v>
      </c>
      <c r="G488">
        <v>3926</v>
      </c>
    </row>
    <row r="489" spans="1:7" hidden="1">
      <c r="A489" t="s">
        <v>1444</v>
      </c>
      <c r="B489" t="s">
        <v>1458</v>
      </c>
      <c r="C489" t="s">
        <v>1439</v>
      </c>
      <c r="D489" t="s">
        <v>1452</v>
      </c>
      <c r="E489">
        <v>40399</v>
      </c>
      <c r="F489">
        <v>13</v>
      </c>
      <c r="G489">
        <v>8476</v>
      </c>
    </row>
    <row r="490" spans="1:7" hidden="1">
      <c r="A490" t="s">
        <v>1442</v>
      </c>
      <c r="B490" t="s">
        <v>1458</v>
      </c>
      <c r="C490" t="s">
        <v>1439</v>
      </c>
      <c r="D490" t="s">
        <v>1452</v>
      </c>
      <c r="E490">
        <v>40855</v>
      </c>
      <c r="F490">
        <v>13</v>
      </c>
      <c r="G490">
        <v>4095</v>
      </c>
    </row>
    <row r="491" spans="1:7" hidden="1">
      <c r="A491" t="s">
        <v>1442</v>
      </c>
      <c r="B491" t="s">
        <v>1458</v>
      </c>
      <c r="C491" t="s">
        <v>1436</v>
      </c>
      <c r="D491" t="s">
        <v>1452</v>
      </c>
      <c r="E491">
        <v>40686</v>
      </c>
      <c r="F491">
        <v>13</v>
      </c>
      <c r="G491">
        <v>5447</v>
      </c>
    </row>
    <row r="492" spans="1:7" hidden="1">
      <c r="A492" t="s">
        <v>1442</v>
      </c>
      <c r="B492" t="s">
        <v>1458</v>
      </c>
      <c r="C492" t="s">
        <v>1436</v>
      </c>
      <c r="D492" t="s">
        <v>1452</v>
      </c>
      <c r="E492">
        <v>40845</v>
      </c>
      <c r="F492">
        <v>13</v>
      </c>
      <c r="G492">
        <v>7540</v>
      </c>
    </row>
    <row r="493" spans="1:7">
      <c r="A493" t="s">
        <v>1449</v>
      </c>
      <c r="B493" t="s">
        <v>1458</v>
      </c>
      <c r="C493" t="s">
        <v>1436</v>
      </c>
      <c r="D493" t="s">
        <v>1450</v>
      </c>
      <c r="E493">
        <v>40680</v>
      </c>
      <c r="F493">
        <v>13</v>
      </c>
      <c r="G493">
        <v>8996</v>
      </c>
    </row>
    <row r="494" spans="1:7" hidden="1">
      <c r="A494" t="s">
        <v>1454</v>
      </c>
      <c r="B494" t="s">
        <v>1458</v>
      </c>
      <c r="C494" t="s">
        <v>1445</v>
      </c>
      <c r="D494" t="s">
        <v>1455</v>
      </c>
      <c r="E494">
        <v>40270</v>
      </c>
      <c r="F494">
        <v>14</v>
      </c>
      <c r="G494">
        <v>6300</v>
      </c>
    </row>
    <row r="495" spans="1:7" hidden="1">
      <c r="A495" t="s">
        <v>1456</v>
      </c>
      <c r="B495" t="s">
        <v>1458</v>
      </c>
      <c r="C495" t="s">
        <v>1436</v>
      </c>
      <c r="D495" t="s">
        <v>1455</v>
      </c>
      <c r="E495">
        <v>40582</v>
      </c>
      <c r="F495">
        <v>14</v>
      </c>
      <c r="G495">
        <v>6608</v>
      </c>
    </row>
    <row r="496" spans="1:7" hidden="1">
      <c r="A496" t="s">
        <v>1442</v>
      </c>
      <c r="B496" t="s">
        <v>1458</v>
      </c>
      <c r="C496" t="s">
        <v>1436</v>
      </c>
      <c r="D496" t="s">
        <v>1455</v>
      </c>
      <c r="E496">
        <v>40686</v>
      </c>
      <c r="F496">
        <v>14</v>
      </c>
      <c r="G496">
        <v>7490</v>
      </c>
    </row>
    <row r="497" spans="1:7" hidden="1">
      <c r="A497" t="s">
        <v>1440</v>
      </c>
      <c r="B497" t="s">
        <v>1458</v>
      </c>
      <c r="C497" t="s">
        <v>1445</v>
      </c>
      <c r="D497" t="s">
        <v>1435</v>
      </c>
      <c r="E497">
        <v>40588</v>
      </c>
      <c r="F497">
        <v>14</v>
      </c>
      <c r="G497">
        <v>6230</v>
      </c>
    </row>
    <row r="498" spans="1:7" hidden="1">
      <c r="A498" t="s">
        <v>1440</v>
      </c>
      <c r="B498" t="s">
        <v>1458</v>
      </c>
      <c r="C498" t="s">
        <v>1439</v>
      </c>
      <c r="D498" t="s">
        <v>1435</v>
      </c>
      <c r="E498">
        <v>40329</v>
      </c>
      <c r="F498">
        <v>14</v>
      </c>
      <c r="G498">
        <v>8092</v>
      </c>
    </row>
    <row r="499" spans="1:7" hidden="1">
      <c r="A499" t="s">
        <v>1442</v>
      </c>
      <c r="B499" t="s">
        <v>1458</v>
      </c>
      <c r="C499" t="s">
        <v>1439</v>
      </c>
      <c r="D499" t="s">
        <v>1435</v>
      </c>
      <c r="E499">
        <v>40694</v>
      </c>
      <c r="F499">
        <v>14</v>
      </c>
      <c r="G499">
        <v>4340</v>
      </c>
    </row>
    <row r="500" spans="1:7" hidden="1">
      <c r="A500" t="s">
        <v>1446</v>
      </c>
      <c r="B500" t="s">
        <v>1458</v>
      </c>
      <c r="C500" t="s">
        <v>1445</v>
      </c>
      <c r="D500" t="s">
        <v>1453</v>
      </c>
      <c r="E500">
        <v>40672</v>
      </c>
      <c r="F500">
        <v>14</v>
      </c>
      <c r="G500">
        <v>9646</v>
      </c>
    </row>
    <row r="501" spans="1:7" hidden="1">
      <c r="A501" t="s">
        <v>1448</v>
      </c>
      <c r="B501" t="s">
        <v>1458</v>
      </c>
      <c r="C501" t="s">
        <v>1441</v>
      </c>
      <c r="D501" t="s">
        <v>1453</v>
      </c>
      <c r="E501">
        <v>40630</v>
      </c>
      <c r="F501">
        <v>14</v>
      </c>
      <c r="G501">
        <v>8148</v>
      </c>
    </row>
    <row r="502" spans="1:7" hidden="1">
      <c r="A502" t="s">
        <v>1446</v>
      </c>
      <c r="B502" t="s">
        <v>1458</v>
      </c>
      <c r="C502" t="s">
        <v>1439</v>
      </c>
      <c r="D502" t="s">
        <v>1453</v>
      </c>
      <c r="E502">
        <v>40509</v>
      </c>
      <c r="F502">
        <v>14</v>
      </c>
      <c r="G502">
        <v>6146</v>
      </c>
    </row>
    <row r="503" spans="1:7">
      <c r="A503" t="s">
        <v>1449</v>
      </c>
      <c r="B503" t="s">
        <v>1458</v>
      </c>
      <c r="C503" t="s">
        <v>1441</v>
      </c>
      <c r="D503" t="s">
        <v>1450</v>
      </c>
      <c r="E503">
        <v>40367</v>
      </c>
      <c r="F503">
        <v>14</v>
      </c>
      <c r="G503">
        <v>5208</v>
      </c>
    </row>
    <row r="504" spans="1:7">
      <c r="A504" t="s">
        <v>1447</v>
      </c>
      <c r="B504" t="s">
        <v>1458</v>
      </c>
      <c r="C504" t="s">
        <v>1436</v>
      </c>
      <c r="D504" t="s">
        <v>1450</v>
      </c>
      <c r="E504">
        <v>40311</v>
      </c>
      <c r="F504">
        <v>14</v>
      </c>
      <c r="G504">
        <v>5656</v>
      </c>
    </row>
    <row r="505" spans="1:7">
      <c r="A505" t="s">
        <v>1454</v>
      </c>
      <c r="B505" t="s">
        <v>1458</v>
      </c>
      <c r="C505" t="s">
        <v>1436</v>
      </c>
      <c r="D505" t="s">
        <v>1450</v>
      </c>
      <c r="E505">
        <v>40821</v>
      </c>
      <c r="F505">
        <v>14</v>
      </c>
      <c r="G505">
        <v>8680</v>
      </c>
    </row>
    <row r="506" spans="1:7" hidden="1">
      <c r="A506" t="s">
        <v>1442</v>
      </c>
      <c r="B506" t="s">
        <v>1458</v>
      </c>
      <c r="C506" t="s">
        <v>1445</v>
      </c>
      <c r="D506" t="s">
        <v>1455</v>
      </c>
      <c r="E506">
        <v>40557</v>
      </c>
      <c r="F506">
        <v>15</v>
      </c>
      <c r="G506">
        <v>5130</v>
      </c>
    </row>
    <row r="507" spans="1:7" hidden="1">
      <c r="A507" t="s">
        <v>1454</v>
      </c>
      <c r="B507" t="s">
        <v>1458</v>
      </c>
      <c r="C507" t="s">
        <v>1439</v>
      </c>
      <c r="D507" t="s">
        <v>1455</v>
      </c>
      <c r="E507">
        <v>40554</v>
      </c>
      <c r="F507">
        <v>15</v>
      </c>
      <c r="G507">
        <v>9570</v>
      </c>
    </row>
    <row r="508" spans="1:7" hidden="1">
      <c r="A508" t="s">
        <v>1440</v>
      </c>
      <c r="B508" t="s">
        <v>1458</v>
      </c>
      <c r="C508" t="s">
        <v>1441</v>
      </c>
      <c r="D508" t="s">
        <v>1435</v>
      </c>
      <c r="E508">
        <v>40495</v>
      </c>
      <c r="F508">
        <v>15</v>
      </c>
      <c r="G508">
        <v>8610</v>
      </c>
    </row>
    <row r="509" spans="1:7" hidden="1">
      <c r="A509" t="s">
        <v>1438</v>
      </c>
      <c r="B509" t="s">
        <v>1458</v>
      </c>
      <c r="C509" t="s">
        <v>1441</v>
      </c>
      <c r="D509" t="s">
        <v>1453</v>
      </c>
      <c r="E509">
        <v>40311</v>
      </c>
      <c r="F509">
        <v>15</v>
      </c>
      <c r="G509">
        <v>5880</v>
      </c>
    </row>
    <row r="510" spans="1:7" hidden="1">
      <c r="A510" t="s">
        <v>1451</v>
      </c>
      <c r="B510" t="s">
        <v>1458</v>
      </c>
      <c r="C510" t="s">
        <v>1441</v>
      </c>
      <c r="D510" t="s">
        <v>1453</v>
      </c>
      <c r="E510">
        <v>40792</v>
      </c>
      <c r="F510">
        <v>15</v>
      </c>
      <c r="G510">
        <v>4890</v>
      </c>
    </row>
    <row r="511" spans="1:7" hidden="1">
      <c r="A511" t="s">
        <v>1449</v>
      </c>
      <c r="B511" t="s">
        <v>1458</v>
      </c>
      <c r="C511" t="s">
        <v>1439</v>
      </c>
      <c r="D511" t="s">
        <v>1453</v>
      </c>
      <c r="E511">
        <v>40477</v>
      </c>
      <c r="F511">
        <v>15</v>
      </c>
      <c r="G511">
        <v>7380</v>
      </c>
    </row>
    <row r="512" spans="1:7" hidden="1">
      <c r="A512" t="s">
        <v>1451</v>
      </c>
      <c r="B512" t="s">
        <v>1458</v>
      </c>
      <c r="C512" t="s">
        <v>1439</v>
      </c>
      <c r="D512" t="s">
        <v>1453</v>
      </c>
      <c r="E512">
        <v>40547</v>
      </c>
      <c r="F512">
        <v>15</v>
      </c>
      <c r="G512">
        <v>8460</v>
      </c>
    </row>
    <row r="513" spans="1:7" hidden="1">
      <c r="A513" t="s">
        <v>1447</v>
      </c>
      <c r="B513" t="s">
        <v>1458</v>
      </c>
      <c r="C513" t="s">
        <v>1445</v>
      </c>
      <c r="D513" t="s">
        <v>1452</v>
      </c>
      <c r="E513">
        <v>40246</v>
      </c>
      <c r="F513">
        <v>15</v>
      </c>
      <c r="G513">
        <v>4815</v>
      </c>
    </row>
    <row r="514" spans="1:7" hidden="1">
      <c r="A514" t="s">
        <v>1438</v>
      </c>
      <c r="B514" t="s">
        <v>1458</v>
      </c>
      <c r="C514" t="s">
        <v>1445</v>
      </c>
      <c r="D514" t="s">
        <v>1452</v>
      </c>
      <c r="E514">
        <v>40541</v>
      </c>
      <c r="F514">
        <v>15</v>
      </c>
      <c r="G514">
        <v>4770</v>
      </c>
    </row>
    <row r="515" spans="1:7" hidden="1">
      <c r="A515" t="s">
        <v>1446</v>
      </c>
      <c r="B515" t="s">
        <v>1458</v>
      </c>
      <c r="C515" t="s">
        <v>1445</v>
      </c>
      <c r="D515" t="s">
        <v>1452</v>
      </c>
      <c r="E515">
        <v>40634</v>
      </c>
      <c r="F515">
        <v>15</v>
      </c>
      <c r="G515">
        <v>6570</v>
      </c>
    </row>
    <row r="516" spans="1:7" hidden="1">
      <c r="A516" t="s">
        <v>1451</v>
      </c>
      <c r="B516" t="s">
        <v>1458</v>
      </c>
      <c r="C516" t="s">
        <v>1441</v>
      </c>
      <c r="D516" t="s">
        <v>1452</v>
      </c>
      <c r="E516">
        <v>40880</v>
      </c>
      <c r="F516">
        <v>15</v>
      </c>
      <c r="G516">
        <v>4665</v>
      </c>
    </row>
    <row r="517" spans="1:7" hidden="1">
      <c r="A517" t="s">
        <v>1440</v>
      </c>
      <c r="B517" t="s">
        <v>1458</v>
      </c>
      <c r="C517" t="s">
        <v>1439</v>
      </c>
      <c r="D517" t="s">
        <v>1452</v>
      </c>
      <c r="E517">
        <v>40519</v>
      </c>
      <c r="F517">
        <v>15</v>
      </c>
      <c r="G517">
        <v>9435</v>
      </c>
    </row>
    <row r="518" spans="1:7">
      <c r="A518" t="s">
        <v>1440</v>
      </c>
      <c r="B518" t="s">
        <v>1458</v>
      </c>
      <c r="C518" t="s">
        <v>1441</v>
      </c>
      <c r="D518" t="s">
        <v>1450</v>
      </c>
      <c r="E518">
        <v>40393</v>
      </c>
      <c r="F518">
        <v>15</v>
      </c>
      <c r="G518">
        <v>7230</v>
      </c>
    </row>
    <row r="519" spans="1:7" hidden="1">
      <c r="A519" t="s">
        <v>1440</v>
      </c>
      <c r="B519" t="s">
        <v>1458</v>
      </c>
      <c r="C519" t="s">
        <v>1445</v>
      </c>
      <c r="D519" t="s">
        <v>1435</v>
      </c>
      <c r="E519">
        <v>40550</v>
      </c>
      <c r="F519">
        <v>16</v>
      </c>
      <c r="G519">
        <v>5296</v>
      </c>
    </row>
    <row r="520" spans="1:7" hidden="1">
      <c r="A520" t="s">
        <v>1451</v>
      </c>
      <c r="B520" t="s">
        <v>1458</v>
      </c>
      <c r="C520" t="s">
        <v>1445</v>
      </c>
      <c r="D520" t="s">
        <v>1435</v>
      </c>
      <c r="E520">
        <v>40689</v>
      </c>
      <c r="F520">
        <v>17</v>
      </c>
      <c r="G520">
        <v>6528</v>
      </c>
    </row>
    <row r="521" spans="1:7" hidden="1">
      <c r="A521" t="s">
        <v>1449</v>
      </c>
      <c r="B521" t="s">
        <v>1458</v>
      </c>
      <c r="C521" t="s">
        <v>1445</v>
      </c>
      <c r="D521" t="s">
        <v>1435</v>
      </c>
      <c r="E521">
        <v>40747</v>
      </c>
      <c r="F521">
        <v>17</v>
      </c>
      <c r="G521">
        <v>8585</v>
      </c>
    </row>
    <row r="522" spans="1:7" hidden="1">
      <c r="A522" t="s">
        <v>1447</v>
      </c>
      <c r="B522" t="s">
        <v>1458</v>
      </c>
      <c r="C522" t="s">
        <v>1436</v>
      </c>
      <c r="D522" t="s">
        <v>1435</v>
      </c>
      <c r="E522">
        <v>40729</v>
      </c>
      <c r="F522">
        <v>17</v>
      </c>
      <c r="G522">
        <v>8228</v>
      </c>
    </row>
    <row r="523" spans="1:7" hidden="1">
      <c r="A523" t="s">
        <v>1456</v>
      </c>
      <c r="B523" t="s">
        <v>1458</v>
      </c>
      <c r="C523" t="s">
        <v>1445</v>
      </c>
      <c r="D523" t="s">
        <v>1435</v>
      </c>
      <c r="E523">
        <v>40455</v>
      </c>
      <c r="F523">
        <v>18</v>
      </c>
      <c r="G523">
        <v>5670</v>
      </c>
    </row>
    <row r="524" spans="1:7" hidden="1">
      <c r="A524" t="s">
        <v>1454</v>
      </c>
      <c r="B524" t="s">
        <v>1458</v>
      </c>
      <c r="C524" t="s">
        <v>1445</v>
      </c>
      <c r="D524" t="s">
        <v>1435</v>
      </c>
      <c r="E524">
        <v>40841</v>
      </c>
      <c r="F524">
        <v>18</v>
      </c>
      <c r="G524">
        <v>5958</v>
      </c>
    </row>
    <row r="525" spans="1:7" hidden="1">
      <c r="A525" t="s">
        <v>1447</v>
      </c>
      <c r="B525" t="s">
        <v>1458</v>
      </c>
      <c r="C525" t="s">
        <v>1436</v>
      </c>
      <c r="D525" t="s">
        <v>1435</v>
      </c>
      <c r="E525">
        <v>40336</v>
      </c>
      <c r="F525">
        <v>18</v>
      </c>
      <c r="G525">
        <v>11484</v>
      </c>
    </row>
    <row r="526" spans="1:7" hidden="1">
      <c r="A526" t="s">
        <v>1438</v>
      </c>
      <c r="B526" t="s">
        <v>1458</v>
      </c>
      <c r="C526" t="s">
        <v>1445</v>
      </c>
      <c r="D526" t="s">
        <v>1435</v>
      </c>
      <c r="E526">
        <v>40533</v>
      </c>
      <c r="F526">
        <v>19</v>
      </c>
      <c r="G526">
        <v>6536</v>
      </c>
    </row>
    <row r="527" spans="1:7" hidden="1">
      <c r="A527" t="s">
        <v>1448</v>
      </c>
      <c r="B527" t="s">
        <v>1458</v>
      </c>
      <c r="C527" t="s">
        <v>1445</v>
      </c>
      <c r="D527" t="s">
        <v>1435</v>
      </c>
      <c r="E527">
        <v>40392</v>
      </c>
      <c r="F527">
        <v>20</v>
      </c>
      <c r="G527">
        <v>8580</v>
      </c>
    </row>
    <row r="528" spans="1:7" hidden="1">
      <c r="A528" t="s">
        <v>1449</v>
      </c>
      <c r="B528" t="s">
        <v>1458</v>
      </c>
      <c r="C528" t="s">
        <v>1445</v>
      </c>
      <c r="D528" t="s">
        <v>1435</v>
      </c>
      <c r="E528">
        <v>40801</v>
      </c>
      <c r="F528">
        <v>20</v>
      </c>
      <c r="G528">
        <v>10620</v>
      </c>
    </row>
    <row r="529" spans="1:7" hidden="1">
      <c r="A529" t="s">
        <v>1449</v>
      </c>
      <c r="B529" t="s">
        <v>1458</v>
      </c>
      <c r="C529" t="s">
        <v>1441</v>
      </c>
      <c r="D529" t="s">
        <v>1435</v>
      </c>
      <c r="E529">
        <v>40548</v>
      </c>
      <c r="F529">
        <v>20</v>
      </c>
      <c r="G529">
        <v>6920</v>
      </c>
    </row>
    <row r="530" spans="1:7" hidden="1">
      <c r="A530" t="s">
        <v>1449</v>
      </c>
      <c r="B530" t="s">
        <v>1458</v>
      </c>
      <c r="C530" t="s">
        <v>1439</v>
      </c>
      <c r="D530" t="s">
        <v>1435</v>
      </c>
      <c r="E530">
        <v>40537</v>
      </c>
      <c r="F530">
        <v>20</v>
      </c>
      <c r="G530">
        <v>7060</v>
      </c>
    </row>
    <row r="531" spans="1:7" hidden="1">
      <c r="A531" t="s">
        <v>1446</v>
      </c>
      <c r="B531" t="s">
        <v>1458</v>
      </c>
      <c r="C531" t="s">
        <v>1439</v>
      </c>
      <c r="D531" t="s">
        <v>1435</v>
      </c>
      <c r="E531">
        <v>40806</v>
      </c>
      <c r="F531">
        <v>20</v>
      </c>
      <c r="G531">
        <v>11260</v>
      </c>
    </row>
    <row r="532" spans="1:7" hidden="1">
      <c r="A532" t="s">
        <v>1443</v>
      </c>
      <c r="B532" t="s">
        <v>1457</v>
      </c>
      <c r="C532" t="s">
        <v>1445</v>
      </c>
      <c r="D532" t="s">
        <v>1455</v>
      </c>
      <c r="E532">
        <v>40621</v>
      </c>
      <c r="F532">
        <v>1</v>
      </c>
      <c r="G532">
        <v>1169</v>
      </c>
    </row>
    <row r="533" spans="1:7" hidden="1">
      <c r="A533" t="s">
        <v>1438</v>
      </c>
      <c r="B533" t="s">
        <v>1457</v>
      </c>
      <c r="C533" t="s">
        <v>1441</v>
      </c>
      <c r="D533" t="s">
        <v>1455</v>
      </c>
      <c r="E533">
        <v>40462</v>
      </c>
      <c r="F533">
        <v>1</v>
      </c>
      <c r="G533">
        <v>1376</v>
      </c>
    </row>
    <row r="534" spans="1:7" hidden="1">
      <c r="A534" t="s">
        <v>1443</v>
      </c>
      <c r="B534" t="s">
        <v>1457</v>
      </c>
      <c r="C534" t="s">
        <v>1436</v>
      </c>
      <c r="D534" t="s">
        <v>1455</v>
      </c>
      <c r="E534">
        <v>40323</v>
      </c>
      <c r="F534">
        <v>1</v>
      </c>
      <c r="G534">
        <v>1466</v>
      </c>
    </row>
    <row r="535" spans="1:7" hidden="1">
      <c r="A535" t="s">
        <v>1438</v>
      </c>
      <c r="B535" t="s">
        <v>1457</v>
      </c>
      <c r="C535" t="s">
        <v>1436</v>
      </c>
      <c r="D535" t="s">
        <v>1455</v>
      </c>
      <c r="E535">
        <v>40849</v>
      </c>
      <c r="F535">
        <v>1</v>
      </c>
      <c r="G535">
        <v>1363</v>
      </c>
    </row>
    <row r="536" spans="1:7" hidden="1">
      <c r="A536" t="s">
        <v>1451</v>
      </c>
      <c r="B536" t="s">
        <v>1457</v>
      </c>
      <c r="C536" t="s">
        <v>1445</v>
      </c>
      <c r="D536" t="s">
        <v>1453</v>
      </c>
      <c r="E536">
        <v>40855</v>
      </c>
      <c r="F536">
        <v>1</v>
      </c>
      <c r="G536">
        <v>718</v>
      </c>
    </row>
    <row r="537" spans="1:7" hidden="1">
      <c r="A537" t="s">
        <v>1446</v>
      </c>
      <c r="B537" t="s">
        <v>1457</v>
      </c>
      <c r="C537" t="s">
        <v>1441</v>
      </c>
      <c r="D537" t="s">
        <v>1453</v>
      </c>
      <c r="E537">
        <v>40574</v>
      </c>
      <c r="F537">
        <v>1</v>
      </c>
      <c r="G537">
        <v>1220</v>
      </c>
    </row>
    <row r="538" spans="1:7" hidden="1">
      <c r="A538" t="s">
        <v>1451</v>
      </c>
      <c r="B538" t="s">
        <v>1457</v>
      </c>
      <c r="C538" t="s">
        <v>1439</v>
      </c>
      <c r="D538" t="s">
        <v>1453</v>
      </c>
      <c r="E538">
        <v>40297</v>
      </c>
      <c r="F538">
        <v>1</v>
      </c>
      <c r="G538">
        <v>1372</v>
      </c>
    </row>
    <row r="539" spans="1:7" hidden="1">
      <c r="A539" t="s">
        <v>1451</v>
      </c>
      <c r="B539" t="s">
        <v>1457</v>
      </c>
      <c r="C539" t="s">
        <v>1439</v>
      </c>
      <c r="D539" t="s">
        <v>1453</v>
      </c>
      <c r="E539">
        <v>40534</v>
      </c>
      <c r="F539">
        <v>1</v>
      </c>
      <c r="G539">
        <v>573</v>
      </c>
    </row>
    <row r="540" spans="1:7" hidden="1">
      <c r="A540" t="s">
        <v>1440</v>
      </c>
      <c r="B540" t="s">
        <v>1457</v>
      </c>
      <c r="C540" t="s">
        <v>1436</v>
      </c>
      <c r="D540" t="s">
        <v>1453</v>
      </c>
      <c r="E540">
        <v>40578</v>
      </c>
      <c r="F540">
        <v>1</v>
      </c>
      <c r="G540">
        <v>771</v>
      </c>
    </row>
    <row r="541" spans="1:7" hidden="1">
      <c r="A541" t="s">
        <v>1442</v>
      </c>
      <c r="B541" t="s">
        <v>1457</v>
      </c>
      <c r="C541" t="s">
        <v>1445</v>
      </c>
      <c r="D541" t="s">
        <v>1452</v>
      </c>
      <c r="E541">
        <v>40464</v>
      </c>
      <c r="F541">
        <v>1</v>
      </c>
      <c r="G541">
        <v>986</v>
      </c>
    </row>
    <row r="542" spans="1:7" hidden="1">
      <c r="A542" t="s">
        <v>1451</v>
      </c>
      <c r="B542" t="s">
        <v>1457</v>
      </c>
      <c r="C542" t="s">
        <v>1441</v>
      </c>
      <c r="D542" t="s">
        <v>1452</v>
      </c>
      <c r="E542">
        <v>40800</v>
      </c>
      <c r="F542">
        <v>1</v>
      </c>
      <c r="G542">
        <v>778</v>
      </c>
    </row>
    <row r="543" spans="1:7" hidden="1">
      <c r="A543" t="s">
        <v>1443</v>
      </c>
      <c r="B543" t="s">
        <v>1457</v>
      </c>
      <c r="C543" t="s">
        <v>1439</v>
      </c>
      <c r="D543" t="s">
        <v>1452</v>
      </c>
      <c r="E543">
        <v>40539</v>
      </c>
      <c r="F543">
        <v>1</v>
      </c>
      <c r="G543">
        <v>885</v>
      </c>
    </row>
    <row r="544" spans="1:7">
      <c r="A544" t="s">
        <v>1451</v>
      </c>
      <c r="B544" t="s">
        <v>1457</v>
      </c>
      <c r="C544" t="s">
        <v>1445</v>
      </c>
      <c r="D544" t="s">
        <v>1450</v>
      </c>
      <c r="E544">
        <v>40547</v>
      </c>
      <c r="F544">
        <v>1</v>
      </c>
      <c r="G544">
        <v>962</v>
      </c>
    </row>
    <row r="545" spans="1:7">
      <c r="A545" t="s">
        <v>1440</v>
      </c>
      <c r="B545" t="s">
        <v>1457</v>
      </c>
      <c r="C545" t="s">
        <v>1439</v>
      </c>
      <c r="D545" t="s">
        <v>1450</v>
      </c>
      <c r="E545">
        <v>40427</v>
      </c>
      <c r="F545">
        <v>1</v>
      </c>
      <c r="G545">
        <v>1348</v>
      </c>
    </row>
    <row r="546" spans="1:7">
      <c r="A546" t="s">
        <v>1447</v>
      </c>
      <c r="B546" t="s">
        <v>1457</v>
      </c>
      <c r="C546" t="s">
        <v>1439</v>
      </c>
      <c r="D546" t="s">
        <v>1450</v>
      </c>
      <c r="E546">
        <v>40764</v>
      </c>
      <c r="F546">
        <v>1</v>
      </c>
      <c r="G546">
        <v>519</v>
      </c>
    </row>
    <row r="547" spans="1:7">
      <c r="A547" t="s">
        <v>1448</v>
      </c>
      <c r="B547" t="s">
        <v>1457</v>
      </c>
      <c r="C547" t="s">
        <v>1436</v>
      </c>
      <c r="D547" t="s">
        <v>1450</v>
      </c>
      <c r="E547">
        <v>40252</v>
      </c>
      <c r="F547">
        <v>1</v>
      </c>
      <c r="G547">
        <v>1065</v>
      </c>
    </row>
    <row r="548" spans="1:7" hidden="1">
      <c r="A548" t="s">
        <v>1440</v>
      </c>
      <c r="B548" t="s">
        <v>1457</v>
      </c>
      <c r="C548" t="s">
        <v>1445</v>
      </c>
      <c r="D548" t="s">
        <v>1455</v>
      </c>
      <c r="E548">
        <v>40372</v>
      </c>
      <c r="F548">
        <v>2</v>
      </c>
      <c r="G548">
        <v>1446</v>
      </c>
    </row>
    <row r="549" spans="1:7" hidden="1">
      <c r="A549" t="s">
        <v>1444</v>
      </c>
      <c r="B549" t="s">
        <v>1457</v>
      </c>
      <c r="C549" t="s">
        <v>1441</v>
      </c>
      <c r="D549" t="s">
        <v>1455</v>
      </c>
      <c r="E549">
        <v>40558</v>
      </c>
      <c r="F549">
        <v>2</v>
      </c>
      <c r="G549">
        <v>2310</v>
      </c>
    </row>
    <row r="550" spans="1:7" hidden="1">
      <c r="A550" t="s">
        <v>1440</v>
      </c>
      <c r="B550" t="s">
        <v>1457</v>
      </c>
      <c r="C550" t="s">
        <v>1441</v>
      </c>
      <c r="D550" t="s">
        <v>1455</v>
      </c>
      <c r="E550">
        <v>40792</v>
      </c>
      <c r="F550">
        <v>2</v>
      </c>
      <c r="G550">
        <v>1948</v>
      </c>
    </row>
    <row r="551" spans="1:7" hidden="1">
      <c r="A551" t="s">
        <v>1442</v>
      </c>
      <c r="B551" t="s">
        <v>1457</v>
      </c>
      <c r="C551" t="s">
        <v>1441</v>
      </c>
      <c r="D551" t="s">
        <v>1453</v>
      </c>
      <c r="E551">
        <v>40683</v>
      </c>
      <c r="F551">
        <v>2</v>
      </c>
      <c r="G551">
        <v>2028</v>
      </c>
    </row>
    <row r="552" spans="1:7" hidden="1">
      <c r="A552" t="s">
        <v>1446</v>
      </c>
      <c r="B552" t="s">
        <v>1457</v>
      </c>
      <c r="C552" t="s">
        <v>1439</v>
      </c>
      <c r="D552" t="s">
        <v>1453</v>
      </c>
      <c r="E552">
        <v>40610</v>
      </c>
      <c r="F552">
        <v>2</v>
      </c>
      <c r="G552">
        <v>2948</v>
      </c>
    </row>
    <row r="553" spans="1:7" hidden="1">
      <c r="A553" t="s">
        <v>1440</v>
      </c>
      <c r="B553" t="s">
        <v>1457</v>
      </c>
      <c r="C553" t="s">
        <v>1436</v>
      </c>
      <c r="D553" t="s">
        <v>1453</v>
      </c>
      <c r="E553">
        <v>40463</v>
      </c>
      <c r="F553">
        <v>2</v>
      </c>
      <c r="G553">
        <v>2636</v>
      </c>
    </row>
    <row r="554" spans="1:7" hidden="1">
      <c r="A554" t="s">
        <v>1448</v>
      </c>
      <c r="B554" t="s">
        <v>1457</v>
      </c>
      <c r="C554" t="s">
        <v>1436</v>
      </c>
      <c r="D554" t="s">
        <v>1453</v>
      </c>
      <c r="E554">
        <v>40634</v>
      </c>
      <c r="F554">
        <v>2</v>
      </c>
      <c r="G554">
        <v>2658</v>
      </c>
    </row>
    <row r="555" spans="1:7" hidden="1">
      <c r="A555" t="s">
        <v>1448</v>
      </c>
      <c r="B555" t="s">
        <v>1457</v>
      </c>
      <c r="C555" t="s">
        <v>1445</v>
      </c>
      <c r="D555" t="s">
        <v>1452</v>
      </c>
      <c r="E555">
        <v>40421</v>
      </c>
      <c r="F555">
        <v>2</v>
      </c>
      <c r="G555">
        <v>1762</v>
      </c>
    </row>
    <row r="556" spans="1:7" hidden="1">
      <c r="A556" t="s">
        <v>1446</v>
      </c>
      <c r="B556" t="s">
        <v>1457</v>
      </c>
      <c r="C556" t="s">
        <v>1441</v>
      </c>
      <c r="D556" t="s">
        <v>1452</v>
      </c>
      <c r="E556">
        <v>40570</v>
      </c>
      <c r="F556">
        <v>2</v>
      </c>
      <c r="G556">
        <v>2058</v>
      </c>
    </row>
    <row r="557" spans="1:7">
      <c r="A557" t="s">
        <v>1443</v>
      </c>
      <c r="B557" t="s">
        <v>1457</v>
      </c>
      <c r="C557" t="s">
        <v>1445</v>
      </c>
      <c r="D557" t="s">
        <v>1450</v>
      </c>
      <c r="E557">
        <v>40745</v>
      </c>
      <c r="F557">
        <v>2</v>
      </c>
      <c r="G557">
        <v>1608</v>
      </c>
    </row>
    <row r="558" spans="1:7">
      <c r="A558" t="s">
        <v>1438</v>
      </c>
      <c r="B558" t="s">
        <v>1457</v>
      </c>
      <c r="C558" t="s">
        <v>1441</v>
      </c>
      <c r="D558" t="s">
        <v>1450</v>
      </c>
      <c r="E558">
        <v>40687</v>
      </c>
      <c r="F558">
        <v>2</v>
      </c>
      <c r="G558">
        <v>1152</v>
      </c>
    </row>
    <row r="559" spans="1:7" hidden="1">
      <c r="A559" t="s">
        <v>1446</v>
      </c>
      <c r="B559" t="s">
        <v>1457</v>
      </c>
      <c r="C559" t="s">
        <v>1441</v>
      </c>
      <c r="D559" t="s">
        <v>1455</v>
      </c>
      <c r="E559">
        <v>40593</v>
      </c>
      <c r="F559">
        <v>3</v>
      </c>
      <c r="G559">
        <v>2637</v>
      </c>
    </row>
    <row r="560" spans="1:7" hidden="1">
      <c r="A560" t="s">
        <v>1443</v>
      </c>
      <c r="B560" t="s">
        <v>1457</v>
      </c>
      <c r="C560" t="s">
        <v>1439</v>
      </c>
      <c r="D560" t="s">
        <v>1455</v>
      </c>
      <c r="E560">
        <v>40515</v>
      </c>
      <c r="F560">
        <v>3</v>
      </c>
      <c r="G560">
        <v>3351</v>
      </c>
    </row>
    <row r="561" spans="1:7" hidden="1">
      <c r="A561" t="s">
        <v>1438</v>
      </c>
      <c r="B561" t="s">
        <v>1457</v>
      </c>
      <c r="C561" t="s">
        <v>1439</v>
      </c>
      <c r="D561" t="s">
        <v>1455</v>
      </c>
      <c r="E561">
        <v>40729</v>
      </c>
      <c r="F561">
        <v>3</v>
      </c>
      <c r="G561">
        <v>2646</v>
      </c>
    </row>
    <row r="562" spans="1:7" hidden="1">
      <c r="A562" t="s">
        <v>1449</v>
      </c>
      <c r="B562" t="s">
        <v>1457</v>
      </c>
      <c r="C562" t="s">
        <v>1445</v>
      </c>
      <c r="D562" t="s">
        <v>1453</v>
      </c>
      <c r="E562">
        <v>40740</v>
      </c>
      <c r="F562">
        <v>3</v>
      </c>
      <c r="G562">
        <v>3444</v>
      </c>
    </row>
    <row r="563" spans="1:7" hidden="1">
      <c r="A563" t="s">
        <v>1448</v>
      </c>
      <c r="B563" t="s">
        <v>1457</v>
      </c>
      <c r="C563" t="s">
        <v>1441</v>
      </c>
      <c r="D563" t="s">
        <v>1453</v>
      </c>
      <c r="E563">
        <v>40444</v>
      </c>
      <c r="F563">
        <v>3</v>
      </c>
      <c r="G563">
        <v>2760</v>
      </c>
    </row>
    <row r="564" spans="1:7" hidden="1">
      <c r="A564" t="s">
        <v>1438</v>
      </c>
      <c r="B564" t="s">
        <v>1457</v>
      </c>
      <c r="C564" t="s">
        <v>1439</v>
      </c>
      <c r="D564" t="s">
        <v>1453</v>
      </c>
      <c r="E564">
        <v>40400</v>
      </c>
      <c r="F564">
        <v>3</v>
      </c>
      <c r="G564">
        <v>2202</v>
      </c>
    </row>
    <row r="565" spans="1:7" hidden="1">
      <c r="A565" t="s">
        <v>1442</v>
      </c>
      <c r="B565" t="s">
        <v>1457</v>
      </c>
      <c r="C565" t="s">
        <v>1439</v>
      </c>
      <c r="D565" t="s">
        <v>1453</v>
      </c>
      <c r="E565">
        <v>40533</v>
      </c>
      <c r="F565">
        <v>3</v>
      </c>
      <c r="G565">
        <v>4452</v>
      </c>
    </row>
    <row r="566" spans="1:7" hidden="1">
      <c r="A566" t="s">
        <v>1446</v>
      </c>
      <c r="B566" t="s">
        <v>1457</v>
      </c>
      <c r="C566" t="s">
        <v>1445</v>
      </c>
      <c r="D566" t="s">
        <v>1452</v>
      </c>
      <c r="E566">
        <v>40577</v>
      </c>
      <c r="F566">
        <v>3</v>
      </c>
      <c r="G566">
        <v>1581</v>
      </c>
    </row>
    <row r="567" spans="1:7" hidden="1">
      <c r="A567" t="s">
        <v>1449</v>
      </c>
      <c r="B567" t="s">
        <v>1457</v>
      </c>
      <c r="C567" t="s">
        <v>1441</v>
      </c>
      <c r="D567" t="s">
        <v>1452</v>
      </c>
      <c r="E567">
        <v>40348</v>
      </c>
      <c r="F567">
        <v>3</v>
      </c>
      <c r="G567">
        <v>1665</v>
      </c>
    </row>
    <row r="568" spans="1:7" hidden="1">
      <c r="A568" t="s">
        <v>1448</v>
      </c>
      <c r="B568" t="s">
        <v>1457</v>
      </c>
      <c r="C568" t="s">
        <v>1439</v>
      </c>
      <c r="D568" t="s">
        <v>1452</v>
      </c>
      <c r="E568">
        <v>40310</v>
      </c>
      <c r="F568">
        <v>3</v>
      </c>
      <c r="G568">
        <v>2862</v>
      </c>
    </row>
    <row r="569" spans="1:7" hidden="1">
      <c r="A569" t="s">
        <v>1443</v>
      </c>
      <c r="B569" t="s">
        <v>1457</v>
      </c>
      <c r="C569" t="s">
        <v>1436</v>
      </c>
      <c r="D569" t="s">
        <v>1452</v>
      </c>
      <c r="E569">
        <v>40759</v>
      </c>
      <c r="F569">
        <v>3</v>
      </c>
      <c r="G569">
        <v>4461</v>
      </c>
    </row>
    <row r="570" spans="1:7">
      <c r="A570" t="s">
        <v>1448</v>
      </c>
      <c r="B570" t="s">
        <v>1457</v>
      </c>
      <c r="C570" t="s">
        <v>1441</v>
      </c>
      <c r="D570" t="s">
        <v>1450</v>
      </c>
      <c r="E570">
        <v>40736</v>
      </c>
      <c r="F570">
        <v>3</v>
      </c>
      <c r="G570">
        <v>1767</v>
      </c>
    </row>
    <row r="571" spans="1:7">
      <c r="A571" t="s">
        <v>1448</v>
      </c>
      <c r="B571" t="s">
        <v>1457</v>
      </c>
      <c r="C571" t="s">
        <v>1436</v>
      </c>
      <c r="D571" t="s">
        <v>1450</v>
      </c>
      <c r="E571">
        <v>40421</v>
      </c>
      <c r="F571">
        <v>3</v>
      </c>
      <c r="G571">
        <v>1590</v>
      </c>
    </row>
    <row r="572" spans="1:7">
      <c r="A572" t="s">
        <v>1443</v>
      </c>
      <c r="B572" t="s">
        <v>1457</v>
      </c>
      <c r="C572" t="s">
        <v>1436</v>
      </c>
      <c r="D572" t="s">
        <v>1450</v>
      </c>
      <c r="E572">
        <v>40693</v>
      </c>
      <c r="F572">
        <v>3</v>
      </c>
      <c r="G572">
        <v>3441</v>
      </c>
    </row>
    <row r="573" spans="1:7">
      <c r="A573" t="s">
        <v>1449</v>
      </c>
      <c r="B573" t="s">
        <v>1457</v>
      </c>
      <c r="C573" t="s">
        <v>1436</v>
      </c>
      <c r="D573" t="s">
        <v>1450</v>
      </c>
      <c r="E573">
        <v>40716</v>
      </c>
      <c r="F573">
        <v>3</v>
      </c>
      <c r="G573">
        <v>1614</v>
      </c>
    </row>
    <row r="574" spans="1:7" hidden="1">
      <c r="A574" t="s">
        <v>1440</v>
      </c>
      <c r="B574" t="s">
        <v>1457</v>
      </c>
      <c r="C574" t="s">
        <v>1445</v>
      </c>
      <c r="D574" t="s">
        <v>1455</v>
      </c>
      <c r="E574">
        <v>40456</v>
      </c>
      <c r="F574">
        <v>4</v>
      </c>
      <c r="G574">
        <v>5128</v>
      </c>
    </row>
    <row r="575" spans="1:7" hidden="1">
      <c r="A575" t="s">
        <v>1449</v>
      </c>
      <c r="B575" t="s">
        <v>1457</v>
      </c>
      <c r="C575" t="s">
        <v>1445</v>
      </c>
      <c r="D575" t="s">
        <v>1455</v>
      </c>
      <c r="E575">
        <v>40724</v>
      </c>
      <c r="F575">
        <v>4</v>
      </c>
      <c r="G575">
        <v>2312</v>
      </c>
    </row>
    <row r="576" spans="1:7" hidden="1">
      <c r="A576" t="s">
        <v>1451</v>
      </c>
      <c r="B576" t="s">
        <v>1457</v>
      </c>
      <c r="C576" t="s">
        <v>1441</v>
      </c>
      <c r="D576" t="s">
        <v>1455</v>
      </c>
      <c r="E576">
        <v>40464</v>
      </c>
      <c r="F576">
        <v>4</v>
      </c>
      <c r="G576">
        <v>3672</v>
      </c>
    </row>
    <row r="577" spans="1:7" hidden="1">
      <c r="A577" t="s">
        <v>1443</v>
      </c>
      <c r="B577" t="s">
        <v>1457</v>
      </c>
      <c r="C577" t="s">
        <v>1436</v>
      </c>
      <c r="D577" t="s">
        <v>1455</v>
      </c>
      <c r="E577">
        <v>40722</v>
      </c>
      <c r="F577">
        <v>4</v>
      </c>
      <c r="G577">
        <v>5280</v>
      </c>
    </row>
    <row r="578" spans="1:7" hidden="1">
      <c r="A578" t="s">
        <v>1444</v>
      </c>
      <c r="B578" t="s">
        <v>1457</v>
      </c>
      <c r="C578" t="s">
        <v>1441</v>
      </c>
      <c r="D578" t="s">
        <v>1453</v>
      </c>
      <c r="E578">
        <v>40502</v>
      </c>
      <c r="F578">
        <v>4</v>
      </c>
      <c r="G578">
        <v>3088</v>
      </c>
    </row>
    <row r="579" spans="1:7" hidden="1">
      <c r="A579" t="s">
        <v>1446</v>
      </c>
      <c r="B579" t="s">
        <v>1457</v>
      </c>
      <c r="C579" t="s">
        <v>1436</v>
      </c>
      <c r="D579" t="s">
        <v>1453</v>
      </c>
      <c r="E579">
        <v>40527</v>
      </c>
      <c r="F579">
        <v>4</v>
      </c>
      <c r="G579">
        <v>5300</v>
      </c>
    </row>
    <row r="580" spans="1:7" hidden="1">
      <c r="A580" t="s">
        <v>1454</v>
      </c>
      <c r="B580" t="s">
        <v>1457</v>
      </c>
      <c r="C580" t="s">
        <v>1445</v>
      </c>
      <c r="D580" t="s">
        <v>1455</v>
      </c>
      <c r="E580">
        <v>40253</v>
      </c>
      <c r="F580">
        <v>5</v>
      </c>
      <c r="G580">
        <v>7245</v>
      </c>
    </row>
    <row r="581" spans="1:7" hidden="1">
      <c r="A581" t="s">
        <v>1448</v>
      </c>
      <c r="B581" t="s">
        <v>1457</v>
      </c>
      <c r="C581" t="s">
        <v>1441</v>
      </c>
      <c r="D581" t="s">
        <v>1455</v>
      </c>
      <c r="E581">
        <v>40305</v>
      </c>
      <c r="F581">
        <v>5</v>
      </c>
      <c r="G581">
        <v>5530</v>
      </c>
    </row>
    <row r="582" spans="1:7" hidden="1">
      <c r="A582" t="s">
        <v>1448</v>
      </c>
      <c r="B582" t="s">
        <v>1457</v>
      </c>
      <c r="C582" t="s">
        <v>1445</v>
      </c>
      <c r="D582" t="s">
        <v>1452</v>
      </c>
      <c r="E582">
        <v>40416</v>
      </c>
      <c r="F582">
        <v>5</v>
      </c>
      <c r="G582">
        <v>2520</v>
      </c>
    </row>
    <row r="583" spans="1:7" hidden="1">
      <c r="A583" t="s">
        <v>1448</v>
      </c>
      <c r="B583" t="s">
        <v>1457</v>
      </c>
      <c r="C583" t="s">
        <v>1441</v>
      </c>
      <c r="D583" t="s">
        <v>1452</v>
      </c>
      <c r="E583">
        <v>40208</v>
      </c>
      <c r="F583">
        <v>5</v>
      </c>
      <c r="G583">
        <v>6315</v>
      </c>
    </row>
    <row r="584" spans="1:7">
      <c r="A584" t="s">
        <v>1438</v>
      </c>
      <c r="B584" t="s">
        <v>1457</v>
      </c>
      <c r="C584" t="s">
        <v>1445</v>
      </c>
      <c r="D584" t="s">
        <v>1450</v>
      </c>
      <c r="E584">
        <v>40878</v>
      </c>
      <c r="F584">
        <v>5</v>
      </c>
      <c r="G584">
        <v>5970</v>
      </c>
    </row>
    <row r="585" spans="1:7">
      <c r="A585" t="s">
        <v>1446</v>
      </c>
      <c r="B585" t="s">
        <v>1457</v>
      </c>
      <c r="C585" t="s">
        <v>1439</v>
      </c>
      <c r="D585" t="s">
        <v>1450</v>
      </c>
      <c r="E585">
        <v>40507</v>
      </c>
      <c r="F585">
        <v>5</v>
      </c>
      <c r="G585">
        <v>2955</v>
      </c>
    </row>
    <row r="586" spans="1:7">
      <c r="A586" t="s">
        <v>1447</v>
      </c>
      <c r="B586" t="s">
        <v>1457</v>
      </c>
      <c r="C586" t="s">
        <v>1436</v>
      </c>
      <c r="D586" t="s">
        <v>1450</v>
      </c>
      <c r="E586">
        <v>40539</v>
      </c>
      <c r="F586">
        <v>5</v>
      </c>
      <c r="G586">
        <v>4090</v>
      </c>
    </row>
    <row r="587" spans="1:7" hidden="1">
      <c r="A587" t="s">
        <v>1440</v>
      </c>
      <c r="B587" t="s">
        <v>1457</v>
      </c>
      <c r="C587" t="s">
        <v>1439</v>
      </c>
      <c r="D587" t="s">
        <v>1455</v>
      </c>
      <c r="E587">
        <v>40719</v>
      </c>
      <c r="F587">
        <v>6</v>
      </c>
      <c r="G587">
        <v>6456</v>
      </c>
    </row>
    <row r="588" spans="1:7" hidden="1">
      <c r="A588" t="s">
        <v>1448</v>
      </c>
      <c r="B588" t="s">
        <v>1457</v>
      </c>
      <c r="C588" t="s">
        <v>1436</v>
      </c>
      <c r="D588" t="s">
        <v>1455</v>
      </c>
      <c r="E588">
        <v>40361</v>
      </c>
      <c r="F588">
        <v>6</v>
      </c>
      <c r="G588">
        <v>7968</v>
      </c>
    </row>
    <row r="589" spans="1:7" hidden="1">
      <c r="A589" t="s">
        <v>1438</v>
      </c>
      <c r="B589" t="s">
        <v>1457</v>
      </c>
      <c r="C589" t="s">
        <v>1436</v>
      </c>
      <c r="D589" t="s">
        <v>1455</v>
      </c>
      <c r="E589">
        <v>40522</v>
      </c>
      <c r="F589">
        <v>6</v>
      </c>
      <c r="G589">
        <v>3012</v>
      </c>
    </row>
    <row r="590" spans="1:7" hidden="1">
      <c r="A590" t="s">
        <v>1438</v>
      </c>
      <c r="B590" t="s">
        <v>1457</v>
      </c>
      <c r="C590" t="s">
        <v>1441</v>
      </c>
      <c r="D590" t="s">
        <v>1453</v>
      </c>
      <c r="E590">
        <v>40333</v>
      </c>
      <c r="F590">
        <v>6</v>
      </c>
      <c r="G590">
        <v>8562</v>
      </c>
    </row>
    <row r="591" spans="1:7" hidden="1">
      <c r="A591" t="s">
        <v>1440</v>
      </c>
      <c r="B591" t="s">
        <v>1457</v>
      </c>
      <c r="C591" t="s">
        <v>1436</v>
      </c>
      <c r="D591" t="s">
        <v>1453</v>
      </c>
      <c r="E591">
        <v>40598</v>
      </c>
      <c r="F591">
        <v>6</v>
      </c>
      <c r="G591">
        <v>6288</v>
      </c>
    </row>
    <row r="592" spans="1:7" hidden="1">
      <c r="A592" t="s">
        <v>1443</v>
      </c>
      <c r="B592" t="s">
        <v>1457</v>
      </c>
      <c r="C592" t="s">
        <v>1439</v>
      </c>
      <c r="D592" t="s">
        <v>1452</v>
      </c>
      <c r="E592">
        <v>40660</v>
      </c>
      <c r="F592">
        <v>6</v>
      </c>
      <c r="G592">
        <v>7272</v>
      </c>
    </row>
    <row r="593" spans="1:7" hidden="1">
      <c r="A593" t="s">
        <v>1443</v>
      </c>
      <c r="B593" t="s">
        <v>1457</v>
      </c>
      <c r="C593" t="s">
        <v>1436</v>
      </c>
      <c r="D593" t="s">
        <v>1452</v>
      </c>
      <c r="E593">
        <v>40269</v>
      </c>
      <c r="F593">
        <v>6</v>
      </c>
      <c r="G593">
        <v>7002</v>
      </c>
    </row>
    <row r="594" spans="1:7" hidden="1">
      <c r="A594" t="s">
        <v>1448</v>
      </c>
      <c r="B594" t="s">
        <v>1457</v>
      </c>
      <c r="C594" t="s">
        <v>1439</v>
      </c>
      <c r="D594" t="s">
        <v>1455</v>
      </c>
      <c r="E594">
        <v>40182</v>
      </c>
      <c r="F594">
        <v>7</v>
      </c>
      <c r="G594">
        <v>4298</v>
      </c>
    </row>
    <row r="595" spans="1:7" hidden="1">
      <c r="A595" t="s">
        <v>1438</v>
      </c>
      <c r="B595" t="s">
        <v>1457</v>
      </c>
      <c r="C595" t="s">
        <v>1439</v>
      </c>
      <c r="D595" t="s">
        <v>1455</v>
      </c>
      <c r="E595">
        <v>40897</v>
      </c>
      <c r="F595">
        <v>7</v>
      </c>
      <c r="G595">
        <v>7308</v>
      </c>
    </row>
    <row r="596" spans="1:7" hidden="1">
      <c r="A596" t="s">
        <v>1448</v>
      </c>
      <c r="B596" t="s">
        <v>1457</v>
      </c>
      <c r="C596" t="s">
        <v>1436</v>
      </c>
      <c r="D596" t="s">
        <v>1455</v>
      </c>
      <c r="E596">
        <v>40798</v>
      </c>
      <c r="F596">
        <v>7</v>
      </c>
      <c r="G596">
        <v>6377</v>
      </c>
    </row>
    <row r="597" spans="1:7" hidden="1">
      <c r="A597" t="s">
        <v>1444</v>
      </c>
      <c r="B597" t="s">
        <v>1457</v>
      </c>
      <c r="C597" t="s">
        <v>1441</v>
      </c>
      <c r="D597" t="s">
        <v>1435</v>
      </c>
      <c r="E597">
        <v>40313</v>
      </c>
      <c r="F597">
        <v>7</v>
      </c>
      <c r="G597">
        <v>5320</v>
      </c>
    </row>
    <row r="598" spans="1:7" hidden="1">
      <c r="A598" t="s">
        <v>1440</v>
      </c>
      <c r="B598" t="s">
        <v>1457</v>
      </c>
      <c r="C598" t="s">
        <v>1436</v>
      </c>
      <c r="D598" t="s">
        <v>1435</v>
      </c>
      <c r="E598">
        <v>40652</v>
      </c>
      <c r="F598">
        <v>7</v>
      </c>
      <c r="G598">
        <v>7532</v>
      </c>
    </row>
    <row r="599" spans="1:7" hidden="1">
      <c r="A599" t="s">
        <v>1443</v>
      </c>
      <c r="B599" t="s">
        <v>1457</v>
      </c>
      <c r="C599" t="s">
        <v>1436</v>
      </c>
      <c r="D599" t="s">
        <v>1452</v>
      </c>
      <c r="E599">
        <v>40290</v>
      </c>
      <c r="F599">
        <v>7</v>
      </c>
      <c r="G599">
        <v>7007</v>
      </c>
    </row>
    <row r="600" spans="1:7" hidden="1">
      <c r="A600" t="s">
        <v>1447</v>
      </c>
      <c r="B600" t="s">
        <v>1457</v>
      </c>
      <c r="C600" t="s">
        <v>1436</v>
      </c>
      <c r="D600" t="s">
        <v>1452</v>
      </c>
      <c r="E600">
        <v>40648</v>
      </c>
      <c r="F600">
        <v>7</v>
      </c>
      <c r="G600">
        <v>9835</v>
      </c>
    </row>
    <row r="601" spans="1:7" hidden="1">
      <c r="A601" t="s">
        <v>1446</v>
      </c>
      <c r="B601" t="s">
        <v>1457</v>
      </c>
      <c r="C601" t="s">
        <v>1436</v>
      </c>
      <c r="D601" t="s">
        <v>1452</v>
      </c>
      <c r="E601">
        <v>40771</v>
      </c>
      <c r="F601">
        <v>7</v>
      </c>
      <c r="G601">
        <v>3857</v>
      </c>
    </row>
    <row r="602" spans="1:7" hidden="1">
      <c r="A602" t="s">
        <v>1448</v>
      </c>
      <c r="B602" t="s">
        <v>1457</v>
      </c>
      <c r="C602" t="s">
        <v>1436</v>
      </c>
      <c r="D602" t="s">
        <v>1452</v>
      </c>
      <c r="E602">
        <v>40787</v>
      </c>
      <c r="F602">
        <v>7</v>
      </c>
      <c r="G602">
        <v>9828</v>
      </c>
    </row>
    <row r="603" spans="1:7">
      <c r="A603" t="s">
        <v>1451</v>
      </c>
      <c r="B603" t="s">
        <v>1457</v>
      </c>
      <c r="C603" t="s">
        <v>1441</v>
      </c>
      <c r="D603" t="s">
        <v>1450</v>
      </c>
      <c r="E603">
        <v>40666</v>
      </c>
      <c r="F603">
        <v>7</v>
      </c>
      <c r="G603">
        <v>7203</v>
      </c>
    </row>
    <row r="604" spans="1:7">
      <c r="A604" t="s">
        <v>1448</v>
      </c>
      <c r="B604" t="s">
        <v>1457</v>
      </c>
      <c r="C604" t="s">
        <v>1441</v>
      </c>
      <c r="D604" t="s">
        <v>1450</v>
      </c>
      <c r="E604">
        <v>40809</v>
      </c>
      <c r="F604">
        <v>7</v>
      </c>
      <c r="G604">
        <v>8547</v>
      </c>
    </row>
    <row r="605" spans="1:7">
      <c r="A605" t="s">
        <v>1438</v>
      </c>
      <c r="B605" t="s">
        <v>1457</v>
      </c>
      <c r="C605" t="s">
        <v>1439</v>
      </c>
      <c r="D605" t="s">
        <v>1450</v>
      </c>
      <c r="E605">
        <v>40520</v>
      </c>
      <c r="F605">
        <v>7</v>
      </c>
      <c r="G605">
        <v>6132</v>
      </c>
    </row>
    <row r="606" spans="1:7" hidden="1">
      <c r="A606" t="s">
        <v>1442</v>
      </c>
      <c r="B606" t="s">
        <v>1457</v>
      </c>
      <c r="C606" t="s">
        <v>1445</v>
      </c>
      <c r="D606" t="s">
        <v>1455</v>
      </c>
      <c r="E606">
        <v>40498</v>
      </c>
      <c r="F606">
        <v>8</v>
      </c>
      <c r="G606">
        <v>11528</v>
      </c>
    </row>
    <row r="607" spans="1:7" hidden="1">
      <c r="A607" t="s">
        <v>1454</v>
      </c>
      <c r="B607" t="s">
        <v>1457</v>
      </c>
      <c r="C607" t="s">
        <v>1439</v>
      </c>
      <c r="D607" t="s">
        <v>1455</v>
      </c>
      <c r="E607">
        <v>40761</v>
      </c>
      <c r="F607">
        <v>8</v>
      </c>
      <c r="G607">
        <v>11048</v>
      </c>
    </row>
    <row r="608" spans="1:7" hidden="1">
      <c r="A608" t="s">
        <v>1456</v>
      </c>
      <c r="B608" t="s">
        <v>1457</v>
      </c>
      <c r="C608" t="s">
        <v>1445</v>
      </c>
      <c r="D608" t="s">
        <v>1435</v>
      </c>
      <c r="E608">
        <v>40558</v>
      </c>
      <c r="F608">
        <v>8</v>
      </c>
      <c r="G608">
        <v>9600</v>
      </c>
    </row>
    <row r="609" spans="1:7" hidden="1">
      <c r="A609" t="s">
        <v>1456</v>
      </c>
      <c r="B609" t="s">
        <v>1457</v>
      </c>
      <c r="C609" t="s">
        <v>1445</v>
      </c>
      <c r="D609" t="s">
        <v>1435</v>
      </c>
      <c r="E609">
        <v>40752</v>
      </c>
      <c r="F609">
        <v>8</v>
      </c>
      <c r="G609">
        <v>6992</v>
      </c>
    </row>
    <row r="610" spans="1:7" hidden="1">
      <c r="A610" t="s">
        <v>1443</v>
      </c>
      <c r="B610" t="s">
        <v>1457</v>
      </c>
      <c r="C610" t="s">
        <v>1441</v>
      </c>
      <c r="D610" t="s">
        <v>1435</v>
      </c>
      <c r="E610">
        <v>40374</v>
      </c>
      <c r="F610">
        <v>8</v>
      </c>
      <c r="G610">
        <v>7704</v>
      </c>
    </row>
    <row r="611" spans="1:7" hidden="1">
      <c r="A611" t="s">
        <v>1449</v>
      </c>
      <c r="B611" t="s">
        <v>1457</v>
      </c>
      <c r="C611" t="s">
        <v>1439</v>
      </c>
      <c r="D611" t="s">
        <v>1435</v>
      </c>
      <c r="E611">
        <v>40218</v>
      </c>
      <c r="F611">
        <v>8</v>
      </c>
      <c r="G611">
        <v>5360</v>
      </c>
    </row>
    <row r="612" spans="1:7" hidden="1">
      <c r="A612" t="s">
        <v>1446</v>
      </c>
      <c r="B612" t="s">
        <v>1457</v>
      </c>
      <c r="C612" t="s">
        <v>1439</v>
      </c>
      <c r="D612" t="s">
        <v>1435</v>
      </c>
      <c r="E612">
        <v>40670</v>
      </c>
      <c r="F612">
        <v>8</v>
      </c>
      <c r="G612">
        <v>6872</v>
      </c>
    </row>
    <row r="613" spans="1:7" hidden="1">
      <c r="A613" t="s">
        <v>1446</v>
      </c>
      <c r="B613" t="s">
        <v>1457</v>
      </c>
      <c r="C613" t="s">
        <v>1441</v>
      </c>
      <c r="D613" t="s">
        <v>1453</v>
      </c>
      <c r="E613">
        <v>40841</v>
      </c>
      <c r="F613">
        <v>8</v>
      </c>
      <c r="G613">
        <v>6816</v>
      </c>
    </row>
    <row r="614" spans="1:7" hidden="1">
      <c r="A614" t="s">
        <v>1444</v>
      </c>
      <c r="B614" t="s">
        <v>1457</v>
      </c>
      <c r="C614" t="s">
        <v>1439</v>
      </c>
      <c r="D614" t="s">
        <v>1453</v>
      </c>
      <c r="E614">
        <v>40284</v>
      </c>
      <c r="F614">
        <v>8</v>
      </c>
      <c r="G614">
        <v>5912</v>
      </c>
    </row>
    <row r="615" spans="1:7" hidden="1">
      <c r="A615" t="s">
        <v>1443</v>
      </c>
      <c r="B615" t="s">
        <v>1457</v>
      </c>
      <c r="C615" t="s">
        <v>1436</v>
      </c>
      <c r="D615" t="s">
        <v>1453</v>
      </c>
      <c r="E615">
        <v>40574</v>
      </c>
      <c r="F615">
        <v>8</v>
      </c>
      <c r="G615">
        <v>6424</v>
      </c>
    </row>
    <row r="616" spans="1:7" hidden="1">
      <c r="A616" t="s">
        <v>1456</v>
      </c>
      <c r="B616" t="s">
        <v>1457</v>
      </c>
      <c r="C616" t="s">
        <v>1445</v>
      </c>
      <c r="D616" t="s">
        <v>1452</v>
      </c>
      <c r="E616">
        <v>40736</v>
      </c>
      <c r="F616">
        <v>8</v>
      </c>
      <c r="G616">
        <v>7616</v>
      </c>
    </row>
    <row r="617" spans="1:7" hidden="1">
      <c r="A617" t="s">
        <v>1438</v>
      </c>
      <c r="B617" t="s">
        <v>1457</v>
      </c>
      <c r="C617" t="s">
        <v>1439</v>
      </c>
      <c r="D617" t="s">
        <v>1452</v>
      </c>
      <c r="E617">
        <v>40722</v>
      </c>
      <c r="F617">
        <v>8</v>
      </c>
      <c r="G617">
        <v>7800</v>
      </c>
    </row>
    <row r="618" spans="1:7">
      <c r="A618" t="s">
        <v>1449</v>
      </c>
      <c r="B618" t="s">
        <v>1457</v>
      </c>
      <c r="C618" t="s">
        <v>1436</v>
      </c>
      <c r="D618" t="s">
        <v>1450</v>
      </c>
      <c r="E618">
        <v>40767</v>
      </c>
      <c r="F618">
        <v>8</v>
      </c>
      <c r="G618">
        <v>6080</v>
      </c>
    </row>
    <row r="619" spans="1:7">
      <c r="A619" t="s">
        <v>1454</v>
      </c>
      <c r="B619" t="s">
        <v>1457</v>
      </c>
      <c r="C619" t="s">
        <v>1436</v>
      </c>
      <c r="D619" t="s">
        <v>1450</v>
      </c>
      <c r="E619">
        <v>40777</v>
      </c>
      <c r="F619">
        <v>8</v>
      </c>
      <c r="G619">
        <v>6864</v>
      </c>
    </row>
    <row r="620" spans="1:7" hidden="1">
      <c r="A620" t="s">
        <v>1449</v>
      </c>
      <c r="B620" t="s">
        <v>1457</v>
      </c>
      <c r="C620" t="s">
        <v>1436</v>
      </c>
      <c r="D620" t="s">
        <v>1455</v>
      </c>
      <c r="E620">
        <v>40252</v>
      </c>
      <c r="F620">
        <v>9</v>
      </c>
      <c r="G620">
        <v>11583</v>
      </c>
    </row>
    <row r="621" spans="1:7" hidden="1">
      <c r="A621" t="s">
        <v>1449</v>
      </c>
      <c r="B621" t="s">
        <v>1457</v>
      </c>
      <c r="C621" t="s">
        <v>1436</v>
      </c>
      <c r="D621" t="s">
        <v>1455</v>
      </c>
      <c r="E621">
        <v>40382</v>
      </c>
      <c r="F621">
        <v>9</v>
      </c>
      <c r="G621">
        <v>6678</v>
      </c>
    </row>
    <row r="622" spans="1:7" hidden="1">
      <c r="A622" t="s">
        <v>1448</v>
      </c>
      <c r="B622" t="s">
        <v>1457</v>
      </c>
      <c r="C622" t="s">
        <v>1445</v>
      </c>
      <c r="D622" t="s">
        <v>1435</v>
      </c>
      <c r="E622">
        <v>40487</v>
      </c>
      <c r="F622">
        <v>9</v>
      </c>
      <c r="G622">
        <v>5274</v>
      </c>
    </row>
    <row r="623" spans="1:7" hidden="1">
      <c r="A623" t="s">
        <v>1449</v>
      </c>
      <c r="B623" t="s">
        <v>1457</v>
      </c>
      <c r="C623" t="s">
        <v>1439</v>
      </c>
      <c r="D623" t="s">
        <v>1435</v>
      </c>
      <c r="E623">
        <v>40541</v>
      </c>
      <c r="F623">
        <v>9</v>
      </c>
      <c r="G623">
        <v>10494</v>
      </c>
    </row>
    <row r="624" spans="1:7" hidden="1">
      <c r="A624" t="s">
        <v>1443</v>
      </c>
      <c r="B624" t="s">
        <v>1457</v>
      </c>
      <c r="C624" t="s">
        <v>1439</v>
      </c>
      <c r="D624" t="s">
        <v>1435</v>
      </c>
      <c r="E624">
        <v>40631</v>
      </c>
      <c r="F624">
        <v>9</v>
      </c>
      <c r="G624">
        <v>9171</v>
      </c>
    </row>
    <row r="625" spans="1:7" hidden="1">
      <c r="A625" t="s">
        <v>1451</v>
      </c>
      <c r="B625" t="s">
        <v>1457</v>
      </c>
      <c r="C625" t="s">
        <v>1445</v>
      </c>
      <c r="D625" t="s">
        <v>1453</v>
      </c>
      <c r="E625">
        <v>40214</v>
      </c>
      <c r="F625">
        <v>9</v>
      </c>
      <c r="G625">
        <v>7470</v>
      </c>
    </row>
    <row r="626" spans="1:7" hidden="1">
      <c r="A626" t="s">
        <v>1442</v>
      </c>
      <c r="B626" t="s">
        <v>1457</v>
      </c>
      <c r="C626" t="s">
        <v>1441</v>
      </c>
      <c r="D626" t="s">
        <v>1453</v>
      </c>
      <c r="E626">
        <v>40410</v>
      </c>
      <c r="F626">
        <v>9</v>
      </c>
      <c r="G626">
        <v>4788</v>
      </c>
    </row>
    <row r="627" spans="1:7" hidden="1">
      <c r="A627" t="s">
        <v>1438</v>
      </c>
      <c r="B627" t="s">
        <v>1457</v>
      </c>
      <c r="C627" t="s">
        <v>1441</v>
      </c>
      <c r="D627" t="s">
        <v>1452</v>
      </c>
      <c r="E627">
        <v>40618</v>
      </c>
      <c r="F627">
        <v>9</v>
      </c>
      <c r="G627">
        <v>10422</v>
      </c>
    </row>
    <row r="628" spans="1:7" hidden="1">
      <c r="A628" t="s">
        <v>1451</v>
      </c>
      <c r="B628" t="s">
        <v>1457</v>
      </c>
      <c r="C628" t="s">
        <v>1441</v>
      </c>
      <c r="D628" t="s">
        <v>1452</v>
      </c>
      <c r="E628">
        <v>40656</v>
      </c>
      <c r="F628">
        <v>9</v>
      </c>
      <c r="G628">
        <v>4518</v>
      </c>
    </row>
    <row r="629" spans="1:7">
      <c r="A629" t="s">
        <v>1446</v>
      </c>
      <c r="B629" t="s">
        <v>1457</v>
      </c>
      <c r="C629" t="s">
        <v>1441</v>
      </c>
      <c r="D629" t="s">
        <v>1450</v>
      </c>
      <c r="E629">
        <v>40753</v>
      </c>
      <c r="F629">
        <v>9</v>
      </c>
      <c r="G629">
        <v>13410</v>
      </c>
    </row>
    <row r="630" spans="1:7">
      <c r="A630" t="s">
        <v>1448</v>
      </c>
      <c r="B630" t="s">
        <v>1457</v>
      </c>
      <c r="C630" t="s">
        <v>1439</v>
      </c>
      <c r="D630" t="s">
        <v>1450</v>
      </c>
      <c r="E630">
        <v>40339</v>
      </c>
      <c r="F630">
        <v>9</v>
      </c>
      <c r="G630">
        <v>12501</v>
      </c>
    </row>
    <row r="631" spans="1:7" hidden="1">
      <c r="A631" t="s">
        <v>1442</v>
      </c>
      <c r="B631" t="s">
        <v>1457</v>
      </c>
      <c r="C631" t="s">
        <v>1436</v>
      </c>
      <c r="D631" t="s">
        <v>1435</v>
      </c>
      <c r="E631">
        <v>40290</v>
      </c>
      <c r="F631">
        <v>10</v>
      </c>
      <c r="G631">
        <v>12750</v>
      </c>
    </row>
    <row r="632" spans="1:7" hidden="1">
      <c r="A632" t="s">
        <v>1444</v>
      </c>
      <c r="B632" t="s">
        <v>1457</v>
      </c>
      <c r="C632" t="s">
        <v>1436</v>
      </c>
      <c r="D632" t="s">
        <v>1435</v>
      </c>
      <c r="E632">
        <v>40491</v>
      </c>
      <c r="F632">
        <v>10</v>
      </c>
      <c r="G632">
        <v>14400</v>
      </c>
    </row>
    <row r="633" spans="1:7" hidden="1">
      <c r="A633" t="s">
        <v>1449</v>
      </c>
      <c r="B633" t="s">
        <v>1457</v>
      </c>
      <c r="C633" t="s">
        <v>1441</v>
      </c>
      <c r="D633" t="s">
        <v>1453</v>
      </c>
      <c r="E633">
        <v>40672</v>
      </c>
      <c r="F633">
        <v>10</v>
      </c>
      <c r="G633">
        <v>13930</v>
      </c>
    </row>
    <row r="634" spans="1:7" hidden="1">
      <c r="A634" t="s">
        <v>1440</v>
      </c>
      <c r="B634" t="s">
        <v>1457</v>
      </c>
      <c r="C634" t="s">
        <v>1439</v>
      </c>
      <c r="D634" t="s">
        <v>1453</v>
      </c>
      <c r="E634">
        <v>40351</v>
      </c>
      <c r="F634">
        <v>10</v>
      </c>
      <c r="G634">
        <v>10770</v>
      </c>
    </row>
    <row r="635" spans="1:7" hidden="1">
      <c r="A635" t="s">
        <v>1440</v>
      </c>
      <c r="B635" t="s">
        <v>1457</v>
      </c>
      <c r="C635" t="s">
        <v>1439</v>
      </c>
      <c r="D635" t="s">
        <v>1453</v>
      </c>
      <c r="E635">
        <v>40750</v>
      </c>
      <c r="F635">
        <v>10</v>
      </c>
      <c r="G635">
        <v>14800</v>
      </c>
    </row>
    <row r="636" spans="1:7" hidden="1">
      <c r="A636" t="s">
        <v>1449</v>
      </c>
      <c r="B636" t="s">
        <v>1457</v>
      </c>
      <c r="C636" t="s">
        <v>1445</v>
      </c>
      <c r="D636" t="s">
        <v>1452</v>
      </c>
      <c r="E636">
        <v>40387</v>
      </c>
      <c r="F636">
        <v>10</v>
      </c>
      <c r="G636">
        <v>12130</v>
      </c>
    </row>
    <row r="637" spans="1:7" hidden="1">
      <c r="A637" t="s">
        <v>1442</v>
      </c>
      <c r="B637" t="s">
        <v>1457</v>
      </c>
      <c r="C637" t="s">
        <v>1445</v>
      </c>
      <c r="D637" t="s">
        <v>1452</v>
      </c>
      <c r="E637">
        <v>40728</v>
      </c>
      <c r="F637">
        <v>10</v>
      </c>
      <c r="G637">
        <v>6940</v>
      </c>
    </row>
    <row r="638" spans="1:7" hidden="1">
      <c r="A638" t="s">
        <v>1440</v>
      </c>
      <c r="B638" t="s">
        <v>1457</v>
      </c>
      <c r="C638" t="s">
        <v>1436</v>
      </c>
      <c r="D638" t="s">
        <v>1452</v>
      </c>
      <c r="E638">
        <v>40186</v>
      </c>
      <c r="F638">
        <v>10</v>
      </c>
      <c r="G638">
        <v>6290</v>
      </c>
    </row>
    <row r="639" spans="1:7" hidden="1">
      <c r="A639" t="s">
        <v>1451</v>
      </c>
      <c r="B639" t="s">
        <v>1457</v>
      </c>
      <c r="C639" t="s">
        <v>1436</v>
      </c>
      <c r="D639" t="s">
        <v>1452</v>
      </c>
      <c r="E639">
        <v>40211</v>
      </c>
      <c r="F639">
        <v>10</v>
      </c>
      <c r="G639">
        <v>10620</v>
      </c>
    </row>
    <row r="640" spans="1:7" hidden="1">
      <c r="A640" t="s">
        <v>1451</v>
      </c>
      <c r="B640" t="s">
        <v>1457</v>
      </c>
      <c r="C640" t="s">
        <v>1436</v>
      </c>
      <c r="D640" t="s">
        <v>1452</v>
      </c>
      <c r="E640">
        <v>40239</v>
      </c>
      <c r="F640">
        <v>10</v>
      </c>
      <c r="G640">
        <v>15000</v>
      </c>
    </row>
    <row r="641" spans="1:7">
      <c r="A641" t="s">
        <v>1443</v>
      </c>
      <c r="B641" t="s">
        <v>1457</v>
      </c>
      <c r="C641" t="s">
        <v>1445</v>
      </c>
      <c r="D641" t="s">
        <v>1450</v>
      </c>
      <c r="E641">
        <v>40519</v>
      </c>
      <c r="F641">
        <v>10</v>
      </c>
      <c r="G641">
        <v>8120</v>
      </c>
    </row>
    <row r="642" spans="1:7">
      <c r="A642" t="s">
        <v>1446</v>
      </c>
      <c r="B642" t="s">
        <v>1457</v>
      </c>
      <c r="C642" t="s">
        <v>1445</v>
      </c>
      <c r="D642" t="s">
        <v>1450</v>
      </c>
      <c r="E642">
        <v>40565</v>
      </c>
      <c r="F642">
        <v>10</v>
      </c>
      <c r="G642">
        <v>6320</v>
      </c>
    </row>
    <row r="643" spans="1:7">
      <c r="A643" t="s">
        <v>1447</v>
      </c>
      <c r="B643" t="s">
        <v>1457</v>
      </c>
      <c r="C643" t="s">
        <v>1439</v>
      </c>
      <c r="D643" t="s">
        <v>1450</v>
      </c>
      <c r="E643">
        <v>40498</v>
      </c>
      <c r="F643">
        <v>10</v>
      </c>
      <c r="G643">
        <v>9360</v>
      </c>
    </row>
    <row r="644" spans="1:7" hidden="1">
      <c r="A644" t="s">
        <v>1448</v>
      </c>
      <c r="B644" t="s">
        <v>1457</v>
      </c>
      <c r="C644" t="s">
        <v>1445</v>
      </c>
      <c r="D644" t="s">
        <v>1455</v>
      </c>
      <c r="E644">
        <v>40899</v>
      </c>
      <c r="F644">
        <v>11</v>
      </c>
      <c r="G644">
        <v>5841</v>
      </c>
    </row>
    <row r="645" spans="1:7" hidden="1">
      <c r="A645" t="s">
        <v>1454</v>
      </c>
      <c r="B645" t="s">
        <v>1457</v>
      </c>
      <c r="C645" t="s">
        <v>1439</v>
      </c>
      <c r="D645" t="s">
        <v>1455</v>
      </c>
      <c r="E645">
        <v>40191</v>
      </c>
      <c r="F645">
        <v>11</v>
      </c>
      <c r="G645">
        <v>10010</v>
      </c>
    </row>
    <row r="646" spans="1:7" hidden="1">
      <c r="A646" t="s">
        <v>1443</v>
      </c>
      <c r="B646" t="s">
        <v>1457</v>
      </c>
      <c r="C646" t="s">
        <v>1436</v>
      </c>
      <c r="D646" t="s">
        <v>1435</v>
      </c>
      <c r="E646">
        <v>40288</v>
      </c>
      <c r="F646">
        <v>11</v>
      </c>
      <c r="G646">
        <v>6204</v>
      </c>
    </row>
    <row r="647" spans="1:7" hidden="1">
      <c r="A647" t="s">
        <v>1451</v>
      </c>
      <c r="B647" t="s">
        <v>1457</v>
      </c>
      <c r="C647" t="s">
        <v>1436</v>
      </c>
      <c r="D647" t="s">
        <v>1435</v>
      </c>
      <c r="E647">
        <v>40423</v>
      </c>
      <c r="F647">
        <v>11</v>
      </c>
      <c r="G647">
        <v>6721</v>
      </c>
    </row>
    <row r="648" spans="1:7" hidden="1">
      <c r="A648" t="s">
        <v>1443</v>
      </c>
      <c r="B648" t="s">
        <v>1457</v>
      </c>
      <c r="C648" t="s">
        <v>1441</v>
      </c>
      <c r="D648" t="s">
        <v>1453</v>
      </c>
      <c r="E648">
        <v>40666</v>
      </c>
      <c r="F648">
        <v>11</v>
      </c>
      <c r="G648">
        <v>8140</v>
      </c>
    </row>
    <row r="649" spans="1:7" hidden="1">
      <c r="A649" t="s">
        <v>1444</v>
      </c>
      <c r="B649" t="s">
        <v>1457</v>
      </c>
      <c r="C649" t="s">
        <v>1445</v>
      </c>
      <c r="D649" t="s">
        <v>1452</v>
      </c>
      <c r="E649">
        <v>40201</v>
      </c>
      <c r="F649">
        <v>11</v>
      </c>
      <c r="G649">
        <v>16181</v>
      </c>
    </row>
    <row r="650" spans="1:7" hidden="1">
      <c r="A650" t="s">
        <v>1451</v>
      </c>
      <c r="B650" t="s">
        <v>1457</v>
      </c>
      <c r="C650" t="s">
        <v>1445</v>
      </c>
      <c r="D650" t="s">
        <v>1452</v>
      </c>
      <c r="E650">
        <v>40541</v>
      </c>
      <c r="F650">
        <v>11</v>
      </c>
      <c r="G650">
        <v>6886</v>
      </c>
    </row>
    <row r="651" spans="1:7" hidden="1">
      <c r="A651" t="s">
        <v>1444</v>
      </c>
      <c r="B651" t="s">
        <v>1457</v>
      </c>
      <c r="C651" t="s">
        <v>1441</v>
      </c>
      <c r="D651" t="s">
        <v>1452</v>
      </c>
      <c r="E651">
        <v>40501</v>
      </c>
      <c r="F651">
        <v>11</v>
      </c>
      <c r="G651">
        <v>8217</v>
      </c>
    </row>
    <row r="652" spans="1:7" hidden="1">
      <c r="A652" t="s">
        <v>1438</v>
      </c>
      <c r="B652" t="s">
        <v>1457</v>
      </c>
      <c r="C652" t="s">
        <v>1439</v>
      </c>
      <c r="D652" t="s">
        <v>1452</v>
      </c>
      <c r="E652">
        <v>40352</v>
      </c>
      <c r="F652">
        <v>11</v>
      </c>
      <c r="G652">
        <v>8481</v>
      </c>
    </row>
    <row r="653" spans="1:7">
      <c r="A653" t="s">
        <v>1454</v>
      </c>
      <c r="B653" t="s">
        <v>1457</v>
      </c>
      <c r="C653" t="s">
        <v>1445</v>
      </c>
      <c r="D653" t="s">
        <v>1450</v>
      </c>
      <c r="E653">
        <v>40708</v>
      </c>
      <c r="F653">
        <v>11</v>
      </c>
      <c r="G653">
        <v>10835</v>
      </c>
    </row>
    <row r="654" spans="1:7">
      <c r="A654" t="s">
        <v>1447</v>
      </c>
      <c r="B654" t="s">
        <v>1457</v>
      </c>
      <c r="C654" t="s">
        <v>1445</v>
      </c>
      <c r="D654" t="s">
        <v>1450</v>
      </c>
      <c r="E654">
        <v>40814</v>
      </c>
      <c r="F654">
        <v>11</v>
      </c>
      <c r="G654">
        <v>11253</v>
      </c>
    </row>
    <row r="655" spans="1:7">
      <c r="A655" t="s">
        <v>1448</v>
      </c>
      <c r="B655" t="s">
        <v>1457</v>
      </c>
      <c r="C655" t="s">
        <v>1441</v>
      </c>
      <c r="D655" t="s">
        <v>1450</v>
      </c>
      <c r="E655">
        <v>40708</v>
      </c>
      <c r="F655">
        <v>11</v>
      </c>
      <c r="G655">
        <v>7733</v>
      </c>
    </row>
    <row r="656" spans="1:7" hidden="1">
      <c r="A656" t="s">
        <v>1448</v>
      </c>
      <c r="B656" t="s">
        <v>1457</v>
      </c>
      <c r="C656" t="s">
        <v>1441</v>
      </c>
      <c r="D656" t="s">
        <v>1455</v>
      </c>
      <c r="E656">
        <v>40554</v>
      </c>
      <c r="F656">
        <v>12</v>
      </c>
      <c r="G656">
        <v>10224</v>
      </c>
    </row>
    <row r="657" spans="1:7" hidden="1">
      <c r="A657" t="s">
        <v>1438</v>
      </c>
      <c r="B657" t="s">
        <v>1457</v>
      </c>
      <c r="C657" t="s">
        <v>1439</v>
      </c>
      <c r="D657" t="s">
        <v>1455</v>
      </c>
      <c r="E657">
        <v>40241</v>
      </c>
      <c r="F657">
        <v>12</v>
      </c>
      <c r="G657">
        <v>7824</v>
      </c>
    </row>
    <row r="658" spans="1:7" hidden="1">
      <c r="A658" t="s">
        <v>1447</v>
      </c>
      <c r="B658" t="s">
        <v>1457</v>
      </c>
      <c r="C658" t="s">
        <v>1439</v>
      </c>
      <c r="D658" t="s">
        <v>1455</v>
      </c>
      <c r="E658">
        <v>40473</v>
      </c>
      <c r="F658">
        <v>12</v>
      </c>
      <c r="G658">
        <v>15144</v>
      </c>
    </row>
    <row r="659" spans="1:7" hidden="1">
      <c r="A659" t="s">
        <v>1454</v>
      </c>
      <c r="B659" t="s">
        <v>1457</v>
      </c>
      <c r="C659" t="s">
        <v>1445</v>
      </c>
      <c r="D659" t="s">
        <v>1435</v>
      </c>
      <c r="E659">
        <v>40183</v>
      </c>
      <c r="F659">
        <v>12</v>
      </c>
      <c r="G659">
        <v>10692</v>
      </c>
    </row>
    <row r="660" spans="1:7" hidden="1">
      <c r="A660" t="s">
        <v>1442</v>
      </c>
      <c r="B660" t="s">
        <v>1457</v>
      </c>
      <c r="C660" t="s">
        <v>1445</v>
      </c>
      <c r="D660" t="s">
        <v>1435</v>
      </c>
      <c r="E660">
        <v>40283</v>
      </c>
      <c r="F660">
        <v>12</v>
      </c>
      <c r="G660">
        <v>12672</v>
      </c>
    </row>
    <row r="661" spans="1:7" hidden="1">
      <c r="A661" t="s">
        <v>1442</v>
      </c>
      <c r="B661" t="s">
        <v>1457</v>
      </c>
      <c r="C661" t="s">
        <v>1445</v>
      </c>
      <c r="D661" t="s">
        <v>1435</v>
      </c>
      <c r="E661">
        <v>40354</v>
      </c>
      <c r="F661">
        <v>12</v>
      </c>
      <c r="G661">
        <v>8568</v>
      </c>
    </row>
    <row r="662" spans="1:7" hidden="1">
      <c r="A662" t="s">
        <v>1449</v>
      </c>
      <c r="B662" t="s">
        <v>1457</v>
      </c>
      <c r="C662" t="s">
        <v>1441</v>
      </c>
      <c r="D662" t="s">
        <v>1435</v>
      </c>
      <c r="E662">
        <v>40413</v>
      </c>
      <c r="F662">
        <v>12</v>
      </c>
      <c r="G662">
        <v>17328</v>
      </c>
    </row>
    <row r="663" spans="1:7" hidden="1">
      <c r="A663" t="s">
        <v>1442</v>
      </c>
      <c r="B663" t="s">
        <v>1457</v>
      </c>
      <c r="C663" t="s">
        <v>1445</v>
      </c>
      <c r="D663" t="s">
        <v>1453</v>
      </c>
      <c r="E663">
        <v>40417</v>
      </c>
      <c r="F663">
        <v>12</v>
      </c>
      <c r="G663">
        <v>17160</v>
      </c>
    </row>
    <row r="664" spans="1:7" hidden="1">
      <c r="A664" t="s">
        <v>1440</v>
      </c>
      <c r="B664" t="s">
        <v>1457</v>
      </c>
      <c r="C664" t="s">
        <v>1441</v>
      </c>
      <c r="D664" t="s">
        <v>1453</v>
      </c>
      <c r="E664">
        <v>40738</v>
      </c>
      <c r="F664">
        <v>12</v>
      </c>
      <c r="G664">
        <v>7152</v>
      </c>
    </row>
    <row r="665" spans="1:7" hidden="1">
      <c r="A665" t="s">
        <v>1438</v>
      </c>
      <c r="B665" t="s">
        <v>1457</v>
      </c>
      <c r="C665" t="s">
        <v>1436</v>
      </c>
      <c r="D665" t="s">
        <v>1453</v>
      </c>
      <c r="E665">
        <v>40863</v>
      </c>
      <c r="F665">
        <v>12</v>
      </c>
      <c r="G665">
        <v>13140</v>
      </c>
    </row>
    <row r="666" spans="1:7" hidden="1">
      <c r="A666" t="s">
        <v>1444</v>
      </c>
      <c r="B666" t="s">
        <v>1457</v>
      </c>
      <c r="C666" t="s">
        <v>1445</v>
      </c>
      <c r="D666" t="s">
        <v>1452</v>
      </c>
      <c r="E666">
        <v>40330</v>
      </c>
      <c r="F666">
        <v>12</v>
      </c>
      <c r="G666">
        <v>7608</v>
      </c>
    </row>
    <row r="667" spans="1:7" hidden="1">
      <c r="A667" t="s">
        <v>1444</v>
      </c>
      <c r="B667" t="s">
        <v>1457</v>
      </c>
      <c r="C667" t="s">
        <v>1441</v>
      </c>
      <c r="D667" t="s">
        <v>1452</v>
      </c>
      <c r="E667">
        <v>40365</v>
      </c>
      <c r="F667">
        <v>12</v>
      </c>
      <c r="G667">
        <v>14340</v>
      </c>
    </row>
    <row r="668" spans="1:7" hidden="1">
      <c r="A668" t="s">
        <v>1456</v>
      </c>
      <c r="B668" t="s">
        <v>1457</v>
      </c>
      <c r="C668" t="s">
        <v>1441</v>
      </c>
      <c r="D668" t="s">
        <v>1452</v>
      </c>
      <c r="E668">
        <v>40736</v>
      </c>
      <c r="F668">
        <v>12</v>
      </c>
      <c r="G668">
        <v>6396</v>
      </c>
    </row>
    <row r="669" spans="1:7" hidden="1">
      <c r="A669" t="s">
        <v>1451</v>
      </c>
      <c r="B669" t="s">
        <v>1457</v>
      </c>
      <c r="C669" t="s">
        <v>1439</v>
      </c>
      <c r="D669" t="s">
        <v>1452</v>
      </c>
      <c r="E669">
        <v>40442</v>
      </c>
      <c r="F669">
        <v>12</v>
      </c>
      <c r="G669">
        <v>6648</v>
      </c>
    </row>
    <row r="670" spans="1:7">
      <c r="A670" t="s">
        <v>1442</v>
      </c>
      <c r="B670" t="s">
        <v>1457</v>
      </c>
      <c r="C670" t="s">
        <v>1441</v>
      </c>
      <c r="D670" t="s">
        <v>1450</v>
      </c>
      <c r="E670">
        <v>40283</v>
      </c>
      <c r="F670">
        <v>12</v>
      </c>
      <c r="G670">
        <v>14616</v>
      </c>
    </row>
    <row r="671" spans="1:7">
      <c r="A671" t="s">
        <v>1443</v>
      </c>
      <c r="B671" t="s">
        <v>1457</v>
      </c>
      <c r="C671" t="s">
        <v>1436</v>
      </c>
      <c r="D671" t="s">
        <v>1450</v>
      </c>
      <c r="E671">
        <v>40471</v>
      </c>
      <c r="F671">
        <v>12</v>
      </c>
      <c r="G671">
        <v>17388</v>
      </c>
    </row>
    <row r="672" spans="1:7" hidden="1">
      <c r="A672" t="s">
        <v>1444</v>
      </c>
      <c r="B672" t="s">
        <v>1457</v>
      </c>
      <c r="C672" t="s">
        <v>1445</v>
      </c>
      <c r="D672" t="s">
        <v>1455</v>
      </c>
      <c r="E672">
        <v>40427</v>
      </c>
      <c r="F672">
        <v>13</v>
      </c>
      <c r="G672">
        <v>18304</v>
      </c>
    </row>
    <row r="673" spans="1:7" hidden="1">
      <c r="A673" t="s">
        <v>1456</v>
      </c>
      <c r="B673" t="s">
        <v>1457</v>
      </c>
      <c r="C673" t="s">
        <v>1441</v>
      </c>
      <c r="D673" t="s">
        <v>1455</v>
      </c>
      <c r="E673">
        <v>40764</v>
      </c>
      <c r="F673">
        <v>13</v>
      </c>
      <c r="G673">
        <v>6864</v>
      </c>
    </row>
    <row r="674" spans="1:7" hidden="1">
      <c r="A674" t="s">
        <v>1444</v>
      </c>
      <c r="B674" t="s">
        <v>1457</v>
      </c>
      <c r="C674" t="s">
        <v>1439</v>
      </c>
      <c r="D674" t="s">
        <v>1455</v>
      </c>
      <c r="E674">
        <v>40275</v>
      </c>
      <c r="F674">
        <v>13</v>
      </c>
      <c r="G674">
        <v>15171</v>
      </c>
    </row>
    <row r="675" spans="1:7" hidden="1">
      <c r="A675" t="s">
        <v>1443</v>
      </c>
      <c r="B675" t="s">
        <v>1457</v>
      </c>
      <c r="C675" t="s">
        <v>1439</v>
      </c>
      <c r="D675" t="s">
        <v>1455</v>
      </c>
      <c r="E675">
        <v>40491</v>
      </c>
      <c r="F675">
        <v>13</v>
      </c>
      <c r="G675">
        <v>15821</v>
      </c>
    </row>
    <row r="676" spans="1:7" hidden="1">
      <c r="A676" t="s">
        <v>1442</v>
      </c>
      <c r="B676" t="s">
        <v>1457</v>
      </c>
      <c r="C676" t="s">
        <v>1436</v>
      </c>
      <c r="D676" t="s">
        <v>1455</v>
      </c>
      <c r="E676">
        <v>40772</v>
      </c>
      <c r="F676">
        <v>13</v>
      </c>
      <c r="G676">
        <v>14079</v>
      </c>
    </row>
    <row r="677" spans="1:7" hidden="1">
      <c r="A677" t="s">
        <v>1456</v>
      </c>
      <c r="B677" t="s">
        <v>1457</v>
      </c>
      <c r="C677" t="s">
        <v>1441</v>
      </c>
      <c r="D677" t="s">
        <v>1435</v>
      </c>
      <c r="E677">
        <v>40498</v>
      </c>
      <c r="F677">
        <v>13</v>
      </c>
      <c r="G677">
        <v>6682</v>
      </c>
    </row>
    <row r="678" spans="1:7" hidden="1">
      <c r="A678" t="s">
        <v>1440</v>
      </c>
      <c r="B678" t="s">
        <v>1457</v>
      </c>
      <c r="C678" t="s">
        <v>1439</v>
      </c>
      <c r="D678" t="s">
        <v>1435</v>
      </c>
      <c r="E678">
        <v>40518</v>
      </c>
      <c r="F678">
        <v>13</v>
      </c>
      <c r="G678">
        <v>15639</v>
      </c>
    </row>
    <row r="679" spans="1:7" hidden="1">
      <c r="A679" t="s">
        <v>1438</v>
      </c>
      <c r="B679" t="s">
        <v>1457</v>
      </c>
      <c r="C679" t="s">
        <v>1436</v>
      </c>
      <c r="D679" t="s">
        <v>1435</v>
      </c>
      <c r="E679">
        <v>40432</v>
      </c>
      <c r="F679">
        <v>13</v>
      </c>
      <c r="G679">
        <v>18226</v>
      </c>
    </row>
    <row r="680" spans="1:7" hidden="1">
      <c r="A680" t="s">
        <v>1447</v>
      </c>
      <c r="B680" t="s">
        <v>1457</v>
      </c>
      <c r="C680" t="s">
        <v>1445</v>
      </c>
      <c r="D680" t="s">
        <v>1452</v>
      </c>
      <c r="E680">
        <v>40274</v>
      </c>
      <c r="F680">
        <v>13</v>
      </c>
      <c r="G680">
        <v>12155</v>
      </c>
    </row>
    <row r="681" spans="1:7" hidden="1">
      <c r="A681" t="s">
        <v>1451</v>
      </c>
      <c r="B681" t="s">
        <v>1457</v>
      </c>
      <c r="C681" t="s">
        <v>1439</v>
      </c>
      <c r="D681" t="s">
        <v>1452</v>
      </c>
      <c r="E681">
        <v>40379</v>
      </c>
      <c r="F681">
        <v>13</v>
      </c>
      <c r="G681">
        <v>15015</v>
      </c>
    </row>
    <row r="682" spans="1:7" hidden="1">
      <c r="A682" t="s">
        <v>1449</v>
      </c>
      <c r="B682" t="s">
        <v>1457</v>
      </c>
      <c r="C682" t="s">
        <v>1439</v>
      </c>
      <c r="D682" t="s">
        <v>1435</v>
      </c>
      <c r="E682">
        <v>40218</v>
      </c>
      <c r="F682">
        <v>14</v>
      </c>
      <c r="G682">
        <v>10402</v>
      </c>
    </row>
    <row r="683" spans="1:7" hidden="1">
      <c r="A683" t="s">
        <v>1451</v>
      </c>
      <c r="B683" t="s">
        <v>1457</v>
      </c>
      <c r="C683" t="s">
        <v>1445</v>
      </c>
      <c r="D683" t="s">
        <v>1453</v>
      </c>
      <c r="E683">
        <v>40214</v>
      </c>
      <c r="F683">
        <v>14</v>
      </c>
      <c r="G683">
        <v>16632</v>
      </c>
    </row>
    <row r="684" spans="1:7" hidden="1">
      <c r="A684" t="s">
        <v>1454</v>
      </c>
      <c r="B684" t="s">
        <v>1457</v>
      </c>
      <c r="C684" t="s">
        <v>1441</v>
      </c>
      <c r="D684" t="s">
        <v>1453</v>
      </c>
      <c r="E684">
        <v>40338</v>
      </c>
      <c r="F684">
        <v>14</v>
      </c>
      <c r="G684">
        <v>16086</v>
      </c>
    </row>
    <row r="685" spans="1:7" hidden="1">
      <c r="A685" t="s">
        <v>1443</v>
      </c>
      <c r="B685" t="s">
        <v>1457</v>
      </c>
      <c r="C685" t="s">
        <v>1436</v>
      </c>
      <c r="D685" t="s">
        <v>1453</v>
      </c>
      <c r="E685">
        <v>40729</v>
      </c>
      <c r="F685">
        <v>14</v>
      </c>
      <c r="G685">
        <v>20020</v>
      </c>
    </row>
    <row r="686" spans="1:7" hidden="1">
      <c r="A686" t="s">
        <v>1438</v>
      </c>
      <c r="B686" t="s">
        <v>1457</v>
      </c>
      <c r="C686" t="s">
        <v>1445</v>
      </c>
      <c r="D686" t="s">
        <v>1452</v>
      </c>
      <c r="E686">
        <v>40438</v>
      </c>
      <c r="F686">
        <v>14</v>
      </c>
      <c r="G686">
        <v>11564</v>
      </c>
    </row>
    <row r="687" spans="1:7" hidden="1">
      <c r="A687" t="s">
        <v>1440</v>
      </c>
      <c r="B687" t="s">
        <v>1457</v>
      </c>
      <c r="C687" t="s">
        <v>1445</v>
      </c>
      <c r="D687" t="s">
        <v>1452</v>
      </c>
      <c r="E687">
        <v>40561</v>
      </c>
      <c r="F687">
        <v>14</v>
      </c>
      <c r="G687">
        <v>16422</v>
      </c>
    </row>
    <row r="688" spans="1:7" hidden="1">
      <c r="A688" t="s">
        <v>1451</v>
      </c>
      <c r="B688" t="s">
        <v>1457</v>
      </c>
      <c r="C688" t="s">
        <v>1445</v>
      </c>
      <c r="D688" t="s">
        <v>1455</v>
      </c>
      <c r="E688">
        <v>40885</v>
      </c>
      <c r="F688">
        <v>15</v>
      </c>
      <c r="G688">
        <v>8520</v>
      </c>
    </row>
    <row r="689" spans="1:7" hidden="1">
      <c r="A689" t="s">
        <v>1447</v>
      </c>
      <c r="B689" t="s">
        <v>1457</v>
      </c>
      <c r="C689" t="s">
        <v>1436</v>
      </c>
      <c r="D689" t="s">
        <v>1455</v>
      </c>
      <c r="E689">
        <v>40737</v>
      </c>
      <c r="F689">
        <v>15</v>
      </c>
      <c r="G689">
        <v>12765</v>
      </c>
    </row>
    <row r="690" spans="1:7" hidden="1">
      <c r="A690" t="s">
        <v>1440</v>
      </c>
      <c r="B690" t="s">
        <v>1457</v>
      </c>
      <c r="C690" t="s">
        <v>1445</v>
      </c>
      <c r="D690" t="s">
        <v>1435</v>
      </c>
      <c r="E690">
        <v>40225</v>
      </c>
      <c r="F690">
        <v>15</v>
      </c>
      <c r="G690">
        <v>8325</v>
      </c>
    </row>
    <row r="691" spans="1:7" hidden="1">
      <c r="A691" t="s">
        <v>1447</v>
      </c>
      <c r="B691" t="s">
        <v>1457</v>
      </c>
      <c r="C691" t="s">
        <v>1441</v>
      </c>
      <c r="D691" t="s">
        <v>1453</v>
      </c>
      <c r="E691">
        <v>40820</v>
      </c>
      <c r="F691">
        <v>15</v>
      </c>
      <c r="G691">
        <v>20790</v>
      </c>
    </row>
    <row r="692" spans="1:7" hidden="1">
      <c r="A692" t="s">
        <v>1440</v>
      </c>
      <c r="B692" t="s">
        <v>1457</v>
      </c>
      <c r="C692" t="s">
        <v>1436</v>
      </c>
      <c r="D692" t="s">
        <v>1453</v>
      </c>
      <c r="E692">
        <v>40673</v>
      </c>
      <c r="F692">
        <v>15</v>
      </c>
      <c r="G692">
        <v>19050</v>
      </c>
    </row>
    <row r="693" spans="1:7" hidden="1">
      <c r="A693" t="s">
        <v>1456</v>
      </c>
      <c r="B693" t="s">
        <v>1457</v>
      </c>
      <c r="C693" t="s">
        <v>1436</v>
      </c>
      <c r="D693" t="s">
        <v>1453</v>
      </c>
      <c r="E693">
        <v>40717</v>
      </c>
      <c r="F693">
        <v>15</v>
      </c>
      <c r="G693">
        <v>16860</v>
      </c>
    </row>
    <row r="694" spans="1:7">
      <c r="A694" t="s">
        <v>1440</v>
      </c>
      <c r="B694" t="s">
        <v>1457</v>
      </c>
      <c r="C694" t="s">
        <v>1439</v>
      </c>
      <c r="D694" t="s">
        <v>1450</v>
      </c>
      <c r="E694">
        <v>40728</v>
      </c>
      <c r="F694">
        <v>15</v>
      </c>
      <c r="G694">
        <v>13725</v>
      </c>
    </row>
    <row r="695" spans="1:7">
      <c r="A695" t="s">
        <v>1451</v>
      </c>
      <c r="B695" t="s">
        <v>1457</v>
      </c>
      <c r="C695" t="s">
        <v>1439</v>
      </c>
      <c r="D695" t="s">
        <v>1450</v>
      </c>
      <c r="E695">
        <v>40779</v>
      </c>
      <c r="F695">
        <v>15</v>
      </c>
      <c r="G695">
        <v>12450</v>
      </c>
    </row>
    <row r="696" spans="1:7">
      <c r="A696" t="s">
        <v>1456</v>
      </c>
      <c r="B696" t="s">
        <v>1457</v>
      </c>
      <c r="C696" t="s">
        <v>1436</v>
      </c>
      <c r="D696" t="s">
        <v>1450</v>
      </c>
      <c r="E696">
        <v>40798</v>
      </c>
      <c r="F696">
        <v>15</v>
      </c>
      <c r="G696">
        <v>18315</v>
      </c>
    </row>
    <row r="697" spans="1:7" hidden="1">
      <c r="A697" t="s">
        <v>1447</v>
      </c>
      <c r="B697" t="s">
        <v>1457</v>
      </c>
      <c r="C697" t="s">
        <v>1445</v>
      </c>
      <c r="D697" t="s">
        <v>1435</v>
      </c>
      <c r="E697">
        <v>40550</v>
      </c>
      <c r="F697">
        <v>16</v>
      </c>
      <c r="G697">
        <v>10880</v>
      </c>
    </row>
    <row r="698" spans="1:7" hidden="1">
      <c r="A698" t="s">
        <v>1449</v>
      </c>
      <c r="B698" t="s">
        <v>1457</v>
      </c>
      <c r="C698" t="s">
        <v>1441</v>
      </c>
      <c r="D698" t="s">
        <v>1435</v>
      </c>
      <c r="E698">
        <v>40679</v>
      </c>
      <c r="F698">
        <v>17</v>
      </c>
      <c r="G698">
        <v>10115</v>
      </c>
    </row>
    <row r="699" spans="1:7" hidden="1">
      <c r="A699" t="s">
        <v>1443</v>
      </c>
      <c r="B699" t="s">
        <v>1457</v>
      </c>
      <c r="C699" t="s">
        <v>1436</v>
      </c>
      <c r="D699" t="s">
        <v>1435</v>
      </c>
      <c r="E699">
        <v>40221</v>
      </c>
      <c r="F699">
        <v>17</v>
      </c>
      <c r="G699">
        <v>15011</v>
      </c>
    </row>
    <row r="700" spans="1:7" hidden="1">
      <c r="A700" t="s">
        <v>1456</v>
      </c>
      <c r="B700" t="s">
        <v>1457</v>
      </c>
      <c r="C700" t="s">
        <v>1439</v>
      </c>
      <c r="D700" t="s">
        <v>1435</v>
      </c>
      <c r="E700">
        <v>40618</v>
      </c>
      <c r="F700">
        <v>18</v>
      </c>
      <c r="G700">
        <v>9864</v>
      </c>
    </row>
    <row r="701" spans="1:7" hidden="1">
      <c r="A701" t="s">
        <v>1444</v>
      </c>
      <c r="B701" t="s">
        <v>1457</v>
      </c>
      <c r="C701" t="s">
        <v>1441</v>
      </c>
      <c r="D701" t="s">
        <v>1435</v>
      </c>
      <c r="E701">
        <v>40530</v>
      </c>
      <c r="F701">
        <v>19</v>
      </c>
      <c r="G701">
        <v>15371</v>
      </c>
    </row>
    <row r="702" spans="1:7" hidden="1">
      <c r="A702" t="s">
        <v>1447</v>
      </c>
      <c r="B702" t="s">
        <v>1457</v>
      </c>
      <c r="C702" t="s">
        <v>1436</v>
      </c>
      <c r="D702" t="s">
        <v>1435</v>
      </c>
      <c r="E702">
        <v>40816</v>
      </c>
      <c r="F702">
        <v>19</v>
      </c>
      <c r="G702">
        <v>28234</v>
      </c>
    </row>
    <row r="703" spans="1:7" hidden="1">
      <c r="A703" t="s">
        <v>1456</v>
      </c>
      <c r="B703" t="s">
        <v>1457</v>
      </c>
      <c r="C703" t="s">
        <v>1439</v>
      </c>
      <c r="D703" t="s">
        <v>1435</v>
      </c>
      <c r="E703">
        <v>40198</v>
      </c>
      <c r="F703">
        <v>20</v>
      </c>
      <c r="G703">
        <v>12720</v>
      </c>
    </row>
    <row r="704" spans="1:7" hidden="1">
      <c r="A704" t="s">
        <v>1449</v>
      </c>
      <c r="B704" t="s">
        <v>1457</v>
      </c>
      <c r="C704" t="s">
        <v>1439</v>
      </c>
      <c r="D704" t="s">
        <v>1435</v>
      </c>
      <c r="E704">
        <v>40451</v>
      </c>
      <c r="F704">
        <v>20</v>
      </c>
      <c r="G704">
        <v>11480</v>
      </c>
    </row>
    <row r="705" spans="1:7" hidden="1">
      <c r="A705" t="s">
        <v>1449</v>
      </c>
      <c r="B705" t="s">
        <v>1457</v>
      </c>
      <c r="C705" t="s">
        <v>1436</v>
      </c>
      <c r="D705" t="s">
        <v>1435</v>
      </c>
      <c r="E705">
        <v>40225</v>
      </c>
      <c r="F705">
        <v>20</v>
      </c>
      <c r="G705">
        <v>26840</v>
      </c>
    </row>
    <row r="706" spans="1:7" hidden="1">
      <c r="A706" t="s">
        <v>1449</v>
      </c>
      <c r="B706" t="s">
        <v>1457</v>
      </c>
      <c r="C706" t="s">
        <v>1436</v>
      </c>
      <c r="D706" t="s">
        <v>1435</v>
      </c>
      <c r="E706">
        <v>40261</v>
      </c>
      <c r="F706">
        <v>20</v>
      </c>
      <c r="G706">
        <v>16620</v>
      </c>
    </row>
    <row r="707" spans="1:7" hidden="1">
      <c r="A707" t="s">
        <v>1449</v>
      </c>
      <c r="B707" t="s">
        <v>1457</v>
      </c>
      <c r="C707" t="s">
        <v>1436</v>
      </c>
      <c r="D707" t="s">
        <v>1435</v>
      </c>
      <c r="E707">
        <v>40539</v>
      </c>
      <c r="F707">
        <v>20</v>
      </c>
      <c r="G707">
        <v>27120</v>
      </c>
    </row>
    <row r="708" spans="1:7" hidden="1">
      <c r="A708" t="s">
        <v>1446</v>
      </c>
      <c r="B708" t="s">
        <v>1437</v>
      </c>
      <c r="C708" t="s">
        <v>1441</v>
      </c>
      <c r="D708" t="s">
        <v>1455</v>
      </c>
      <c r="E708">
        <v>40445</v>
      </c>
      <c r="F708">
        <v>1</v>
      </c>
      <c r="G708">
        <v>953</v>
      </c>
    </row>
    <row r="709" spans="1:7" hidden="1">
      <c r="A709" t="s">
        <v>1444</v>
      </c>
      <c r="B709" t="s">
        <v>1437</v>
      </c>
      <c r="C709" t="s">
        <v>1436</v>
      </c>
      <c r="D709" t="s">
        <v>1455</v>
      </c>
      <c r="E709">
        <v>40549</v>
      </c>
      <c r="F709">
        <v>1</v>
      </c>
      <c r="G709">
        <v>1272</v>
      </c>
    </row>
    <row r="710" spans="1:7" hidden="1">
      <c r="A710" t="s">
        <v>1443</v>
      </c>
      <c r="B710" t="s">
        <v>1437</v>
      </c>
      <c r="C710" t="s">
        <v>1445</v>
      </c>
      <c r="D710" t="s">
        <v>1453</v>
      </c>
      <c r="E710">
        <v>40255</v>
      </c>
      <c r="F710">
        <v>1</v>
      </c>
      <c r="G710">
        <v>1775</v>
      </c>
    </row>
    <row r="711" spans="1:7" hidden="1">
      <c r="A711" t="s">
        <v>1442</v>
      </c>
      <c r="B711" t="s">
        <v>1437</v>
      </c>
      <c r="C711" t="s">
        <v>1445</v>
      </c>
      <c r="D711" t="s">
        <v>1453</v>
      </c>
      <c r="E711">
        <v>40288</v>
      </c>
      <c r="F711">
        <v>1</v>
      </c>
      <c r="G711">
        <v>419</v>
      </c>
    </row>
    <row r="712" spans="1:7" hidden="1">
      <c r="A712" t="s">
        <v>1446</v>
      </c>
      <c r="B712" t="s">
        <v>1437</v>
      </c>
      <c r="C712" t="s">
        <v>1439</v>
      </c>
      <c r="D712" t="s">
        <v>1453</v>
      </c>
      <c r="E712">
        <v>40456</v>
      </c>
      <c r="F712">
        <v>1</v>
      </c>
      <c r="G712">
        <v>950</v>
      </c>
    </row>
    <row r="713" spans="1:7" hidden="1">
      <c r="A713" t="s">
        <v>1448</v>
      </c>
      <c r="B713" t="s">
        <v>1437</v>
      </c>
      <c r="C713" t="s">
        <v>1439</v>
      </c>
      <c r="D713" t="s">
        <v>1452</v>
      </c>
      <c r="E713">
        <v>40775</v>
      </c>
      <c r="F713">
        <v>1</v>
      </c>
      <c r="G713">
        <v>1105</v>
      </c>
    </row>
    <row r="714" spans="1:7">
      <c r="A714" t="s">
        <v>1443</v>
      </c>
      <c r="B714" t="s">
        <v>1437</v>
      </c>
      <c r="C714" t="s">
        <v>1445</v>
      </c>
      <c r="D714" t="s">
        <v>1450</v>
      </c>
      <c r="E714">
        <v>40448</v>
      </c>
      <c r="F714">
        <v>1</v>
      </c>
      <c r="G714">
        <v>1174</v>
      </c>
    </row>
    <row r="715" spans="1:7">
      <c r="A715" t="s">
        <v>1438</v>
      </c>
      <c r="B715" t="s">
        <v>1437</v>
      </c>
      <c r="C715" t="s">
        <v>1441</v>
      </c>
      <c r="D715" t="s">
        <v>1450</v>
      </c>
      <c r="E715">
        <v>40243</v>
      </c>
      <c r="F715">
        <v>1</v>
      </c>
      <c r="G715">
        <v>1530</v>
      </c>
    </row>
    <row r="716" spans="1:7">
      <c r="A716" t="s">
        <v>1447</v>
      </c>
      <c r="B716" t="s">
        <v>1437</v>
      </c>
      <c r="C716" t="s">
        <v>1441</v>
      </c>
      <c r="D716" t="s">
        <v>1450</v>
      </c>
      <c r="E716">
        <v>40554</v>
      </c>
      <c r="F716">
        <v>1</v>
      </c>
      <c r="G716">
        <v>632</v>
      </c>
    </row>
    <row r="717" spans="1:7">
      <c r="A717" t="s">
        <v>1454</v>
      </c>
      <c r="B717" t="s">
        <v>1437</v>
      </c>
      <c r="C717" t="s">
        <v>1441</v>
      </c>
      <c r="D717" t="s">
        <v>1450</v>
      </c>
      <c r="E717">
        <v>40821</v>
      </c>
      <c r="F717">
        <v>1</v>
      </c>
      <c r="G717">
        <v>630</v>
      </c>
    </row>
    <row r="718" spans="1:7">
      <c r="A718" t="s">
        <v>1456</v>
      </c>
      <c r="B718" t="s">
        <v>1437</v>
      </c>
      <c r="C718" t="s">
        <v>1441</v>
      </c>
      <c r="D718" t="s">
        <v>1450</v>
      </c>
      <c r="E718">
        <v>40826</v>
      </c>
      <c r="F718">
        <v>1</v>
      </c>
      <c r="G718">
        <v>1939</v>
      </c>
    </row>
    <row r="719" spans="1:7">
      <c r="A719" t="s">
        <v>1448</v>
      </c>
      <c r="B719" t="s">
        <v>1437</v>
      </c>
      <c r="C719" t="s">
        <v>1436</v>
      </c>
      <c r="D719" t="s">
        <v>1450</v>
      </c>
      <c r="E719">
        <v>40771</v>
      </c>
      <c r="F719">
        <v>1</v>
      </c>
      <c r="G719">
        <v>1284</v>
      </c>
    </row>
    <row r="720" spans="1:7" hidden="1">
      <c r="A720" t="s">
        <v>1447</v>
      </c>
      <c r="B720" t="s">
        <v>1437</v>
      </c>
      <c r="C720" t="s">
        <v>1441</v>
      </c>
      <c r="D720" t="s">
        <v>1455</v>
      </c>
      <c r="E720">
        <v>40288</v>
      </c>
      <c r="F720">
        <v>2</v>
      </c>
      <c r="G720">
        <v>3694</v>
      </c>
    </row>
    <row r="721" spans="1:7" hidden="1">
      <c r="A721" t="s">
        <v>1448</v>
      </c>
      <c r="B721" t="s">
        <v>1437</v>
      </c>
      <c r="C721" t="s">
        <v>1441</v>
      </c>
      <c r="D721" t="s">
        <v>1455</v>
      </c>
      <c r="E721">
        <v>40859</v>
      </c>
      <c r="F721">
        <v>2</v>
      </c>
      <c r="G721">
        <v>1584</v>
      </c>
    </row>
    <row r="722" spans="1:7" hidden="1">
      <c r="A722" t="s">
        <v>1440</v>
      </c>
      <c r="B722" t="s">
        <v>1437</v>
      </c>
      <c r="C722" t="s">
        <v>1439</v>
      </c>
      <c r="D722" t="s">
        <v>1455</v>
      </c>
      <c r="E722">
        <v>40547</v>
      </c>
      <c r="F722">
        <v>2</v>
      </c>
      <c r="G722">
        <v>3768</v>
      </c>
    </row>
    <row r="723" spans="1:7" hidden="1">
      <c r="A723" t="s">
        <v>1448</v>
      </c>
      <c r="B723" t="s">
        <v>1437</v>
      </c>
      <c r="C723" t="s">
        <v>1436</v>
      </c>
      <c r="D723" t="s">
        <v>1455</v>
      </c>
      <c r="E723">
        <v>40302</v>
      </c>
      <c r="F723">
        <v>2</v>
      </c>
      <c r="G723">
        <v>2064</v>
      </c>
    </row>
    <row r="724" spans="1:7" hidden="1">
      <c r="A724" t="s">
        <v>1446</v>
      </c>
      <c r="B724" t="s">
        <v>1437</v>
      </c>
      <c r="C724" t="s">
        <v>1441</v>
      </c>
      <c r="D724" t="s">
        <v>1453</v>
      </c>
      <c r="E724">
        <v>40654</v>
      </c>
      <c r="F724">
        <v>2</v>
      </c>
      <c r="G724">
        <v>2158</v>
      </c>
    </row>
    <row r="725" spans="1:7" hidden="1">
      <c r="A725" t="s">
        <v>1438</v>
      </c>
      <c r="B725" t="s">
        <v>1437</v>
      </c>
      <c r="C725" t="s">
        <v>1436</v>
      </c>
      <c r="D725" t="s">
        <v>1453</v>
      </c>
      <c r="E725">
        <v>40589</v>
      </c>
      <c r="F725">
        <v>2</v>
      </c>
      <c r="G725">
        <v>2020</v>
      </c>
    </row>
    <row r="726" spans="1:7" hidden="1">
      <c r="A726" t="s">
        <v>1451</v>
      </c>
      <c r="B726" t="s">
        <v>1437</v>
      </c>
      <c r="C726" t="s">
        <v>1441</v>
      </c>
      <c r="D726" t="s">
        <v>1452</v>
      </c>
      <c r="E726">
        <v>40181</v>
      </c>
      <c r="F726">
        <v>2</v>
      </c>
      <c r="G726">
        <v>1430</v>
      </c>
    </row>
    <row r="727" spans="1:7" hidden="1">
      <c r="A727" t="s">
        <v>1448</v>
      </c>
      <c r="B727" t="s">
        <v>1437</v>
      </c>
      <c r="C727" t="s">
        <v>1441</v>
      </c>
      <c r="D727" t="s">
        <v>1452</v>
      </c>
      <c r="E727">
        <v>40491</v>
      </c>
      <c r="F727">
        <v>2</v>
      </c>
      <c r="G727">
        <v>3698</v>
      </c>
    </row>
    <row r="728" spans="1:7" hidden="1">
      <c r="A728" t="s">
        <v>1443</v>
      </c>
      <c r="B728" t="s">
        <v>1437</v>
      </c>
      <c r="C728" t="s">
        <v>1439</v>
      </c>
      <c r="D728" t="s">
        <v>1452</v>
      </c>
      <c r="E728">
        <v>40353</v>
      </c>
      <c r="F728">
        <v>2</v>
      </c>
      <c r="G728">
        <v>1146</v>
      </c>
    </row>
    <row r="729" spans="1:7" hidden="1">
      <c r="A729" t="s">
        <v>1443</v>
      </c>
      <c r="B729" t="s">
        <v>1437</v>
      </c>
      <c r="C729" t="s">
        <v>1436</v>
      </c>
      <c r="D729" t="s">
        <v>1452</v>
      </c>
      <c r="E729">
        <v>40481</v>
      </c>
      <c r="F729">
        <v>2</v>
      </c>
      <c r="G729">
        <v>1660</v>
      </c>
    </row>
    <row r="730" spans="1:7">
      <c r="A730" t="s">
        <v>1447</v>
      </c>
      <c r="B730" t="s">
        <v>1437</v>
      </c>
      <c r="C730" t="s">
        <v>1445</v>
      </c>
      <c r="D730" t="s">
        <v>1450</v>
      </c>
      <c r="E730">
        <v>40274</v>
      </c>
      <c r="F730">
        <v>2</v>
      </c>
      <c r="G730">
        <v>1020</v>
      </c>
    </row>
    <row r="731" spans="1:7">
      <c r="A731" t="s">
        <v>1440</v>
      </c>
      <c r="B731" t="s">
        <v>1437</v>
      </c>
      <c r="C731" t="s">
        <v>1445</v>
      </c>
      <c r="D731" t="s">
        <v>1450</v>
      </c>
      <c r="E731">
        <v>40470</v>
      </c>
      <c r="F731">
        <v>2</v>
      </c>
      <c r="G731">
        <v>3370</v>
      </c>
    </row>
    <row r="732" spans="1:7">
      <c r="A732" t="s">
        <v>1446</v>
      </c>
      <c r="B732" t="s">
        <v>1437</v>
      </c>
      <c r="C732" t="s">
        <v>1441</v>
      </c>
      <c r="D732" t="s">
        <v>1450</v>
      </c>
      <c r="E732">
        <v>40396</v>
      </c>
      <c r="F732">
        <v>2</v>
      </c>
      <c r="G732">
        <v>1644</v>
      </c>
    </row>
    <row r="733" spans="1:7">
      <c r="A733" t="s">
        <v>1449</v>
      </c>
      <c r="B733" t="s">
        <v>1437</v>
      </c>
      <c r="C733" t="s">
        <v>1441</v>
      </c>
      <c r="D733" t="s">
        <v>1450</v>
      </c>
      <c r="E733">
        <v>40875</v>
      </c>
      <c r="F733">
        <v>2</v>
      </c>
      <c r="G733">
        <v>3766</v>
      </c>
    </row>
    <row r="734" spans="1:7" hidden="1">
      <c r="A734" t="s">
        <v>1443</v>
      </c>
      <c r="B734" t="s">
        <v>1437</v>
      </c>
      <c r="C734" t="s">
        <v>1445</v>
      </c>
      <c r="D734" t="s">
        <v>1455</v>
      </c>
      <c r="E734">
        <v>40318</v>
      </c>
      <c r="F734">
        <v>3</v>
      </c>
      <c r="G734">
        <v>4161</v>
      </c>
    </row>
    <row r="735" spans="1:7" hidden="1">
      <c r="A735" t="s">
        <v>1440</v>
      </c>
      <c r="B735" t="s">
        <v>1437</v>
      </c>
      <c r="C735" t="s">
        <v>1445</v>
      </c>
      <c r="D735" t="s">
        <v>1455</v>
      </c>
      <c r="E735">
        <v>40385</v>
      </c>
      <c r="F735">
        <v>3</v>
      </c>
      <c r="G735">
        <v>4566</v>
      </c>
    </row>
    <row r="736" spans="1:7" hidden="1">
      <c r="A736" t="s">
        <v>1438</v>
      </c>
      <c r="B736" t="s">
        <v>1437</v>
      </c>
      <c r="C736" t="s">
        <v>1445</v>
      </c>
      <c r="D736" t="s">
        <v>1455</v>
      </c>
      <c r="E736">
        <v>40536</v>
      </c>
      <c r="F736">
        <v>3</v>
      </c>
      <c r="G736">
        <v>1953</v>
      </c>
    </row>
    <row r="737" spans="1:7" hidden="1">
      <c r="A737" t="s">
        <v>1440</v>
      </c>
      <c r="B737" t="s">
        <v>1437</v>
      </c>
      <c r="C737" t="s">
        <v>1439</v>
      </c>
      <c r="D737" t="s">
        <v>1455</v>
      </c>
      <c r="E737">
        <v>40710</v>
      </c>
      <c r="F737">
        <v>3</v>
      </c>
      <c r="G737">
        <v>1617</v>
      </c>
    </row>
    <row r="738" spans="1:7" hidden="1">
      <c r="A738" t="s">
        <v>1443</v>
      </c>
      <c r="B738" t="s">
        <v>1437</v>
      </c>
      <c r="C738" t="s">
        <v>1436</v>
      </c>
      <c r="D738" t="s">
        <v>1455</v>
      </c>
      <c r="E738">
        <v>40406</v>
      </c>
      <c r="F738">
        <v>3</v>
      </c>
      <c r="G738">
        <v>3030</v>
      </c>
    </row>
    <row r="739" spans="1:7" hidden="1">
      <c r="A739" t="s">
        <v>1448</v>
      </c>
      <c r="B739" t="s">
        <v>1437</v>
      </c>
      <c r="C739" t="s">
        <v>1445</v>
      </c>
      <c r="D739" t="s">
        <v>1453</v>
      </c>
      <c r="E739">
        <v>40270</v>
      </c>
      <c r="F739">
        <v>3</v>
      </c>
      <c r="G739">
        <v>1356</v>
      </c>
    </row>
    <row r="740" spans="1:7" hidden="1">
      <c r="A740" t="s">
        <v>1443</v>
      </c>
      <c r="B740" t="s">
        <v>1437</v>
      </c>
      <c r="C740" t="s">
        <v>1439</v>
      </c>
      <c r="D740" t="s">
        <v>1453</v>
      </c>
      <c r="E740">
        <v>40322</v>
      </c>
      <c r="F740">
        <v>3</v>
      </c>
      <c r="G740">
        <v>4812</v>
      </c>
    </row>
    <row r="741" spans="1:7" hidden="1">
      <c r="A741" t="s">
        <v>1442</v>
      </c>
      <c r="B741" t="s">
        <v>1437</v>
      </c>
      <c r="C741" t="s">
        <v>1439</v>
      </c>
      <c r="D741" t="s">
        <v>1452</v>
      </c>
      <c r="E741">
        <v>40464</v>
      </c>
      <c r="F741">
        <v>3</v>
      </c>
      <c r="G741">
        <v>3372</v>
      </c>
    </row>
    <row r="742" spans="1:7">
      <c r="A742" t="s">
        <v>1440</v>
      </c>
      <c r="B742" t="s">
        <v>1437</v>
      </c>
      <c r="C742" t="s">
        <v>1441</v>
      </c>
      <c r="D742" t="s">
        <v>1450</v>
      </c>
      <c r="E742">
        <v>40739</v>
      </c>
      <c r="F742">
        <v>3</v>
      </c>
      <c r="G742">
        <v>4104</v>
      </c>
    </row>
    <row r="743" spans="1:7">
      <c r="A743" t="s">
        <v>1448</v>
      </c>
      <c r="B743" t="s">
        <v>1437</v>
      </c>
      <c r="C743" t="s">
        <v>1439</v>
      </c>
      <c r="D743" t="s">
        <v>1450</v>
      </c>
      <c r="E743">
        <v>40862</v>
      </c>
      <c r="F743">
        <v>3</v>
      </c>
      <c r="G743">
        <v>5571</v>
      </c>
    </row>
    <row r="744" spans="1:7">
      <c r="A744" t="s">
        <v>1438</v>
      </c>
      <c r="B744" t="s">
        <v>1437</v>
      </c>
      <c r="C744" t="s">
        <v>1436</v>
      </c>
      <c r="D744" t="s">
        <v>1450</v>
      </c>
      <c r="E744">
        <v>40498</v>
      </c>
      <c r="F744">
        <v>3</v>
      </c>
      <c r="G744">
        <v>3615</v>
      </c>
    </row>
    <row r="745" spans="1:7" hidden="1">
      <c r="A745" t="s">
        <v>1447</v>
      </c>
      <c r="B745" t="s">
        <v>1437</v>
      </c>
      <c r="C745" t="s">
        <v>1445</v>
      </c>
      <c r="D745" t="s">
        <v>1455</v>
      </c>
      <c r="E745">
        <v>40218</v>
      </c>
      <c r="F745">
        <v>4</v>
      </c>
      <c r="G745">
        <v>3148</v>
      </c>
    </row>
    <row r="746" spans="1:7" hidden="1">
      <c r="A746" t="s">
        <v>1438</v>
      </c>
      <c r="B746" t="s">
        <v>1437</v>
      </c>
      <c r="C746" t="s">
        <v>1441</v>
      </c>
      <c r="D746" t="s">
        <v>1455</v>
      </c>
      <c r="E746">
        <v>40474</v>
      </c>
      <c r="F746">
        <v>4</v>
      </c>
      <c r="G746">
        <v>6728</v>
      </c>
    </row>
    <row r="747" spans="1:7" hidden="1">
      <c r="A747" t="s">
        <v>1449</v>
      </c>
      <c r="B747" t="s">
        <v>1437</v>
      </c>
      <c r="C747" t="s">
        <v>1439</v>
      </c>
      <c r="D747" t="s">
        <v>1455</v>
      </c>
      <c r="E747">
        <v>40197</v>
      </c>
      <c r="F747">
        <v>4</v>
      </c>
      <c r="G747">
        <v>4532</v>
      </c>
    </row>
    <row r="748" spans="1:7" hidden="1">
      <c r="A748" t="s">
        <v>1456</v>
      </c>
      <c r="B748" t="s">
        <v>1437</v>
      </c>
      <c r="C748" t="s">
        <v>1439</v>
      </c>
      <c r="D748" t="s">
        <v>1455</v>
      </c>
      <c r="E748">
        <v>40206</v>
      </c>
      <c r="F748">
        <v>4</v>
      </c>
      <c r="G748">
        <v>3388</v>
      </c>
    </row>
    <row r="749" spans="1:7" hidden="1">
      <c r="A749" t="s">
        <v>1449</v>
      </c>
      <c r="B749" t="s">
        <v>1437</v>
      </c>
      <c r="C749" t="s">
        <v>1439</v>
      </c>
      <c r="D749" t="s">
        <v>1455</v>
      </c>
      <c r="E749">
        <v>40638</v>
      </c>
      <c r="F749">
        <v>4</v>
      </c>
      <c r="G749">
        <v>2420</v>
      </c>
    </row>
    <row r="750" spans="1:7" hidden="1">
      <c r="A750" t="s">
        <v>1448</v>
      </c>
      <c r="B750" t="s">
        <v>1437</v>
      </c>
      <c r="C750" t="s">
        <v>1445</v>
      </c>
      <c r="D750" t="s">
        <v>1453</v>
      </c>
      <c r="E750">
        <v>40626</v>
      </c>
      <c r="F750">
        <v>4</v>
      </c>
      <c r="G750">
        <v>5192</v>
      </c>
    </row>
    <row r="751" spans="1:7" hidden="1">
      <c r="A751" t="s">
        <v>1440</v>
      </c>
      <c r="B751" t="s">
        <v>1437</v>
      </c>
      <c r="C751" t="s">
        <v>1441</v>
      </c>
      <c r="D751" t="s">
        <v>1453</v>
      </c>
      <c r="E751">
        <v>40290</v>
      </c>
      <c r="F751">
        <v>4</v>
      </c>
      <c r="G751">
        <v>6340</v>
      </c>
    </row>
    <row r="752" spans="1:7" hidden="1">
      <c r="A752" t="s">
        <v>1451</v>
      </c>
      <c r="B752" t="s">
        <v>1437</v>
      </c>
      <c r="C752" t="s">
        <v>1439</v>
      </c>
      <c r="D752" t="s">
        <v>1453</v>
      </c>
      <c r="E752">
        <v>40393</v>
      </c>
      <c r="F752">
        <v>4</v>
      </c>
      <c r="G752">
        <v>4672</v>
      </c>
    </row>
    <row r="753" spans="1:7" hidden="1">
      <c r="A753" t="s">
        <v>1449</v>
      </c>
      <c r="B753" t="s">
        <v>1437</v>
      </c>
      <c r="C753" t="s">
        <v>1445</v>
      </c>
      <c r="D753" t="s">
        <v>1452</v>
      </c>
      <c r="E753">
        <v>40189</v>
      </c>
      <c r="F753">
        <v>4</v>
      </c>
      <c r="G753">
        <v>1816</v>
      </c>
    </row>
    <row r="754" spans="1:7" hidden="1">
      <c r="A754" t="s">
        <v>1449</v>
      </c>
      <c r="B754" t="s">
        <v>1437</v>
      </c>
      <c r="C754" t="s">
        <v>1445</v>
      </c>
      <c r="D754" t="s">
        <v>1452</v>
      </c>
      <c r="E754">
        <v>40280</v>
      </c>
      <c r="F754">
        <v>4</v>
      </c>
      <c r="G754">
        <v>3640</v>
      </c>
    </row>
    <row r="755" spans="1:7" hidden="1">
      <c r="A755" t="s">
        <v>1442</v>
      </c>
      <c r="B755" t="s">
        <v>1437</v>
      </c>
      <c r="C755" t="s">
        <v>1445</v>
      </c>
      <c r="D755" t="s">
        <v>1452</v>
      </c>
      <c r="E755">
        <v>40662</v>
      </c>
      <c r="F755">
        <v>4</v>
      </c>
      <c r="G755">
        <v>5520</v>
      </c>
    </row>
    <row r="756" spans="1:7" hidden="1">
      <c r="A756" t="s">
        <v>1443</v>
      </c>
      <c r="B756" t="s">
        <v>1437</v>
      </c>
      <c r="C756" t="s">
        <v>1439</v>
      </c>
      <c r="D756" t="s">
        <v>1452</v>
      </c>
      <c r="E756">
        <v>40617</v>
      </c>
      <c r="F756">
        <v>4</v>
      </c>
      <c r="G756">
        <v>2728</v>
      </c>
    </row>
    <row r="757" spans="1:7" hidden="1">
      <c r="A757" t="s">
        <v>1443</v>
      </c>
      <c r="B757" t="s">
        <v>1437</v>
      </c>
      <c r="C757" t="s">
        <v>1445</v>
      </c>
      <c r="D757" t="s">
        <v>1455</v>
      </c>
      <c r="E757">
        <v>40432</v>
      </c>
      <c r="F757">
        <v>5</v>
      </c>
      <c r="G757">
        <v>7945</v>
      </c>
    </row>
    <row r="758" spans="1:7" hidden="1">
      <c r="A758" t="s">
        <v>1448</v>
      </c>
      <c r="B758" t="s">
        <v>1437</v>
      </c>
      <c r="C758" t="s">
        <v>1445</v>
      </c>
      <c r="D758" t="s">
        <v>1455</v>
      </c>
      <c r="E758">
        <v>40781</v>
      </c>
      <c r="F758">
        <v>5</v>
      </c>
      <c r="G758">
        <v>6735</v>
      </c>
    </row>
    <row r="759" spans="1:7" hidden="1">
      <c r="A759" t="s">
        <v>1449</v>
      </c>
      <c r="B759" t="s">
        <v>1437</v>
      </c>
      <c r="C759" t="s">
        <v>1441</v>
      </c>
      <c r="D759" t="s">
        <v>1455</v>
      </c>
      <c r="E759">
        <v>40248</v>
      </c>
      <c r="F759">
        <v>5</v>
      </c>
      <c r="G759">
        <v>8155</v>
      </c>
    </row>
    <row r="760" spans="1:7" hidden="1">
      <c r="A760" t="s">
        <v>1451</v>
      </c>
      <c r="B760" t="s">
        <v>1437</v>
      </c>
      <c r="C760" t="s">
        <v>1445</v>
      </c>
      <c r="D760" t="s">
        <v>1452</v>
      </c>
      <c r="E760">
        <v>40413</v>
      </c>
      <c r="F760">
        <v>5</v>
      </c>
      <c r="G760">
        <v>3005</v>
      </c>
    </row>
    <row r="761" spans="1:7" hidden="1">
      <c r="A761" t="s">
        <v>1448</v>
      </c>
      <c r="B761" t="s">
        <v>1437</v>
      </c>
      <c r="C761" t="s">
        <v>1445</v>
      </c>
      <c r="D761" t="s">
        <v>1452</v>
      </c>
      <c r="E761">
        <v>40761</v>
      </c>
      <c r="F761">
        <v>5</v>
      </c>
      <c r="G761">
        <v>7640</v>
      </c>
    </row>
    <row r="762" spans="1:7" hidden="1">
      <c r="A762" t="s">
        <v>1446</v>
      </c>
      <c r="B762" t="s">
        <v>1437</v>
      </c>
      <c r="C762" t="s">
        <v>1439</v>
      </c>
      <c r="D762" t="s">
        <v>1452</v>
      </c>
      <c r="E762">
        <v>40739</v>
      </c>
      <c r="F762">
        <v>5</v>
      </c>
      <c r="G762">
        <v>4230</v>
      </c>
    </row>
    <row r="763" spans="1:7" hidden="1">
      <c r="A763" t="s">
        <v>1447</v>
      </c>
      <c r="B763" t="s">
        <v>1437</v>
      </c>
      <c r="C763" t="s">
        <v>1439</v>
      </c>
      <c r="D763" t="s">
        <v>1452</v>
      </c>
      <c r="E763">
        <v>40890</v>
      </c>
      <c r="F763">
        <v>5</v>
      </c>
      <c r="G763">
        <v>4795</v>
      </c>
    </row>
    <row r="764" spans="1:7" hidden="1">
      <c r="A764" t="s">
        <v>1440</v>
      </c>
      <c r="B764" t="s">
        <v>1437</v>
      </c>
      <c r="C764" t="s">
        <v>1436</v>
      </c>
      <c r="D764" t="s">
        <v>1452</v>
      </c>
      <c r="E764">
        <v>40285</v>
      </c>
      <c r="F764">
        <v>5</v>
      </c>
      <c r="G764">
        <v>5940</v>
      </c>
    </row>
    <row r="765" spans="1:7" hidden="1">
      <c r="A765" t="s">
        <v>1449</v>
      </c>
      <c r="B765" t="s">
        <v>1437</v>
      </c>
      <c r="C765" t="s">
        <v>1436</v>
      </c>
      <c r="D765" t="s">
        <v>1452</v>
      </c>
      <c r="E765">
        <v>40672</v>
      </c>
      <c r="F765">
        <v>5</v>
      </c>
      <c r="G765">
        <v>6530</v>
      </c>
    </row>
    <row r="766" spans="1:7" hidden="1">
      <c r="A766" t="s">
        <v>1448</v>
      </c>
      <c r="B766" t="s">
        <v>1437</v>
      </c>
      <c r="C766" t="s">
        <v>1436</v>
      </c>
      <c r="D766" t="s">
        <v>1452</v>
      </c>
      <c r="E766">
        <v>40785</v>
      </c>
      <c r="F766">
        <v>5</v>
      </c>
      <c r="G766">
        <v>2625</v>
      </c>
    </row>
    <row r="767" spans="1:7" hidden="1">
      <c r="A767" t="s">
        <v>1447</v>
      </c>
      <c r="B767" t="s">
        <v>1437</v>
      </c>
      <c r="C767" t="s">
        <v>1445</v>
      </c>
      <c r="D767" t="s">
        <v>1455</v>
      </c>
      <c r="E767">
        <v>40218</v>
      </c>
      <c r="F767">
        <v>6</v>
      </c>
      <c r="G767">
        <v>6480</v>
      </c>
    </row>
    <row r="768" spans="1:7" hidden="1">
      <c r="A768" t="s">
        <v>1447</v>
      </c>
      <c r="B768" t="s">
        <v>1437</v>
      </c>
      <c r="C768" t="s">
        <v>1445</v>
      </c>
      <c r="D768" t="s">
        <v>1455</v>
      </c>
      <c r="E768">
        <v>40281</v>
      </c>
      <c r="F768">
        <v>6</v>
      </c>
      <c r="G768">
        <v>11286</v>
      </c>
    </row>
    <row r="769" spans="1:7" hidden="1">
      <c r="A769" t="s">
        <v>1448</v>
      </c>
      <c r="B769" t="s">
        <v>1437</v>
      </c>
      <c r="C769" t="s">
        <v>1441</v>
      </c>
      <c r="D769" t="s">
        <v>1455</v>
      </c>
      <c r="E769">
        <v>40593</v>
      </c>
      <c r="F769">
        <v>6</v>
      </c>
      <c r="G769">
        <v>2736</v>
      </c>
    </row>
    <row r="770" spans="1:7" hidden="1">
      <c r="A770" t="s">
        <v>1454</v>
      </c>
      <c r="B770" t="s">
        <v>1437</v>
      </c>
      <c r="C770" t="s">
        <v>1439</v>
      </c>
      <c r="D770" t="s">
        <v>1455</v>
      </c>
      <c r="E770">
        <v>40837</v>
      </c>
      <c r="F770">
        <v>6</v>
      </c>
      <c r="G770">
        <v>6192</v>
      </c>
    </row>
    <row r="771" spans="1:7" hidden="1">
      <c r="A771" t="s">
        <v>1446</v>
      </c>
      <c r="B771" t="s">
        <v>1437</v>
      </c>
      <c r="C771" t="s">
        <v>1436</v>
      </c>
      <c r="D771" t="s">
        <v>1455</v>
      </c>
      <c r="E771">
        <v>40633</v>
      </c>
      <c r="F771">
        <v>6</v>
      </c>
      <c r="G771">
        <v>7836</v>
      </c>
    </row>
    <row r="772" spans="1:7" hidden="1">
      <c r="A772" t="s">
        <v>1438</v>
      </c>
      <c r="B772" t="s">
        <v>1437</v>
      </c>
      <c r="C772" t="s">
        <v>1439</v>
      </c>
      <c r="D772" t="s">
        <v>1435</v>
      </c>
      <c r="E772">
        <v>40408</v>
      </c>
      <c r="F772">
        <v>6</v>
      </c>
      <c r="G772">
        <v>11640</v>
      </c>
    </row>
    <row r="773" spans="1:7" hidden="1">
      <c r="A773" t="s">
        <v>1438</v>
      </c>
      <c r="B773" t="s">
        <v>1437</v>
      </c>
      <c r="C773" t="s">
        <v>1439</v>
      </c>
      <c r="D773" t="s">
        <v>1435</v>
      </c>
      <c r="E773">
        <v>40451</v>
      </c>
      <c r="F773">
        <v>6</v>
      </c>
      <c r="G773">
        <v>7320</v>
      </c>
    </row>
    <row r="774" spans="1:7" hidden="1">
      <c r="A774" t="s">
        <v>1447</v>
      </c>
      <c r="B774" t="s">
        <v>1437</v>
      </c>
      <c r="C774" t="s">
        <v>1445</v>
      </c>
      <c r="D774" t="s">
        <v>1453</v>
      </c>
      <c r="E774">
        <v>40539</v>
      </c>
      <c r="F774">
        <v>6</v>
      </c>
      <c r="G774">
        <v>9846</v>
      </c>
    </row>
    <row r="775" spans="1:7" hidden="1">
      <c r="A775" t="s">
        <v>1440</v>
      </c>
      <c r="B775" t="s">
        <v>1437</v>
      </c>
      <c r="C775" t="s">
        <v>1441</v>
      </c>
      <c r="D775" t="s">
        <v>1453</v>
      </c>
      <c r="E775">
        <v>40352</v>
      </c>
      <c r="F775">
        <v>6</v>
      </c>
      <c r="G775">
        <v>8262</v>
      </c>
    </row>
    <row r="776" spans="1:7" hidden="1">
      <c r="A776" t="s">
        <v>1442</v>
      </c>
      <c r="B776" t="s">
        <v>1437</v>
      </c>
      <c r="C776" t="s">
        <v>1436</v>
      </c>
      <c r="D776" t="s">
        <v>1453</v>
      </c>
      <c r="E776">
        <v>40640</v>
      </c>
      <c r="F776">
        <v>6</v>
      </c>
      <c r="G776">
        <v>10890</v>
      </c>
    </row>
    <row r="777" spans="1:7" hidden="1">
      <c r="A777" t="s">
        <v>1446</v>
      </c>
      <c r="B777" t="s">
        <v>1437</v>
      </c>
      <c r="C777" t="s">
        <v>1436</v>
      </c>
      <c r="D777" t="s">
        <v>1453</v>
      </c>
      <c r="E777">
        <v>40806</v>
      </c>
      <c r="F777">
        <v>6</v>
      </c>
      <c r="G777">
        <v>5322</v>
      </c>
    </row>
    <row r="778" spans="1:7" hidden="1">
      <c r="A778" t="s">
        <v>1451</v>
      </c>
      <c r="B778" t="s">
        <v>1437</v>
      </c>
      <c r="C778" t="s">
        <v>1445</v>
      </c>
      <c r="D778" t="s">
        <v>1452</v>
      </c>
      <c r="E778">
        <v>40186</v>
      </c>
      <c r="F778">
        <v>6</v>
      </c>
      <c r="G778">
        <v>4692</v>
      </c>
    </row>
    <row r="779" spans="1:7" hidden="1">
      <c r="A779" t="s">
        <v>1449</v>
      </c>
      <c r="B779" t="s">
        <v>1437</v>
      </c>
      <c r="C779" t="s">
        <v>1441</v>
      </c>
      <c r="D779" t="s">
        <v>1452</v>
      </c>
      <c r="E779">
        <v>40640</v>
      </c>
      <c r="F779">
        <v>6</v>
      </c>
      <c r="G779">
        <v>4044</v>
      </c>
    </row>
    <row r="780" spans="1:7">
      <c r="A780" t="s">
        <v>1448</v>
      </c>
      <c r="B780" t="s">
        <v>1437</v>
      </c>
      <c r="C780" t="s">
        <v>1445</v>
      </c>
      <c r="D780" t="s">
        <v>1450</v>
      </c>
      <c r="E780">
        <v>40274</v>
      </c>
      <c r="F780">
        <v>6</v>
      </c>
      <c r="G780">
        <v>4878</v>
      </c>
    </row>
    <row r="781" spans="1:7">
      <c r="A781" t="s">
        <v>1444</v>
      </c>
      <c r="B781" t="s">
        <v>1437</v>
      </c>
      <c r="C781" t="s">
        <v>1441</v>
      </c>
      <c r="D781" t="s">
        <v>1450</v>
      </c>
      <c r="E781">
        <v>40456</v>
      </c>
      <c r="F781">
        <v>6</v>
      </c>
      <c r="G781">
        <v>4296</v>
      </c>
    </row>
    <row r="782" spans="1:7">
      <c r="A782" t="s">
        <v>1447</v>
      </c>
      <c r="B782" t="s">
        <v>1437</v>
      </c>
      <c r="C782" t="s">
        <v>1439</v>
      </c>
      <c r="D782" t="s">
        <v>1450</v>
      </c>
      <c r="E782">
        <v>40261</v>
      </c>
      <c r="F782">
        <v>6</v>
      </c>
      <c r="G782">
        <v>5616</v>
      </c>
    </row>
    <row r="783" spans="1:7">
      <c r="A783" t="s">
        <v>1443</v>
      </c>
      <c r="B783" t="s">
        <v>1437</v>
      </c>
      <c r="C783" t="s">
        <v>1439</v>
      </c>
      <c r="D783" t="s">
        <v>1450</v>
      </c>
      <c r="E783">
        <v>40806</v>
      </c>
      <c r="F783">
        <v>6</v>
      </c>
      <c r="G783">
        <v>10428</v>
      </c>
    </row>
    <row r="784" spans="1:7" hidden="1">
      <c r="A784" t="s">
        <v>1449</v>
      </c>
      <c r="B784" t="s">
        <v>1437</v>
      </c>
      <c r="C784" t="s">
        <v>1445</v>
      </c>
      <c r="D784" t="s">
        <v>1455</v>
      </c>
      <c r="E784">
        <v>40700</v>
      </c>
      <c r="F784">
        <v>7</v>
      </c>
      <c r="G784">
        <v>12033</v>
      </c>
    </row>
    <row r="785" spans="1:7" hidden="1">
      <c r="A785" t="s">
        <v>1442</v>
      </c>
      <c r="B785" t="s">
        <v>1437</v>
      </c>
      <c r="C785" t="s">
        <v>1445</v>
      </c>
      <c r="D785" t="s">
        <v>1455</v>
      </c>
      <c r="E785">
        <v>40883</v>
      </c>
      <c r="F785">
        <v>7</v>
      </c>
      <c r="G785">
        <v>10493</v>
      </c>
    </row>
    <row r="786" spans="1:7" hidden="1">
      <c r="A786" t="s">
        <v>1446</v>
      </c>
      <c r="B786" t="s">
        <v>1437</v>
      </c>
      <c r="C786" t="s">
        <v>1441</v>
      </c>
      <c r="D786" t="s">
        <v>1455</v>
      </c>
      <c r="E786">
        <v>40642</v>
      </c>
      <c r="F786">
        <v>7</v>
      </c>
      <c r="G786">
        <v>5327</v>
      </c>
    </row>
    <row r="787" spans="1:7" hidden="1">
      <c r="A787" t="s">
        <v>1440</v>
      </c>
      <c r="B787" t="s">
        <v>1437</v>
      </c>
      <c r="C787" t="s">
        <v>1439</v>
      </c>
      <c r="D787" t="s">
        <v>1455</v>
      </c>
      <c r="E787">
        <v>40470</v>
      </c>
      <c r="F787">
        <v>7</v>
      </c>
      <c r="G787">
        <v>12467</v>
      </c>
    </row>
    <row r="788" spans="1:7" hidden="1">
      <c r="A788" t="s">
        <v>1438</v>
      </c>
      <c r="B788" t="s">
        <v>1437</v>
      </c>
      <c r="C788" t="s">
        <v>1436</v>
      </c>
      <c r="D788" t="s">
        <v>1455</v>
      </c>
      <c r="E788">
        <v>40590</v>
      </c>
      <c r="F788">
        <v>7</v>
      </c>
      <c r="G788">
        <v>4473</v>
      </c>
    </row>
    <row r="789" spans="1:7" hidden="1">
      <c r="A789" t="s">
        <v>1444</v>
      </c>
      <c r="B789" t="s">
        <v>1437</v>
      </c>
      <c r="C789" t="s">
        <v>1445</v>
      </c>
      <c r="D789" t="s">
        <v>1435</v>
      </c>
      <c r="E789">
        <v>40393</v>
      </c>
      <c r="F789">
        <v>7</v>
      </c>
      <c r="G789">
        <v>12467</v>
      </c>
    </row>
    <row r="790" spans="1:7" hidden="1">
      <c r="A790" t="s">
        <v>1448</v>
      </c>
      <c r="B790" t="s">
        <v>1437</v>
      </c>
      <c r="C790" t="s">
        <v>1441</v>
      </c>
      <c r="D790" t="s">
        <v>1435</v>
      </c>
      <c r="E790">
        <v>40203</v>
      </c>
      <c r="F790">
        <v>7</v>
      </c>
      <c r="G790">
        <v>8694</v>
      </c>
    </row>
    <row r="791" spans="1:7" hidden="1">
      <c r="A791" t="s">
        <v>1448</v>
      </c>
      <c r="B791" t="s">
        <v>1437</v>
      </c>
      <c r="C791" t="s">
        <v>1439</v>
      </c>
      <c r="D791" t="s">
        <v>1435</v>
      </c>
      <c r="E791">
        <v>40683</v>
      </c>
      <c r="F791">
        <v>7</v>
      </c>
      <c r="G791">
        <v>6062</v>
      </c>
    </row>
    <row r="792" spans="1:7" hidden="1">
      <c r="A792" t="s">
        <v>1444</v>
      </c>
      <c r="B792" t="s">
        <v>1437</v>
      </c>
      <c r="C792" t="s">
        <v>1436</v>
      </c>
      <c r="D792" t="s">
        <v>1435</v>
      </c>
      <c r="E792">
        <v>40427</v>
      </c>
      <c r="F792">
        <v>7</v>
      </c>
      <c r="G792">
        <v>10164</v>
      </c>
    </row>
    <row r="793" spans="1:7" hidden="1">
      <c r="A793" t="s">
        <v>1444</v>
      </c>
      <c r="B793" t="s">
        <v>1437</v>
      </c>
      <c r="C793" t="s">
        <v>1445</v>
      </c>
      <c r="D793" t="s">
        <v>1452</v>
      </c>
      <c r="E793">
        <v>40499</v>
      </c>
      <c r="F793">
        <v>7</v>
      </c>
      <c r="G793">
        <v>8288</v>
      </c>
    </row>
    <row r="794" spans="1:7">
      <c r="A794" t="s">
        <v>1449</v>
      </c>
      <c r="B794" t="s">
        <v>1437</v>
      </c>
      <c r="C794" t="s">
        <v>1445</v>
      </c>
      <c r="D794" t="s">
        <v>1450</v>
      </c>
      <c r="E794">
        <v>40290</v>
      </c>
      <c r="F794">
        <v>7</v>
      </c>
      <c r="G794">
        <v>6307</v>
      </c>
    </row>
    <row r="795" spans="1:7">
      <c r="A795" t="s">
        <v>1440</v>
      </c>
      <c r="B795" t="s">
        <v>1437</v>
      </c>
      <c r="C795" t="s">
        <v>1445</v>
      </c>
      <c r="D795" t="s">
        <v>1450</v>
      </c>
      <c r="E795">
        <v>40380</v>
      </c>
      <c r="F795">
        <v>7</v>
      </c>
      <c r="G795">
        <v>13265</v>
      </c>
    </row>
    <row r="796" spans="1:7" hidden="1">
      <c r="A796" t="s">
        <v>1447</v>
      </c>
      <c r="B796" t="s">
        <v>1437</v>
      </c>
      <c r="C796" t="s">
        <v>1439</v>
      </c>
      <c r="D796" t="s">
        <v>1455</v>
      </c>
      <c r="E796">
        <v>40432</v>
      </c>
      <c r="F796">
        <v>8</v>
      </c>
      <c r="G796">
        <v>9648</v>
      </c>
    </row>
    <row r="797" spans="1:7" hidden="1">
      <c r="A797" t="s">
        <v>1443</v>
      </c>
      <c r="B797" t="s">
        <v>1437</v>
      </c>
      <c r="C797" t="s">
        <v>1439</v>
      </c>
      <c r="D797" t="s">
        <v>1455</v>
      </c>
      <c r="E797">
        <v>40806</v>
      </c>
      <c r="F797">
        <v>8</v>
      </c>
      <c r="G797">
        <v>3800</v>
      </c>
    </row>
    <row r="798" spans="1:7" hidden="1">
      <c r="A798" t="s">
        <v>1444</v>
      </c>
      <c r="B798" t="s">
        <v>1437</v>
      </c>
      <c r="C798" t="s">
        <v>1441</v>
      </c>
      <c r="D798" t="s">
        <v>1435</v>
      </c>
      <c r="E798">
        <v>40204</v>
      </c>
      <c r="F798">
        <v>8</v>
      </c>
      <c r="G798">
        <v>8128</v>
      </c>
    </row>
    <row r="799" spans="1:7" hidden="1">
      <c r="A799" t="s">
        <v>1449</v>
      </c>
      <c r="B799" t="s">
        <v>1437</v>
      </c>
      <c r="C799" t="s">
        <v>1441</v>
      </c>
      <c r="D799" t="s">
        <v>1435</v>
      </c>
      <c r="E799">
        <v>40504</v>
      </c>
      <c r="F799">
        <v>8</v>
      </c>
      <c r="G799">
        <v>9192</v>
      </c>
    </row>
    <row r="800" spans="1:7" hidden="1">
      <c r="A800" t="s">
        <v>1440</v>
      </c>
      <c r="B800" t="s">
        <v>1437</v>
      </c>
      <c r="C800" t="s">
        <v>1445</v>
      </c>
      <c r="D800" t="s">
        <v>1453</v>
      </c>
      <c r="E800">
        <v>40537</v>
      </c>
      <c r="F800">
        <v>8</v>
      </c>
      <c r="G800">
        <v>9776</v>
      </c>
    </row>
    <row r="801" spans="1:7" hidden="1">
      <c r="A801" t="s">
        <v>1443</v>
      </c>
      <c r="B801" t="s">
        <v>1437</v>
      </c>
      <c r="C801" t="s">
        <v>1441</v>
      </c>
      <c r="D801" t="s">
        <v>1453</v>
      </c>
      <c r="E801">
        <v>40670</v>
      </c>
      <c r="F801">
        <v>8</v>
      </c>
      <c r="G801">
        <v>8024</v>
      </c>
    </row>
    <row r="802" spans="1:7" hidden="1">
      <c r="A802" t="s">
        <v>1454</v>
      </c>
      <c r="B802" t="s">
        <v>1437</v>
      </c>
      <c r="C802" t="s">
        <v>1439</v>
      </c>
      <c r="D802" t="s">
        <v>1453</v>
      </c>
      <c r="E802">
        <v>40413</v>
      </c>
      <c r="F802">
        <v>8</v>
      </c>
      <c r="G802">
        <v>9960</v>
      </c>
    </row>
    <row r="803" spans="1:7" hidden="1">
      <c r="A803" t="s">
        <v>1449</v>
      </c>
      <c r="B803" t="s">
        <v>1437</v>
      </c>
      <c r="C803" t="s">
        <v>1439</v>
      </c>
      <c r="D803" t="s">
        <v>1453</v>
      </c>
      <c r="E803">
        <v>40569</v>
      </c>
      <c r="F803">
        <v>8</v>
      </c>
      <c r="G803">
        <v>15216</v>
      </c>
    </row>
    <row r="804" spans="1:7" hidden="1">
      <c r="A804" t="s">
        <v>1451</v>
      </c>
      <c r="B804" t="s">
        <v>1437</v>
      </c>
      <c r="C804" t="s">
        <v>1436</v>
      </c>
      <c r="D804" t="s">
        <v>1453</v>
      </c>
      <c r="E804">
        <v>40768</v>
      </c>
      <c r="F804">
        <v>8</v>
      </c>
      <c r="G804">
        <v>6264</v>
      </c>
    </row>
    <row r="805" spans="1:7" hidden="1">
      <c r="A805" t="s">
        <v>1448</v>
      </c>
      <c r="B805" t="s">
        <v>1437</v>
      </c>
      <c r="C805" t="s">
        <v>1445</v>
      </c>
      <c r="D805" t="s">
        <v>1452</v>
      </c>
      <c r="E805">
        <v>40849</v>
      </c>
      <c r="F805">
        <v>8</v>
      </c>
      <c r="G805">
        <v>7200</v>
      </c>
    </row>
    <row r="806" spans="1:7" hidden="1">
      <c r="A806" t="s">
        <v>1438</v>
      </c>
      <c r="B806" t="s">
        <v>1437</v>
      </c>
      <c r="C806" t="s">
        <v>1441</v>
      </c>
      <c r="D806" t="s">
        <v>1452</v>
      </c>
      <c r="E806">
        <v>40199</v>
      </c>
      <c r="F806">
        <v>8</v>
      </c>
      <c r="G806">
        <v>8192</v>
      </c>
    </row>
    <row r="807" spans="1:7" hidden="1">
      <c r="A807" t="s">
        <v>1454</v>
      </c>
      <c r="B807" t="s">
        <v>1437</v>
      </c>
      <c r="C807" t="s">
        <v>1436</v>
      </c>
      <c r="D807" t="s">
        <v>1452</v>
      </c>
      <c r="E807">
        <v>40473</v>
      </c>
      <c r="F807">
        <v>8</v>
      </c>
      <c r="G807">
        <v>11520</v>
      </c>
    </row>
    <row r="808" spans="1:7" hidden="1">
      <c r="A808" t="s">
        <v>1438</v>
      </c>
      <c r="B808" t="s">
        <v>1437</v>
      </c>
      <c r="C808" t="s">
        <v>1436</v>
      </c>
      <c r="D808" t="s">
        <v>1452</v>
      </c>
      <c r="E808">
        <v>40868</v>
      </c>
      <c r="F808">
        <v>8</v>
      </c>
      <c r="G808">
        <v>12936</v>
      </c>
    </row>
    <row r="809" spans="1:7">
      <c r="A809" t="s">
        <v>1449</v>
      </c>
      <c r="B809" t="s">
        <v>1437</v>
      </c>
      <c r="C809" t="s">
        <v>1439</v>
      </c>
      <c r="D809" t="s">
        <v>1450</v>
      </c>
      <c r="E809">
        <v>40501</v>
      </c>
      <c r="F809">
        <v>8</v>
      </c>
      <c r="G809">
        <v>10176</v>
      </c>
    </row>
    <row r="810" spans="1:7">
      <c r="A810" t="s">
        <v>1446</v>
      </c>
      <c r="B810" t="s">
        <v>1437</v>
      </c>
      <c r="C810" t="s">
        <v>1439</v>
      </c>
      <c r="D810" t="s">
        <v>1450</v>
      </c>
      <c r="E810">
        <v>40617</v>
      </c>
      <c r="F810">
        <v>8</v>
      </c>
      <c r="G810">
        <v>14984</v>
      </c>
    </row>
    <row r="811" spans="1:7">
      <c r="A811" t="s">
        <v>1451</v>
      </c>
      <c r="B811" t="s">
        <v>1437</v>
      </c>
      <c r="C811" t="s">
        <v>1439</v>
      </c>
      <c r="D811" t="s">
        <v>1450</v>
      </c>
      <c r="E811">
        <v>40792</v>
      </c>
      <c r="F811">
        <v>8</v>
      </c>
      <c r="G811">
        <v>13952</v>
      </c>
    </row>
    <row r="812" spans="1:7" hidden="1">
      <c r="A812" t="s">
        <v>1440</v>
      </c>
      <c r="B812" t="s">
        <v>1437</v>
      </c>
      <c r="C812" t="s">
        <v>1439</v>
      </c>
      <c r="D812" t="s">
        <v>1455</v>
      </c>
      <c r="E812">
        <v>40768</v>
      </c>
      <c r="F812">
        <v>9</v>
      </c>
      <c r="G812">
        <v>12627</v>
      </c>
    </row>
    <row r="813" spans="1:7" hidden="1">
      <c r="A813" t="s">
        <v>1456</v>
      </c>
      <c r="B813" t="s">
        <v>1437</v>
      </c>
      <c r="C813" t="s">
        <v>1439</v>
      </c>
      <c r="D813" t="s">
        <v>1455</v>
      </c>
      <c r="E813">
        <v>40876</v>
      </c>
      <c r="F813">
        <v>9</v>
      </c>
      <c r="G813">
        <v>10260</v>
      </c>
    </row>
    <row r="814" spans="1:7" hidden="1">
      <c r="A814" t="s">
        <v>1448</v>
      </c>
      <c r="B814" t="s">
        <v>1437</v>
      </c>
      <c r="C814" t="s">
        <v>1441</v>
      </c>
      <c r="D814" t="s">
        <v>1435</v>
      </c>
      <c r="E814">
        <v>40722</v>
      </c>
      <c r="F814">
        <v>9</v>
      </c>
      <c r="G814">
        <v>4869</v>
      </c>
    </row>
    <row r="815" spans="1:7" hidden="1">
      <c r="A815" t="s">
        <v>1454</v>
      </c>
      <c r="B815" t="s">
        <v>1437</v>
      </c>
      <c r="C815" t="s">
        <v>1445</v>
      </c>
      <c r="D815" t="s">
        <v>1453</v>
      </c>
      <c r="E815">
        <v>40435</v>
      </c>
      <c r="F815">
        <v>9</v>
      </c>
      <c r="G815">
        <v>6300</v>
      </c>
    </row>
    <row r="816" spans="1:7" hidden="1">
      <c r="A816" t="s">
        <v>1449</v>
      </c>
      <c r="B816" t="s">
        <v>1437</v>
      </c>
      <c r="C816" t="s">
        <v>1445</v>
      </c>
      <c r="D816" t="s">
        <v>1453</v>
      </c>
      <c r="E816">
        <v>40507</v>
      </c>
      <c r="F816">
        <v>9</v>
      </c>
      <c r="G816">
        <v>17010</v>
      </c>
    </row>
    <row r="817" spans="1:7" hidden="1">
      <c r="A817" t="s">
        <v>1446</v>
      </c>
      <c r="B817" t="s">
        <v>1437</v>
      </c>
      <c r="C817" t="s">
        <v>1445</v>
      </c>
      <c r="D817" t="s">
        <v>1452</v>
      </c>
      <c r="E817">
        <v>40815</v>
      </c>
      <c r="F817">
        <v>9</v>
      </c>
      <c r="G817">
        <v>12690</v>
      </c>
    </row>
    <row r="818" spans="1:7" hidden="1">
      <c r="A818" t="s">
        <v>1451</v>
      </c>
      <c r="B818" t="s">
        <v>1437</v>
      </c>
      <c r="C818" t="s">
        <v>1436</v>
      </c>
      <c r="D818" t="s">
        <v>1452</v>
      </c>
      <c r="E818">
        <v>40537</v>
      </c>
      <c r="F818">
        <v>9</v>
      </c>
      <c r="G818">
        <v>17784</v>
      </c>
    </row>
    <row r="819" spans="1:7">
      <c r="A819" t="s">
        <v>1438</v>
      </c>
      <c r="B819" t="s">
        <v>1437</v>
      </c>
      <c r="C819" t="s">
        <v>1436</v>
      </c>
      <c r="D819" t="s">
        <v>1450</v>
      </c>
      <c r="E819">
        <v>40690</v>
      </c>
      <c r="F819">
        <v>9</v>
      </c>
      <c r="G819">
        <v>4293</v>
      </c>
    </row>
    <row r="820" spans="1:7">
      <c r="A820" t="s">
        <v>1443</v>
      </c>
      <c r="B820" t="s">
        <v>1437</v>
      </c>
      <c r="C820" t="s">
        <v>1436</v>
      </c>
      <c r="D820" t="s">
        <v>1450</v>
      </c>
      <c r="E820">
        <v>40703</v>
      </c>
      <c r="F820">
        <v>9</v>
      </c>
      <c r="G820">
        <v>15624</v>
      </c>
    </row>
    <row r="821" spans="1:7" hidden="1">
      <c r="A821" t="s">
        <v>1451</v>
      </c>
      <c r="B821" t="s">
        <v>1437</v>
      </c>
      <c r="C821" t="s">
        <v>1439</v>
      </c>
      <c r="D821" t="s">
        <v>1455</v>
      </c>
      <c r="E821">
        <v>40858</v>
      </c>
      <c r="F821">
        <v>10</v>
      </c>
      <c r="G821">
        <v>14160</v>
      </c>
    </row>
    <row r="822" spans="1:7" hidden="1">
      <c r="A822" t="s">
        <v>1443</v>
      </c>
      <c r="B822" t="s">
        <v>1437</v>
      </c>
      <c r="C822" t="s">
        <v>1441</v>
      </c>
      <c r="D822" t="s">
        <v>1453</v>
      </c>
      <c r="E822">
        <v>40406</v>
      </c>
      <c r="F822">
        <v>10</v>
      </c>
      <c r="G822">
        <v>12740</v>
      </c>
    </row>
    <row r="823" spans="1:7" hidden="1">
      <c r="A823" t="s">
        <v>1443</v>
      </c>
      <c r="B823" t="s">
        <v>1437</v>
      </c>
      <c r="C823" t="s">
        <v>1439</v>
      </c>
      <c r="D823" t="s">
        <v>1453</v>
      </c>
      <c r="E823">
        <v>40638</v>
      </c>
      <c r="F823">
        <v>10</v>
      </c>
      <c r="G823">
        <v>13730</v>
      </c>
    </row>
    <row r="824" spans="1:7" hidden="1">
      <c r="A824" t="s">
        <v>1451</v>
      </c>
      <c r="B824" t="s">
        <v>1437</v>
      </c>
      <c r="C824" t="s">
        <v>1436</v>
      </c>
      <c r="D824" t="s">
        <v>1453</v>
      </c>
      <c r="E824">
        <v>40558</v>
      </c>
      <c r="F824">
        <v>10</v>
      </c>
      <c r="G824">
        <v>5020</v>
      </c>
    </row>
    <row r="825" spans="1:7" hidden="1">
      <c r="A825" t="s">
        <v>1443</v>
      </c>
      <c r="B825" t="s">
        <v>1437</v>
      </c>
      <c r="C825" t="s">
        <v>1441</v>
      </c>
      <c r="D825" t="s">
        <v>1452</v>
      </c>
      <c r="E825">
        <v>40757</v>
      </c>
      <c r="F825">
        <v>10</v>
      </c>
      <c r="G825">
        <v>9850</v>
      </c>
    </row>
    <row r="826" spans="1:7" hidden="1">
      <c r="A826" t="s">
        <v>1448</v>
      </c>
      <c r="B826" t="s">
        <v>1437</v>
      </c>
      <c r="C826" t="s">
        <v>1436</v>
      </c>
      <c r="D826" t="s">
        <v>1452</v>
      </c>
      <c r="E826">
        <v>40786</v>
      </c>
      <c r="F826">
        <v>10</v>
      </c>
      <c r="G826">
        <v>5980</v>
      </c>
    </row>
    <row r="827" spans="1:7">
      <c r="A827" t="s">
        <v>1449</v>
      </c>
      <c r="B827" t="s">
        <v>1437</v>
      </c>
      <c r="C827" t="s">
        <v>1441</v>
      </c>
      <c r="D827" t="s">
        <v>1450</v>
      </c>
      <c r="E827">
        <v>40869</v>
      </c>
      <c r="F827">
        <v>10</v>
      </c>
      <c r="G827">
        <v>7400</v>
      </c>
    </row>
    <row r="828" spans="1:7">
      <c r="A828" t="s">
        <v>1449</v>
      </c>
      <c r="B828" t="s">
        <v>1437</v>
      </c>
      <c r="C828" t="s">
        <v>1439</v>
      </c>
      <c r="D828" t="s">
        <v>1450</v>
      </c>
      <c r="E828">
        <v>40430</v>
      </c>
      <c r="F828">
        <v>10</v>
      </c>
      <c r="G828">
        <v>6650</v>
      </c>
    </row>
    <row r="829" spans="1:7">
      <c r="A829" t="s">
        <v>1449</v>
      </c>
      <c r="B829" t="s">
        <v>1437</v>
      </c>
      <c r="C829" t="s">
        <v>1439</v>
      </c>
      <c r="D829" t="s">
        <v>1450</v>
      </c>
      <c r="E829">
        <v>40807</v>
      </c>
      <c r="F829">
        <v>10</v>
      </c>
      <c r="G829">
        <v>6410</v>
      </c>
    </row>
    <row r="830" spans="1:7" hidden="1">
      <c r="A830" t="s">
        <v>1443</v>
      </c>
      <c r="B830" t="s">
        <v>1437</v>
      </c>
      <c r="C830" t="s">
        <v>1445</v>
      </c>
      <c r="D830" t="s">
        <v>1455</v>
      </c>
      <c r="E830">
        <v>40549</v>
      </c>
      <c r="F830">
        <v>11</v>
      </c>
      <c r="G830">
        <v>16522</v>
      </c>
    </row>
    <row r="831" spans="1:7" hidden="1">
      <c r="A831" t="s">
        <v>1447</v>
      </c>
      <c r="B831" t="s">
        <v>1437</v>
      </c>
      <c r="C831" t="s">
        <v>1441</v>
      </c>
      <c r="D831" t="s">
        <v>1435</v>
      </c>
      <c r="E831">
        <v>40421</v>
      </c>
      <c r="F831">
        <v>11</v>
      </c>
      <c r="G831">
        <v>17589</v>
      </c>
    </row>
    <row r="832" spans="1:7" hidden="1">
      <c r="A832" t="s">
        <v>1444</v>
      </c>
      <c r="B832" t="s">
        <v>1437</v>
      </c>
      <c r="C832" t="s">
        <v>1439</v>
      </c>
      <c r="D832" t="s">
        <v>1435</v>
      </c>
      <c r="E832">
        <v>40388</v>
      </c>
      <c r="F832">
        <v>11</v>
      </c>
      <c r="G832">
        <v>12144</v>
      </c>
    </row>
    <row r="833" spans="1:7" hidden="1">
      <c r="A833" t="s">
        <v>1438</v>
      </c>
      <c r="B833" t="s">
        <v>1437</v>
      </c>
      <c r="C833" t="s">
        <v>1436</v>
      </c>
      <c r="D833" t="s">
        <v>1435</v>
      </c>
      <c r="E833">
        <v>40890</v>
      </c>
      <c r="F833">
        <v>11</v>
      </c>
      <c r="G833">
        <v>21373</v>
      </c>
    </row>
    <row r="834" spans="1:7" hidden="1">
      <c r="A834" t="s">
        <v>1444</v>
      </c>
      <c r="B834" t="s">
        <v>1437</v>
      </c>
      <c r="C834" t="s">
        <v>1445</v>
      </c>
      <c r="D834" t="s">
        <v>1453</v>
      </c>
      <c r="E834">
        <v>40529</v>
      </c>
      <c r="F834">
        <v>11</v>
      </c>
      <c r="G834">
        <v>20724</v>
      </c>
    </row>
    <row r="835" spans="1:7" hidden="1">
      <c r="A835" t="s">
        <v>1440</v>
      </c>
      <c r="B835" t="s">
        <v>1437</v>
      </c>
      <c r="C835" t="s">
        <v>1441</v>
      </c>
      <c r="D835" t="s">
        <v>1453</v>
      </c>
      <c r="E835">
        <v>40613</v>
      </c>
      <c r="F835">
        <v>11</v>
      </c>
      <c r="G835">
        <v>5192</v>
      </c>
    </row>
    <row r="836" spans="1:7" hidden="1">
      <c r="A836" t="s">
        <v>1438</v>
      </c>
      <c r="B836" t="s">
        <v>1437</v>
      </c>
      <c r="C836" t="s">
        <v>1439</v>
      </c>
      <c r="D836" t="s">
        <v>1453</v>
      </c>
      <c r="E836">
        <v>40295</v>
      </c>
      <c r="F836">
        <v>11</v>
      </c>
      <c r="G836">
        <v>17237</v>
      </c>
    </row>
    <row r="837" spans="1:7" hidden="1">
      <c r="A837" t="s">
        <v>1456</v>
      </c>
      <c r="B837" t="s">
        <v>1437</v>
      </c>
      <c r="C837" t="s">
        <v>1439</v>
      </c>
      <c r="D837" t="s">
        <v>1453</v>
      </c>
      <c r="E837">
        <v>40885</v>
      </c>
      <c r="F837">
        <v>11</v>
      </c>
      <c r="G837">
        <v>13453</v>
      </c>
    </row>
    <row r="838" spans="1:7" hidden="1">
      <c r="A838" t="s">
        <v>1448</v>
      </c>
      <c r="B838" t="s">
        <v>1437</v>
      </c>
      <c r="C838" t="s">
        <v>1436</v>
      </c>
      <c r="D838" t="s">
        <v>1453</v>
      </c>
      <c r="E838">
        <v>40564</v>
      </c>
      <c r="F838">
        <v>11</v>
      </c>
      <c r="G838">
        <v>17270</v>
      </c>
    </row>
    <row r="839" spans="1:7" hidden="1">
      <c r="A839" t="s">
        <v>1443</v>
      </c>
      <c r="B839" t="s">
        <v>1437</v>
      </c>
      <c r="C839" t="s">
        <v>1445</v>
      </c>
      <c r="D839" t="s">
        <v>1452</v>
      </c>
      <c r="E839">
        <v>40274</v>
      </c>
      <c r="F839">
        <v>11</v>
      </c>
      <c r="G839">
        <v>17193</v>
      </c>
    </row>
    <row r="840" spans="1:7" hidden="1">
      <c r="A840" t="s">
        <v>1440</v>
      </c>
      <c r="B840" t="s">
        <v>1437</v>
      </c>
      <c r="C840" t="s">
        <v>1445</v>
      </c>
      <c r="D840" t="s">
        <v>1452</v>
      </c>
      <c r="E840">
        <v>40600</v>
      </c>
      <c r="F840">
        <v>11</v>
      </c>
      <c r="G840">
        <v>11484</v>
      </c>
    </row>
    <row r="841" spans="1:7" hidden="1">
      <c r="A841" t="s">
        <v>1449</v>
      </c>
      <c r="B841" t="s">
        <v>1437</v>
      </c>
      <c r="C841" t="s">
        <v>1436</v>
      </c>
      <c r="D841" t="s">
        <v>1452</v>
      </c>
      <c r="E841">
        <v>40600</v>
      </c>
      <c r="F841">
        <v>11</v>
      </c>
      <c r="G841">
        <v>9515</v>
      </c>
    </row>
    <row r="842" spans="1:7" hidden="1">
      <c r="A842" t="s">
        <v>1446</v>
      </c>
      <c r="B842" t="s">
        <v>1437</v>
      </c>
      <c r="C842" t="s">
        <v>1436</v>
      </c>
      <c r="D842" t="s">
        <v>1452</v>
      </c>
      <c r="E842">
        <v>40704</v>
      </c>
      <c r="F842">
        <v>11</v>
      </c>
      <c r="G842">
        <v>21604</v>
      </c>
    </row>
    <row r="843" spans="1:7">
      <c r="A843" t="s">
        <v>1442</v>
      </c>
      <c r="B843" t="s">
        <v>1437</v>
      </c>
      <c r="C843" t="s">
        <v>1445</v>
      </c>
      <c r="D843" t="s">
        <v>1450</v>
      </c>
      <c r="E843">
        <v>40550</v>
      </c>
      <c r="F843">
        <v>11</v>
      </c>
      <c r="G843">
        <v>6017</v>
      </c>
    </row>
    <row r="844" spans="1:7">
      <c r="A844" t="s">
        <v>1447</v>
      </c>
      <c r="B844" t="s">
        <v>1437</v>
      </c>
      <c r="C844" t="s">
        <v>1439</v>
      </c>
      <c r="D844" t="s">
        <v>1450</v>
      </c>
      <c r="E844">
        <v>40848</v>
      </c>
      <c r="F844">
        <v>11</v>
      </c>
      <c r="G844">
        <v>14421</v>
      </c>
    </row>
    <row r="845" spans="1:7" hidden="1">
      <c r="A845" t="s">
        <v>1454</v>
      </c>
      <c r="B845" t="s">
        <v>1437</v>
      </c>
      <c r="C845" t="s">
        <v>1445</v>
      </c>
      <c r="D845" t="s">
        <v>1455</v>
      </c>
      <c r="E845">
        <v>40539</v>
      </c>
      <c r="F845">
        <v>12</v>
      </c>
      <c r="G845">
        <v>22080</v>
      </c>
    </row>
    <row r="846" spans="1:7" hidden="1">
      <c r="A846" t="s">
        <v>1456</v>
      </c>
      <c r="B846" t="s">
        <v>1437</v>
      </c>
      <c r="C846" t="s">
        <v>1436</v>
      </c>
      <c r="D846" t="s">
        <v>1455</v>
      </c>
      <c r="E846">
        <v>40880</v>
      </c>
      <c r="F846">
        <v>12</v>
      </c>
      <c r="G846">
        <v>13836</v>
      </c>
    </row>
    <row r="847" spans="1:7" hidden="1">
      <c r="A847" t="s">
        <v>1443</v>
      </c>
      <c r="B847" t="s">
        <v>1437</v>
      </c>
      <c r="C847" t="s">
        <v>1445</v>
      </c>
      <c r="D847" t="s">
        <v>1435</v>
      </c>
      <c r="E847">
        <v>40387</v>
      </c>
      <c r="F847">
        <v>12</v>
      </c>
      <c r="G847">
        <v>18876</v>
      </c>
    </row>
    <row r="848" spans="1:7" hidden="1">
      <c r="A848" t="s">
        <v>1442</v>
      </c>
      <c r="B848" t="s">
        <v>1437</v>
      </c>
      <c r="C848" t="s">
        <v>1441</v>
      </c>
      <c r="D848" t="s">
        <v>1435</v>
      </c>
      <c r="E848">
        <v>40820</v>
      </c>
      <c r="F848">
        <v>12</v>
      </c>
      <c r="G848">
        <v>21060</v>
      </c>
    </row>
    <row r="849" spans="1:7" hidden="1">
      <c r="A849" t="s">
        <v>1451</v>
      </c>
      <c r="B849" t="s">
        <v>1437</v>
      </c>
      <c r="C849" t="s">
        <v>1439</v>
      </c>
      <c r="D849" t="s">
        <v>1435</v>
      </c>
      <c r="E849">
        <v>40542</v>
      </c>
      <c r="F849">
        <v>12</v>
      </c>
      <c r="G849">
        <v>11508</v>
      </c>
    </row>
    <row r="850" spans="1:7" hidden="1">
      <c r="A850" t="s">
        <v>1449</v>
      </c>
      <c r="B850" t="s">
        <v>1437</v>
      </c>
      <c r="C850" t="s">
        <v>1441</v>
      </c>
      <c r="D850" t="s">
        <v>1453</v>
      </c>
      <c r="E850">
        <v>40645</v>
      </c>
      <c r="F850">
        <v>12</v>
      </c>
      <c r="G850">
        <v>19584</v>
      </c>
    </row>
    <row r="851" spans="1:7" hidden="1">
      <c r="A851" t="s">
        <v>1454</v>
      </c>
      <c r="B851" t="s">
        <v>1437</v>
      </c>
      <c r="C851" t="s">
        <v>1436</v>
      </c>
      <c r="D851" t="s">
        <v>1453</v>
      </c>
      <c r="E851">
        <v>40898</v>
      </c>
      <c r="F851">
        <v>12</v>
      </c>
      <c r="G851">
        <v>9084</v>
      </c>
    </row>
    <row r="852" spans="1:7" hidden="1">
      <c r="A852" t="s">
        <v>1449</v>
      </c>
      <c r="B852" t="s">
        <v>1437</v>
      </c>
      <c r="C852" t="s">
        <v>1441</v>
      </c>
      <c r="D852" t="s">
        <v>1452</v>
      </c>
      <c r="E852">
        <v>40508</v>
      </c>
      <c r="F852">
        <v>12</v>
      </c>
      <c r="G852">
        <v>6780</v>
      </c>
    </row>
    <row r="853" spans="1:7" hidden="1">
      <c r="A853" t="s">
        <v>1456</v>
      </c>
      <c r="B853" t="s">
        <v>1437</v>
      </c>
      <c r="C853" t="s">
        <v>1439</v>
      </c>
      <c r="D853" t="s">
        <v>1452</v>
      </c>
      <c r="E853">
        <v>40610</v>
      </c>
      <c r="F853">
        <v>12</v>
      </c>
      <c r="G853">
        <v>15996</v>
      </c>
    </row>
    <row r="854" spans="1:7" hidden="1">
      <c r="A854" t="s">
        <v>1451</v>
      </c>
      <c r="B854" t="s">
        <v>1437</v>
      </c>
      <c r="C854" t="s">
        <v>1436</v>
      </c>
      <c r="D854" t="s">
        <v>1452</v>
      </c>
      <c r="E854">
        <v>40896</v>
      </c>
      <c r="F854">
        <v>12</v>
      </c>
      <c r="G854">
        <v>16584</v>
      </c>
    </row>
    <row r="855" spans="1:7">
      <c r="A855" t="s">
        <v>1443</v>
      </c>
      <c r="B855" t="s">
        <v>1437</v>
      </c>
      <c r="C855" t="s">
        <v>1441</v>
      </c>
      <c r="D855" t="s">
        <v>1450</v>
      </c>
      <c r="E855">
        <v>40602</v>
      </c>
      <c r="F855">
        <v>12</v>
      </c>
      <c r="G855">
        <v>18720</v>
      </c>
    </row>
    <row r="856" spans="1:7" hidden="1">
      <c r="A856" t="s">
        <v>1448</v>
      </c>
      <c r="B856" t="s">
        <v>1437</v>
      </c>
      <c r="C856" t="s">
        <v>1441</v>
      </c>
      <c r="D856" t="s">
        <v>1455</v>
      </c>
      <c r="E856">
        <v>40812</v>
      </c>
      <c r="F856">
        <v>13</v>
      </c>
      <c r="G856">
        <v>10192</v>
      </c>
    </row>
    <row r="857" spans="1:7" hidden="1">
      <c r="A857" t="s">
        <v>1447</v>
      </c>
      <c r="B857" t="s">
        <v>1437</v>
      </c>
      <c r="C857" t="s">
        <v>1436</v>
      </c>
      <c r="D857" t="s">
        <v>1455</v>
      </c>
      <c r="E857">
        <v>40764</v>
      </c>
      <c r="F857">
        <v>13</v>
      </c>
      <c r="G857">
        <v>16341</v>
      </c>
    </row>
    <row r="858" spans="1:7" hidden="1">
      <c r="A858" t="s">
        <v>1447</v>
      </c>
      <c r="B858" t="s">
        <v>1437</v>
      </c>
      <c r="C858" t="s">
        <v>1445</v>
      </c>
      <c r="D858" t="s">
        <v>1435</v>
      </c>
      <c r="E858">
        <v>40526</v>
      </c>
      <c r="F858">
        <v>13</v>
      </c>
      <c r="G858">
        <v>6864</v>
      </c>
    </row>
    <row r="859" spans="1:7" hidden="1">
      <c r="A859" t="s">
        <v>1449</v>
      </c>
      <c r="B859" t="s">
        <v>1437</v>
      </c>
      <c r="C859" t="s">
        <v>1445</v>
      </c>
      <c r="D859" t="s">
        <v>1435</v>
      </c>
      <c r="E859">
        <v>40889</v>
      </c>
      <c r="F859">
        <v>13</v>
      </c>
      <c r="G859">
        <v>25727</v>
      </c>
    </row>
    <row r="860" spans="1:7" hidden="1">
      <c r="A860" t="s">
        <v>1451</v>
      </c>
      <c r="B860" t="s">
        <v>1437</v>
      </c>
      <c r="C860" t="s">
        <v>1441</v>
      </c>
      <c r="D860" t="s">
        <v>1435</v>
      </c>
      <c r="E860">
        <v>40189</v>
      </c>
      <c r="F860">
        <v>13</v>
      </c>
      <c r="G860">
        <v>11102</v>
      </c>
    </row>
    <row r="861" spans="1:7" hidden="1">
      <c r="A861" t="s">
        <v>1456</v>
      </c>
      <c r="B861" t="s">
        <v>1437</v>
      </c>
      <c r="C861" t="s">
        <v>1439</v>
      </c>
      <c r="D861" t="s">
        <v>1435</v>
      </c>
      <c r="E861">
        <v>40463</v>
      </c>
      <c r="F861">
        <v>13</v>
      </c>
      <c r="G861">
        <v>19825</v>
      </c>
    </row>
    <row r="862" spans="1:7" hidden="1">
      <c r="A862" t="s">
        <v>1448</v>
      </c>
      <c r="B862" t="s">
        <v>1437</v>
      </c>
      <c r="C862" t="s">
        <v>1439</v>
      </c>
      <c r="D862" t="s">
        <v>1435</v>
      </c>
      <c r="E862">
        <v>40512</v>
      </c>
      <c r="F862">
        <v>13</v>
      </c>
      <c r="G862">
        <v>19448</v>
      </c>
    </row>
    <row r="863" spans="1:7" hidden="1">
      <c r="A863" t="s">
        <v>1454</v>
      </c>
      <c r="B863" t="s">
        <v>1437</v>
      </c>
      <c r="C863" t="s">
        <v>1439</v>
      </c>
      <c r="D863" t="s">
        <v>1435</v>
      </c>
      <c r="E863">
        <v>40879</v>
      </c>
      <c r="F863">
        <v>13</v>
      </c>
      <c r="G863">
        <v>5278</v>
      </c>
    </row>
    <row r="864" spans="1:7" hidden="1">
      <c r="A864" t="s">
        <v>1454</v>
      </c>
      <c r="B864" t="s">
        <v>1437</v>
      </c>
      <c r="C864" t="s">
        <v>1445</v>
      </c>
      <c r="D864" t="s">
        <v>1453</v>
      </c>
      <c r="E864">
        <v>40878</v>
      </c>
      <c r="F864">
        <v>13</v>
      </c>
      <c r="G864">
        <v>15717</v>
      </c>
    </row>
    <row r="865" spans="1:7" hidden="1">
      <c r="A865" t="s">
        <v>1438</v>
      </c>
      <c r="B865" t="s">
        <v>1437</v>
      </c>
      <c r="C865" t="s">
        <v>1436</v>
      </c>
      <c r="D865" t="s">
        <v>1453</v>
      </c>
      <c r="E865">
        <v>40724</v>
      </c>
      <c r="F865">
        <v>13</v>
      </c>
      <c r="G865">
        <v>5681</v>
      </c>
    </row>
    <row r="866" spans="1:7" hidden="1">
      <c r="A866" t="s">
        <v>1449</v>
      </c>
      <c r="B866" t="s">
        <v>1437</v>
      </c>
      <c r="C866" t="s">
        <v>1445</v>
      </c>
      <c r="D866" t="s">
        <v>1452</v>
      </c>
      <c r="E866">
        <v>40801</v>
      </c>
      <c r="F866">
        <v>13</v>
      </c>
      <c r="G866">
        <v>18421</v>
      </c>
    </row>
    <row r="867" spans="1:7" hidden="1">
      <c r="A867" t="s">
        <v>1440</v>
      </c>
      <c r="B867" t="s">
        <v>1437</v>
      </c>
      <c r="C867" t="s">
        <v>1436</v>
      </c>
      <c r="D867" t="s">
        <v>1452</v>
      </c>
      <c r="E867">
        <v>40372</v>
      </c>
      <c r="F867">
        <v>13</v>
      </c>
      <c r="G867">
        <v>13910</v>
      </c>
    </row>
    <row r="868" spans="1:7">
      <c r="A868" t="s">
        <v>1442</v>
      </c>
      <c r="B868" t="s">
        <v>1437</v>
      </c>
      <c r="C868" t="s">
        <v>1445</v>
      </c>
      <c r="D868" t="s">
        <v>1450</v>
      </c>
      <c r="E868">
        <v>40631</v>
      </c>
      <c r="F868">
        <v>13</v>
      </c>
      <c r="G868">
        <v>15704</v>
      </c>
    </row>
    <row r="869" spans="1:7">
      <c r="A869" t="s">
        <v>1444</v>
      </c>
      <c r="B869" t="s">
        <v>1437</v>
      </c>
      <c r="C869" t="s">
        <v>1439</v>
      </c>
      <c r="D869" t="s">
        <v>1450</v>
      </c>
      <c r="E869">
        <v>40514</v>
      </c>
      <c r="F869">
        <v>13</v>
      </c>
      <c r="G869">
        <v>14196</v>
      </c>
    </row>
    <row r="870" spans="1:7">
      <c r="A870" t="s">
        <v>1454</v>
      </c>
      <c r="B870" t="s">
        <v>1437</v>
      </c>
      <c r="C870" t="s">
        <v>1439</v>
      </c>
      <c r="D870" t="s">
        <v>1450</v>
      </c>
      <c r="E870">
        <v>40798</v>
      </c>
      <c r="F870">
        <v>13</v>
      </c>
      <c r="G870">
        <v>17537</v>
      </c>
    </row>
    <row r="871" spans="1:7" hidden="1">
      <c r="A871" t="s">
        <v>1447</v>
      </c>
      <c r="B871" t="s">
        <v>1437</v>
      </c>
      <c r="C871" t="s">
        <v>1445</v>
      </c>
      <c r="D871" t="s">
        <v>1455</v>
      </c>
      <c r="E871">
        <v>40381</v>
      </c>
      <c r="F871">
        <v>14</v>
      </c>
      <c r="G871">
        <v>26194</v>
      </c>
    </row>
    <row r="872" spans="1:7" hidden="1">
      <c r="A872" t="s">
        <v>1451</v>
      </c>
      <c r="B872" t="s">
        <v>1437</v>
      </c>
      <c r="C872" t="s">
        <v>1445</v>
      </c>
      <c r="D872" t="s">
        <v>1455</v>
      </c>
      <c r="E872">
        <v>40396</v>
      </c>
      <c r="F872">
        <v>14</v>
      </c>
      <c r="G872">
        <v>13244</v>
      </c>
    </row>
    <row r="873" spans="1:7" hidden="1">
      <c r="A873" t="s">
        <v>1449</v>
      </c>
      <c r="B873" t="s">
        <v>1437</v>
      </c>
      <c r="C873" t="s">
        <v>1439</v>
      </c>
      <c r="D873" t="s">
        <v>1455</v>
      </c>
      <c r="E873">
        <v>40792</v>
      </c>
      <c r="F873">
        <v>14</v>
      </c>
      <c r="G873">
        <v>22386</v>
      </c>
    </row>
    <row r="874" spans="1:7" hidden="1">
      <c r="A874" t="s">
        <v>1447</v>
      </c>
      <c r="B874" t="s">
        <v>1437</v>
      </c>
      <c r="C874" t="s">
        <v>1441</v>
      </c>
      <c r="D874" t="s">
        <v>1435</v>
      </c>
      <c r="E874">
        <v>40502</v>
      </c>
      <c r="F874">
        <v>14</v>
      </c>
      <c r="G874">
        <v>21560</v>
      </c>
    </row>
    <row r="875" spans="1:7" hidden="1">
      <c r="A875" t="s">
        <v>1451</v>
      </c>
      <c r="B875" t="s">
        <v>1437</v>
      </c>
      <c r="C875" t="s">
        <v>1445</v>
      </c>
      <c r="D875" t="s">
        <v>1453</v>
      </c>
      <c r="E875">
        <v>40369</v>
      </c>
      <c r="F875">
        <v>14</v>
      </c>
      <c r="G875">
        <v>21434</v>
      </c>
    </row>
    <row r="876" spans="1:7" hidden="1">
      <c r="A876" t="s">
        <v>1438</v>
      </c>
      <c r="B876" t="s">
        <v>1437</v>
      </c>
      <c r="C876" t="s">
        <v>1445</v>
      </c>
      <c r="D876" t="s">
        <v>1452</v>
      </c>
      <c r="E876">
        <v>40233</v>
      </c>
      <c r="F876">
        <v>14</v>
      </c>
      <c r="G876">
        <v>23814</v>
      </c>
    </row>
    <row r="877" spans="1:7" hidden="1">
      <c r="A877" t="s">
        <v>1442</v>
      </c>
      <c r="B877" t="s">
        <v>1437</v>
      </c>
      <c r="C877" t="s">
        <v>1445</v>
      </c>
      <c r="D877" t="s">
        <v>1452</v>
      </c>
      <c r="E877">
        <v>40345</v>
      </c>
      <c r="F877">
        <v>14</v>
      </c>
      <c r="G877">
        <v>17192</v>
      </c>
    </row>
    <row r="878" spans="1:7" hidden="1">
      <c r="A878" t="s">
        <v>1440</v>
      </c>
      <c r="B878" t="s">
        <v>1437</v>
      </c>
      <c r="C878" t="s">
        <v>1439</v>
      </c>
      <c r="D878" t="s">
        <v>1452</v>
      </c>
      <c r="E878">
        <v>40511</v>
      </c>
      <c r="F878">
        <v>14</v>
      </c>
      <c r="G878">
        <v>11676</v>
      </c>
    </row>
    <row r="879" spans="1:7" hidden="1">
      <c r="A879" t="s">
        <v>1448</v>
      </c>
      <c r="B879" t="s">
        <v>1437</v>
      </c>
      <c r="C879" t="s">
        <v>1436</v>
      </c>
      <c r="D879" t="s">
        <v>1452</v>
      </c>
      <c r="E879">
        <v>40278</v>
      </c>
      <c r="F879">
        <v>14</v>
      </c>
      <c r="G879">
        <v>23394</v>
      </c>
    </row>
    <row r="880" spans="1:7" hidden="1">
      <c r="A880" t="s">
        <v>1438</v>
      </c>
      <c r="B880" t="s">
        <v>1437</v>
      </c>
      <c r="C880" t="s">
        <v>1436</v>
      </c>
      <c r="D880" t="s">
        <v>1452</v>
      </c>
      <c r="E880">
        <v>40749</v>
      </c>
      <c r="F880">
        <v>14</v>
      </c>
      <c r="G880">
        <v>7560</v>
      </c>
    </row>
    <row r="881" spans="1:7" hidden="1">
      <c r="A881" t="s">
        <v>1447</v>
      </c>
      <c r="B881" t="s">
        <v>1437</v>
      </c>
      <c r="C881" t="s">
        <v>1441</v>
      </c>
      <c r="D881" t="s">
        <v>1455</v>
      </c>
      <c r="E881">
        <v>40264</v>
      </c>
      <c r="F881">
        <v>15</v>
      </c>
      <c r="G881">
        <v>28650</v>
      </c>
    </row>
    <row r="882" spans="1:7" hidden="1">
      <c r="A882" t="s">
        <v>1451</v>
      </c>
      <c r="B882" t="s">
        <v>1437</v>
      </c>
      <c r="C882" t="s">
        <v>1439</v>
      </c>
      <c r="D882" t="s">
        <v>1455</v>
      </c>
      <c r="E882">
        <v>40572</v>
      </c>
      <c r="F882">
        <v>15</v>
      </c>
      <c r="G882">
        <v>6240</v>
      </c>
    </row>
    <row r="883" spans="1:7" hidden="1">
      <c r="A883" t="s">
        <v>1438</v>
      </c>
      <c r="B883" t="s">
        <v>1437</v>
      </c>
      <c r="C883" t="s">
        <v>1445</v>
      </c>
      <c r="D883" t="s">
        <v>1435</v>
      </c>
      <c r="E883">
        <v>40642</v>
      </c>
      <c r="F883">
        <v>15</v>
      </c>
      <c r="G883">
        <v>21165</v>
      </c>
    </row>
    <row r="884" spans="1:7" hidden="1">
      <c r="A884" t="s">
        <v>1454</v>
      </c>
      <c r="B884" t="s">
        <v>1437</v>
      </c>
      <c r="C884" t="s">
        <v>1439</v>
      </c>
      <c r="D884" t="s">
        <v>1435</v>
      </c>
      <c r="E884">
        <v>40315</v>
      </c>
      <c r="F884">
        <v>15</v>
      </c>
      <c r="G884">
        <v>16830</v>
      </c>
    </row>
    <row r="885" spans="1:7" hidden="1">
      <c r="A885" t="s">
        <v>1451</v>
      </c>
      <c r="B885" t="s">
        <v>1437</v>
      </c>
      <c r="C885" t="s">
        <v>1441</v>
      </c>
      <c r="D885" t="s">
        <v>1453</v>
      </c>
      <c r="E885">
        <v>40306</v>
      </c>
      <c r="F885">
        <v>15</v>
      </c>
      <c r="G885">
        <v>23430</v>
      </c>
    </row>
    <row r="886" spans="1:7" hidden="1">
      <c r="A886" t="s">
        <v>1446</v>
      </c>
      <c r="B886" t="s">
        <v>1437</v>
      </c>
      <c r="C886" t="s">
        <v>1436</v>
      </c>
      <c r="D886" t="s">
        <v>1453</v>
      </c>
      <c r="E886">
        <v>40438</v>
      </c>
      <c r="F886">
        <v>15</v>
      </c>
      <c r="G886">
        <v>10890</v>
      </c>
    </row>
    <row r="887" spans="1:7" hidden="1">
      <c r="A887" t="s">
        <v>1440</v>
      </c>
      <c r="B887" t="s">
        <v>1437</v>
      </c>
      <c r="C887" t="s">
        <v>1445</v>
      </c>
      <c r="D887" t="s">
        <v>1452</v>
      </c>
      <c r="E887">
        <v>40513</v>
      </c>
      <c r="F887">
        <v>15</v>
      </c>
      <c r="G887">
        <v>11235</v>
      </c>
    </row>
    <row r="888" spans="1:7" hidden="1">
      <c r="A888" t="s">
        <v>1449</v>
      </c>
      <c r="B888" t="s">
        <v>1437</v>
      </c>
      <c r="C888" t="s">
        <v>1441</v>
      </c>
      <c r="D888" t="s">
        <v>1452</v>
      </c>
      <c r="E888">
        <v>40896</v>
      </c>
      <c r="F888">
        <v>15</v>
      </c>
      <c r="G888">
        <v>10590</v>
      </c>
    </row>
    <row r="889" spans="1:7" hidden="1">
      <c r="A889" t="s">
        <v>1448</v>
      </c>
      <c r="B889" t="s">
        <v>1437</v>
      </c>
      <c r="C889" t="s">
        <v>1439</v>
      </c>
      <c r="D889" t="s">
        <v>1452</v>
      </c>
      <c r="E889">
        <v>40721</v>
      </c>
      <c r="F889">
        <v>15</v>
      </c>
      <c r="G889">
        <v>25515</v>
      </c>
    </row>
    <row r="890" spans="1:7">
      <c r="A890" t="s">
        <v>1446</v>
      </c>
      <c r="B890" t="s">
        <v>1437</v>
      </c>
      <c r="C890" t="s">
        <v>1445</v>
      </c>
      <c r="D890" t="s">
        <v>1450</v>
      </c>
      <c r="E890">
        <v>40315</v>
      </c>
      <c r="F890">
        <v>15</v>
      </c>
      <c r="G890">
        <v>21090</v>
      </c>
    </row>
    <row r="891" spans="1:7">
      <c r="A891" t="s">
        <v>1444</v>
      </c>
      <c r="B891" t="s">
        <v>1437</v>
      </c>
      <c r="C891" t="s">
        <v>1445</v>
      </c>
      <c r="D891" t="s">
        <v>1450</v>
      </c>
      <c r="E891">
        <v>40353</v>
      </c>
      <c r="F891">
        <v>15</v>
      </c>
      <c r="G891">
        <v>18660</v>
      </c>
    </row>
    <row r="892" spans="1:7">
      <c r="A892" t="s">
        <v>1448</v>
      </c>
      <c r="B892" t="s">
        <v>1437</v>
      </c>
      <c r="C892" t="s">
        <v>1445</v>
      </c>
      <c r="D892" t="s">
        <v>1450</v>
      </c>
      <c r="E892">
        <v>40589</v>
      </c>
      <c r="F892">
        <v>15</v>
      </c>
      <c r="G892">
        <v>14235</v>
      </c>
    </row>
    <row r="893" spans="1:7">
      <c r="A893" t="s">
        <v>1438</v>
      </c>
      <c r="B893" t="s">
        <v>1437</v>
      </c>
      <c r="C893" t="s">
        <v>1441</v>
      </c>
      <c r="D893" t="s">
        <v>1450</v>
      </c>
      <c r="E893">
        <v>40898</v>
      </c>
      <c r="F893">
        <v>15</v>
      </c>
      <c r="G893">
        <v>8055</v>
      </c>
    </row>
    <row r="894" spans="1:7">
      <c r="A894" t="s">
        <v>1443</v>
      </c>
      <c r="B894" t="s">
        <v>1437</v>
      </c>
      <c r="C894" t="s">
        <v>1439</v>
      </c>
      <c r="D894" t="s">
        <v>1450</v>
      </c>
      <c r="E894">
        <v>40414</v>
      </c>
      <c r="F894">
        <v>15</v>
      </c>
      <c r="G894">
        <v>14220</v>
      </c>
    </row>
    <row r="895" spans="1:7">
      <c r="A895" t="s">
        <v>1447</v>
      </c>
      <c r="B895" t="s">
        <v>1437</v>
      </c>
      <c r="C895" t="s">
        <v>1439</v>
      </c>
      <c r="D895" t="s">
        <v>1450</v>
      </c>
      <c r="E895">
        <v>40502</v>
      </c>
      <c r="F895">
        <v>15</v>
      </c>
      <c r="G895">
        <v>26250</v>
      </c>
    </row>
    <row r="896" spans="1:7">
      <c r="A896" t="s">
        <v>1446</v>
      </c>
      <c r="B896" t="s">
        <v>1437</v>
      </c>
      <c r="C896" t="s">
        <v>1439</v>
      </c>
      <c r="D896" t="s">
        <v>1450</v>
      </c>
      <c r="E896">
        <v>40554</v>
      </c>
      <c r="F896">
        <v>15</v>
      </c>
      <c r="G896">
        <v>15855</v>
      </c>
    </row>
    <row r="897" spans="1:7">
      <c r="A897" t="s">
        <v>1451</v>
      </c>
      <c r="B897" t="s">
        <v>1437</v>
      </c>
      <c r="C897" t="s">
        <v>1436</v>
      </c>
      <c r="D897" t="s">
        <v>1450</v>
      </c>
      <c r="E897">
        <v>40479</v>
      </c>
      <c r="F897">
        <v>15</v>
      </c>
      <c r="G897">
        <v>20160</v>
      </c>
    </row>
    <row r="898" spans="1:7">
      <c r="A898" t="s">
        <v>1440</v>
      </c>
      <c r="B898" t="s">
        <v>1437</v>
      </c>
      <c r="C898" t="s">
        <v>1436</v>
      </c>
      <c r="D898" t="s">
        <v>1450</v>
      </c>
      <c r="E898">
        <v>40768</v>
      </c>
      <c r="F898">
        <v>15</v>
      </c>
      <c r="G898">
        <v>15045</v>
      </c>
    </row>
    <row r="899" spans="1:7" hidden="1">
      <c r="A899" t="s">
        <v>1449</v>
      </c>
      <c r="B899" t="s">
        <v>1437</v>
      </c>
      <c r="C899" t="s">
        <v>1445</v>
      </c>
      <c r="D899" t="s">
        <v>1435</v>
      </c>
      <c r="E899">
        <v>40840</v>
      </c>
      <c r="F899">
        <v>16</v>
      </c>
      <c r="G899">
        <v>15408</v>
      </c>
    </row>
    <row r="900" spans="1:7" hidden="1">
      <c r="A900" t="s">
        <v>1440</v>
      </c>
      <c r="B900" t="s">
        <v>1437</v>
      </c>
      <c r="C900" t="s">
        <v>1441</v>
      </c>
      <c r="D900" t="s">
        <v>1435</v>
      </c>
      <c r="E900">
        <v>40257</v>
      </c>
      <c r="F900">
        <v>16</v>
      </c>
      <c r="G900">
        <v>20352</v>
      </c>
    </row>
    <row r="901" spans="1:7" hidden="1">
      <c r="A901" t="s">
        <v>1448</v>
      </c>
      <c r="B901" t="s">
        <v>1437</v>
      </c>
      <c r="C901" t="s">
        <v>1441</v>
      </c>
      <c r="D901" t="s">
        <v>1435</v>
      </c>
      <c r="E901">
        <v>40536</v>
      </c>
      <c r="F901">
        <v>16</v>
      </c>
      <c r="G901">
        <v>19232</v>
      </c>
    </row>
    <row r="902" spans="1:7" hidden="1">
      <c r="A902" t="s">
        <v>1447</v>
      </c>
      <c r="B902" t="s">
        <v>1437</v>
      </c>
      <c r="C902" t="s">
        <v>1439</v>
      </c>
      <c r="D902" t="s">
        <v>1435</v>
      </c>
      <c r="E902">
        <v>40569</v>
      </c>
      <c r="F902">
        <v>17</v>
      </c>
      <c r="G902">
        <v>6987</v>
      </c>
    </row>
    <row r="903" spans="1:7" hidden="1">
      <c r="A903" t="s">
        <v>1444</v>
      </c>
      <c r="B903" t="s">
        <v>1437</v>
      </c>
      <c r="C903" t="s">
        <v>1439</v>
      </c>
      <c r="D903" t="s">
        <v>1435</v>
      </c>
      <c r="E903">
        <v>40274</v>
      </c>
      <c r="F903">
        <v>18</v>
      </c>
      <c r="G903">
        <v>30564</v>
      </c>
    </row>
    <row r="904" spans="1:7" hidden="1">
      <c r="A904" t="s">
        <v>1446</v>
      </c>
      <c r="B904" t="s">
        <v>1437</v>
      </c>
      <c r="C904" t="s">
        <v>1439</v>
      </c>
      <c r="D904" t="s">
        <v>1435</v>
      </c>
      <c r="E904">
        <v>40838</v>
      </c>
      <c r="F904">
        <v>18</v>
      </c>
      <c r="G904">
        <v>26334</v>
      </c>
    </row>
    <row r="905" spans="1:7" hidden="1">
      <c r="A905" t="s">
        <v>1440</v>
      </c>
      <c r="B905" t="s">
        <v>1437</v>
      </c>
      <c r="C905" t="s">
        <v>1436</v>
      </c>
      <c r="D905" t="s">
        <v>1435</v>
      </c>
      <c r="E905">
        <v>40339</v>
      </c>
      <c r="F905">
        <v>18</v>
      </c>
      <c r="G905">
        <v>25794</v>
      </c>
    </row>
    <row r="906" spans="1:7" hidden="1">
      <c r="A906" t="s">
        <v>1444</v>
      </c>
      <c r="B906" t="s">
        <v>1437</v>
      </c>
      <c r="C906" t="s">
        <v>1445</v>
      </c>
      <c r="D906" t="s">
        <v>1435</v>
      </c>
      <c r="E906">
        <v>40451</v>
      </c>
      <c r="F906">
        <v>19</v>
      </c>
      <c r="G906">
        <v>34276</v>
      </c>
    </row>
    <row r="907" spans="1:7" hidden="1">
      <c r="A907" t="s">
        <v>1444</v>
      </c>
      <c r="B907" t="s">
        <v>1437</v>
      </c>
      <c r="C907" t="s">
        <v>1439</v>
      </c>
      <c r="D907" t="s">
        <v>1435</v>
      </c>
      <c r="E907">
        <v>40502</v>
      </c>
      <c r="F907">
        <v>19</v>
      </c>
      <c r="G907">
        <v>11552</v>
      </c>
    </row>
    <row r="908" spans="1:7" hidden="1">
      <c r="A908" t="s">
        <v>1440</v>
      </c>
      <c r="B908" t="s">
        <v>1437</v>
      </c>
      <c r="C908" t="s">
        <v>1441</v>
      </c>
      <c r="D908" t="s">
        <v>1435</v>
      </c>
      <c r="E908">
        <v>40238</v>
      </c>
      <c r="F908">
        <v>20</v>
      </c>
      <c r="G908">
        <v>38040</v>
      </c>
    </row>
    <row r="909" spans="1:7" hidden="1">
      <c r="A909" t="s">
        <v>1443</v>
      </c>
      <c r="B909" t="s">
        <v>1437</v>
      </c>
      <c r="C909" t="s">
        <v>1441</v>
      </c>
      <c r="D909" t="s">
        <v>1435</v>
      </c>
      <c r="E909">
        <v>40263</v>
      </c>
      <c r="F909">
        <v>20</v>
      </c>
      <c r="G909">
        <v>34360</v>
      </c>
    </row>
    <row r="910" spans="1:7" hidden="1">
      <c r="A910" t="s">
        <v>1442</v>
      </c>
      <c r="B910" t="s">
        <v>1437</v>
      </c>
      <c r="C910" t="s">
        <v>1441</v>
      </c>
      <c r="D910" t="s">
        <v>1435</v>
      </c>
      <c r="E910">
        <v>40897</v>
      </c>
      <c r="F910">
        <v>20</v>
      </c>
      <c r="G910">
        <v>8420</v>
      </c>
    </row>
    <row r="911" spans="1:7" hidden="1">
      <c r="A911" t="s">
        <v>1440</v>
      </c>
      <c r="B911" t="s">
        <v>1437</v>
      </c>
      <c r="C911" t="s">
        <v>1439</v>
      </c>
      <c r="D911" t="s">
        <v>1435</v>
      </c>
      <c r="E911">
        <v>40401</v>
      </c>
      <c r="F911">
        <v>20</v>
      </c>
      <c r="G911">
        <v>39780</v>
      </c>
    </row>
    <row r="912" spans="1:7" hidden="1">
      <c r="A912" t="s">
        <v>1438</v>
      </c>
      <c r="B912" t="s">
        <v>1437</v>
      </c>
      <c r="C912" t="s">
        <v>1436</v>
      </c>
      <c r="D912" t="s">
        <v>1435</v>
      </c>
      <c r="E912">
        <v>40691</v>
      </c>
      <c r="F912">
        <v>20</v>
      </c>
      <c r="G912">
        <v>14120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4"/>
  <sheetViews>
    <sheetView zoomScale="145" zoomScaleNormal="145" workbookViewId="0">
      <selection activeCell="E2" sqref="E2"/>
    </sheetView>
  </sheetViews>
  <sheetFormatPr defaultRowHeight="15"/>
  <cols>
    <col min="1" max="1" width="15.7109375" style="145" bestFit="1" customWidth="1"/>
    <col min="2" max="2" width="8.28515625" style="145" bestFit="1" customWidth="1"/>
    <col min="3" max="3" width="11.7109375" style="145" bestFit="1" customWidth="1"/>
    <col min="4" max="4" width="6.42578125" style="145" bestFit="1" customWidth="1"/>
    <col min="5" max="5" width="10.140625" style="145" bestFit="1" customWidth="1"/>
    <col min="6" max="6" width="7.42578125" style="145" bestFit="1" customWidth="1"/>
    <col min="7" max="7" width="9.5703125" style="145" bestFit="1" customWidth="1"/>
    <col min="8" max="10" width="9.140625" style="145"/>
    <col min="11" max="11" width="27.28515625" style="145" bestFit="1" customWidth="1"/>
    <col min="12" max="16384" width="9.140625" style="145"/>
  </cols>
  <sheetData>
    <row r="1" spans="1:12">
      <c r="A1" s="26" t="s">
        <v>229</v>
      </c>
      <c r="B1" s="27" t="s">
        <v>230</v>
      </c>
      <c r="C1" s="28" t="s">
        <v>231</v>
      </c>
      <c r="D1" s="28" t="s">
        <v>234</v>
      </c>
      <c r="E1" s="28" t="s">
        <v>239</v>
      </c>
      <c r="J1" s="27" t="s">
        <v>230</v>
      </c>
      <c r="K1" s="28" t="s">
        <v>231</v>
      </c>
      <c r="L1" s="28" t="s">
        <v>234</v>
      </c>
    </row>
    <row r="2" spans="1:12">
      <c r="B2" s="145" t="s">
        <v>245</v>
      </c>
      <c r="J2" s="46" t="s">
        <v>245</v>
      </c>
      <c r="K2" s="45" t="s">
        <v>1468</v>
      </c>
      <c r="L2" s="45" t="s">
        <v>256</v>
      </c>
    </row>
    <row r="3" spans="1:12">
      <c r="J3" s="46" t="s">
        <v>251</v>
      </c>
      <c r="K3" s="39" t="s">
        <v>272</v>
      </c>
      <c r="L3" s="45" t="s">
        <v>261</v>
      </c>
    </row>
    <row r="4" spans="1:12">
      <c r="J4" s="46" t="s">
        <v>266</v>
      </c>
      <c r="K4" s="39" t="s">
        <v>296</v>
      </c>
      <c r="L4" s="45" t="s">
        <v>247</v>
      </c>
    </row>
    <row r="5" spans="1:12">
      <c r="J5" s="46" t="s">
        <v>285</v>
      </c>
      <c r="K5" s="39" t="s">
        <v>307</v>
      </c>
      <c r="L5" s="45" t="s">
        <v>252</v>
      </c>
    </row>
    <row r="6" spans="1:12">
      <c r="J6" s="46" t="s">
        <v>271</v>
      </c>
      <c r="K6" s="39" t="s">
        <v>312</v>
      </c>
    </row>
    <row r="7" spans="1:12">
      <c r="J7" s="46" t="s">
        <v>280</v>
      </c>
      <c r="K7" s="39" t="s">
        <v>372</v>
      </c>
    </row>
    <row r="8" spans="1:12">
      <c r="K8" s="39" t="s">
        <v>381</v>
      </c>
    </row>
    <row r="9" spans="1:12">
      <c r="K9" s="39" t="s">
        <v>391</v>
      </c>
    </row>
    <row r="10" spans="1:12">
      <c r="K10" s="39" t="s">
        <v>411</v>
      </c>
    </row>
    <row r="11" spans="1:12">
      <c r="K11" s="39" t="s">
        <v>417</v>
      </c>
    </row>
    <row r="12" spans="1:12">
      <c r="K12" s="39" t="s">
        <v>456</v>
      </c>
    </row>
    <row r="13" spans="1:12">
      <c r="K13" s="39" t="s">
        <v>465</v>
      </c>
    </row>
    <row r="14" spans="1:12">
      <c r="K14" s="39" t="s">
        <v>618</v>
      </c>
    </row>
    <row r="15" spans="1:12">
      <c r="K15" s="39" t="s">
        <v>626</v>
      </c>
    </row>
    <row r="16" spans="1:12">
      <c r="K16" s="39" t="s">
        <v>678</v>
      </c>
    </row>
    <row r="17" spans="11:11">
      <c r="K17" s="39" t="s">
        <v>700</v>
      </c>
    </row>
    <row r="18" spans="11:11">
      <c r="K18" s="39" t="s">
        <v>705</v>
      </c>
    </row>
    <row r="19" spans="11:11">
      <c r="K19" s="39" t="s">
        <v>750</v>
      </c>
    </row>
    <row r="20" spans="11:11">
      <c r="K20" s="39" t="s">
        <v>767</v>
      </c>
    </row>
    <row r="21" spans="11:11">
      <c r="K21" s="39" t="s">
        <v>856</v>
      </c>
    </row>
    <row r="22" spans="11:11">
      <c r="K22" s="39" t="s">
        <v>930</v>
      </c>
    </row>
    <row r="23" spans="11:11">
      <c r="K23" s="39" t="s">
        <v>1025</v>
      </c>
    </row>
    <row r="24" spans="11:11">
      <c r="K24" s="39" t="s">
        <v>1031</v>
      </c>
    </row>
  </sheetData>
  <dataValidations count="4">
    <dataValidation type="list" allowBlank="1" showInputMessage="1" showErrorMessage="1" sqref="B1:B1048576">
      <formula1>$J$2:$J$7</formula1>
    </dataValidation>
    <dataValidation type="list" allowBlank="1" showInputMessage="1" showErrorMessage="1" sqref="C2">
      <formula1>$K$2:$K$24</formula1>
    </dataValidation>
    <dataValidation type="list" allowBlank="1" showInputMessage="1" showErrorMessage="1" sqref="D2">
      <formula1>Status</formula1>
    </dataValidation>
    <dataValidation type="whole" allowBlank="1" showInputMessage="1" showErrorMessage="1" promptTitle="Salary Error" prompt="Hey pal...... Inpout da rite ting." sqref="E2">
      <formula1>40000</formula1>
      <formula2>120000</formula2>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L742"/>
  <sheetViews>
    <sheetView zoomScale="85" zoomScaleNormal="85" zoomScaleSheetLayoutView="100" workbookViewId="0">
      <selection activeCell="C1" sqref="C1:E1048576"/>
    </sheetView>
  </sheetViews>
  <sheetFormatPr defaultColWidth="19.85546875" defaultRowHeight="15"/>
  <cols>
    <col min="1" max="1" width="19.5703125" style="146" bestFit="1" customWidth="1"/>
    <col min="2" max="2" width="14" style="150" bestFit="1" customWidth="1"/>
    <col min="3" max="3" width="11" style="147" bestFit="1" customWidth="1"/>
    <col min="4" max="4" width="5.85546875" style="148" bestFit="1" customWidth="1"/>
    <col min="5" max="5" width="10.85546875" style="147" bestFit="1" customWidth="1"/>
    <col min="6" max="6" width="22.42578125" style="146" customWidth="1"/>
    <col min="7" max="7" width="11.7109375" style="149" bestFit="1" customWidth="1"/>
    <col min="8" max="8" width="9.7109375" style="146" customWidth="1"/>
    <col min="9" max="9" width="8.42578125" style="146" bestFit="1" customWidth="1"/>
    <col min="10" max="10" width="8.28515625" style="151" bestFit="1" customWidth="1"/>
    <col min="11" max="11" width="9.140625" style="70" bestFit="1" customWidth="1"/>
    <col min="12" max="12" width="10" style="146" bestFit="1" customWidth="1"/>
    <col min="13" max="16384" width="19.85546875" style="146"/>
  </cols>
  <sheetData>
    <row r="1" spans="1:12">
      <c r="A1" s="168" t="s">
        <v>229</v>
      </c>
      <c r="B1" s="167" t="s">
        <v>233</v>
      </c>
      <c r="C1" s="165" t="s">
        <v>235</v>
      </c>
      <c r="D1" s="164" t="s">
        <v>237</v>
      </c>
      <c r="E1" s="163" t="s">
        <v>236</v>
      </c>
      <c r="F1" s="162" t="s">
        <v>231</v>
      </c>
      <c r="G1" s="166" t="s">
        <v>232</v>
      </c>
      <c r="H1" s="162" t="s">
        <v>234</v>
      </c>
      <c r="I1" s="162" t="s">
        <v>238</v>
      </c>
      <c r="J1" s="161" t="s">
        <v>230</v>
      </c>
      <c r="K1" s="34" t="s">
        <v>239</v>
      </c>
      <c r="L1" s="161" t="s">
        <v>240</v>
      </c>
    </row>
    <row r="2" spans="1:12">
      <c r="A2" s="146" t="s">
        <v>863</v>
      </c>
      <c r="B2" s="160">
        <v>9195818082</v>
      </c>
      <c r="C2" s="153">
        <v>34574</v>
      </c>
      <c r="D2" s="51">
        <f t="shared" ref="D2:D65" ca="1" si="0">DATEDIF(C2,TODAY(),"Y")</f>
        <v>22</v>
      </c>
      <c r="E2" s="152" t="str">
        <f t="shared" ref="E2:E65" si="1">CHOOSE(MONTH(C2),"January","February","March","April","May","June","July","August","September","October","November","December")</f>
        <v>August</v>
      </c>
      <c r="F2" s="157" t="s">
        <v>246</v>
      </c>
      <c r="G2" s="159">
        <v>411526157</v>
      </c>
      <c r="H2" s="157" t="s">
        <v>252</v>
      </c>
      <c r="I2" s="52"/>
      <c r="J2" s="156" t="s">
        <v>251</v>
      </c>
      <c r="K2" s="53">
        <v>42816</v>
      </c>
      <c r="L2" s="151">
        <v>2</v>
      </c>
    </row>
    <row r="3" spans="1:12">
      <c r="A3" s="146" t="s">
        <v>790</v>
      </c>
      <c r="B3" s="160">
        <v>2523539786</v>
      </c>
      <c r="C3" s="153">
        <v>39875</v>
      </c>
      <c r="D3" s="51">
        <f t="shared" ca="1" si="0"/>
        <v>7</v>
      </c>
      <c r="E3" s="152" t="str">
        <f t="shared" si="1"/>
        <v>March</v>
      </c>
      <c r="F3" s="157" t="s">
        <v>246</v>
      </c>
      <c r="G3" s="159">
        <v>948195711</v>
      </c>
      <c r="H3" s="157" t="s">
        <v>247</v>
      </c>
      <c r="I3" s="52"/>
      <c r="J3" s="156" t="s">
        <v>245</v>
      </c>
      <c r="K3" s="53">
        <v>51048</v>
      </c>
      <c r="L3" s="151">
        <v>5</v>
      </c>
    </row>
    <row r="4" spans="1:12">
      <c r="A4" s="146" t="s">
        <v>951</v>
      </c>
      <c r="B4" s="160">
        <v>4022804104</v>
      </c>
      <c r="C4" s="153">
        <v>36899</v>
      </c>
      <c r="D4" s="51">
        <f t="shared" ca="1" si="0"/>
        <v>15</v>
      </c>
      <c r="E4" s="152" t="str">
        <f t="shared" si="1"/>
        <v>January</v>
      </c>
      <c r="F4" s="157" t="s">
        <v>246</v>
      </c>
      <c r="G4" s="159">
        <v>100432924</v>
      </c>
      <c r="H4" s="157" t="s">
        <v>256</v>
      </c>
      <c r="I4" s="52" t="s">
        <v>257</v>
      </c>
      <c r="J4" s="156" t="s">
        <v>245</v>
      </c>
      <c r="K4" s="53">
        <v>29460</v>
      </c>
      <c r="L4" s="151">
        <v>1</v>
      </c>
    </row>
    <row r="5" spans="1:12">
      <c r="A5" s="146" t="s">
        <v>740</v>
      </c>
      <c r="B5" s="160">
        <v>2528138394</v>
      </c>
      <c r="C5" s="153">
        <v>40175</v>
      </c>
      <c r="D5" s="51">
        <f t="shared" ca="1" si="0"/>
        <v>6</v>
      </c>
      <c r="E5" s="152" t="str">
        <f t="shared" si="1"/>
        <v>December</v>
      </c>
      <c r="F5" s="157" t="s">
        <v>246</v>
      </c>
      <c r="G5" s="159">
        <v>991656720</v>
      </c>
      <c r="H5" s="157" t="s">
        <v>256</v>
      </c>
      <c r="I5" s="52" t="s">
        <v>267</v>
      </c>
      <c r="J5" s="156" t="s">
        <v>266</v>
      </c>
      <c r="K5" s="53">
        <v>87396</v>
      </c>
      <c r="L5" s="151">
        <v>2</v>
      </c>
    </row>
    <row r="6" spans="1:12">
      <c r="A6" s="146" t="s">
        <v>357</v>
      </c>
      <c r="B6" s="160">
        <v>2521774590</v>
      </c>
      <c r="C6" s="153">
        <v>34018</v>
      </c>
      <c r="D6" s="51">
        <f t="shared" ca="1" si="0"/>
        <v>23</v>
      </c>
      <c r="E6" s="152" t="str">
        <f t="shared" si="1"/>
        <v>February</v>
      </c>
      <c r="F6" s="157" t="s">
        <v>246</v>
      </c>
      <c r="G6" s="159">
        <v>914428485</v>
      </c>
      <c r="H6" s="157" t="s">
        <v>261</v>
      </c>
      <c r="I6" s="52" t="s">
        <v>262</v>
      </c>
      <c r="J6" s="156" t="s">
        <v>245</v>
      </c>
      <c r="K6" s="53">
        <v>32154</v>
      </c>
      <c r="L6" s="151">
        <v>4</v>
      </c>
    </row>
    <row r="7" spans="1:12">
      <c r="A7" s="146" t="s">
        <v>617</v>
      </c>
      <c r="B7" s="155">
        <v>9198449868</v>
      </c>
      <c r="C7" s="153">
        <v>39797</v>
      </c>
      <c r="D7" s="51">
        <f t="shared" ca="1" si="0"/>
        <v>7</v>
      </c>
      <c r="E7" s="152" t="str">
        <f t="shared" si="1"/>
        <v>December</v>
      </c>
      <c r="F7" s="146" t="s">
        <v>272</v>
      </c>
      <c r="G7" s="154">
        <v>840313216</v>
      </c>
      <c r="H7" s="146" t="s">
        <v>256</v>
      </c>
      <c r="I7" s="52" t="s">
        <v>267</v>
      </c>
      <c r="J7" s="156" t="s">
        <v>266</v>
      </c>
      <c r="K7" s="53">
        <v>45204</v>
      </c>
      <c r="L7" s="151">
        <v>3</v>
      </c>
    </row>
    <row r="8" spans="1:12">
      <c r="A8" s="146" t="s">
        <v>766</v>
      </c>
      <c r="B8" s="160">
        <v>2522872439</v>
      </c>
      <c r="C8" s="153">
        <v>40854</v>
      </c>
      <c r="D8" s="51">
        <f t="shared" ca="1" si="0"/>
        <v>5</v>
      </c>
      <c r="E8" s="152" t="str">
        <f t="shared" si="1"/>
        <v>November</v>
      </c>
      <c r="F8" s="157" t="s">
        <v>272</v>
      </c>
      <c r="G8" s="159">
        <v>771277493</v>
      </c>
      <c r="H8" s="157" t="s">
        <v>252</v>
      </c>
      <c r="I8" s="52"/>
      <c r="J8" s="156" t="s">
        <v>245</v>
      </c>
      <c r="K8" s="53">
        <v>12763</v>
      </c>
      <c r="L8" s="151">
        <v>4</v>
      </c>
    </row>
    <row r="9" spans="1:12">
      <c r="A9" s="146" t="s">
        <v>768</v>
      </c>
      <c r="B9" s="160">
        <v>2521641031</v>
      </c>
      <c r="C9" s="153">
        <v>38870</v>
      </c>
      <c r="D9" s="51">
        <f t="shared" ca="1" si="0"/>
        <v>10</v>
      </c>
      <c r="E9" s="152" t="str">
        <f t="shared" si="1"/>
        <v>June</v>
      </c>
      <c r="F9" s="157" t="s">
        <v>272</v>
      </c>
      <c r="G9" s="159">
        <v>638271383</v>
      </c>
      <c r="H9" s="157" t="s">
        <v>256</v>
      </c>
      <c r="I9" s="52" t="s">
        <v>257</v>
      </c>
      <c r="J9" s="156" t="s">
        <v>271</v>
      </c>
      <c r="K9" s="53">
        <v>59220</v>
      </c>
      <c r="L9" s="151">
        <v>4</v>
      </c>
    </row>
    <row r="10" spans="1:12">
      <c r="A10" s="146" t="s">
        <v>707</v>
      </c>
      <c r="B10" s="155">
        <v>2523646601</v>
      </c>
      <c r="C10" s="153">
        <v>37505</v>
      </c>
      <c r="D10" s="51">
        <f t="shared" ca="1" si="0"/>
        <v>14</v>
      </c>
      <c r="E10" s="152" t="str">
        <f t="shared" si="1"/>
        <v>September</v>
      </c>
      <c r="F10" s="146" t="s">
        <v>272</v>
      </c>
      <c r="G10" s="154">
        <v>767961463</v>
      </c>
      <c r="H10" s="146" t="s">
        <v>247</v>
      </c>
      <c r="I10" s="52"/>
      <c r="J10" s="156" t="s">
        <v>245</v>
      </c>
      <c r="K10" s="53">
        <v>92028</v>
      </c>
      <c r="L10" s="151">
        <v>3</v>
      </c>
    </row>
    <row r="11" spans="1:12">
      <c r="A11" s="146" t="s">
        <v>418</v>
      </c>
      <c r="B11" s="155">
        <v>2527317354</v>
      </c>
      <c r="C11" s="153">
        <v>36988</v>
      </c>
      <c r="D11" s="51">
        <f t="shared" ca="1" si="0"/>
        <v>15</v>
      </c>
      <c r="E11" s="152" t="str">
        <f t="shared" si="1"/>
        <v>April</v>
      </c>
      <c r="F11" s="146" t="s">
        <v>272</v>
      </c>
      <c r="G11" s="154">
        <v>542051793</v>
      </c>
      <c r="H11" s="146" t="s">
        <v>256</v>
      </c>
      <c r="I11" s="52" t="s">
        <v>257</v>
      </c>
      <c r="J11" s="156" t="s">
        <v>285</v>
      </c>
      <c r="K11" s="53">
        <v>90180</v>
      </c>
      <c r="L11" s="151">
        <v>1</v>
      </c>
    </row>
    <row r="12" spans="1:12">
      <c r="A12" s="146" t="s">
        <v>632</v>
      </c>
      <c r="B12" s="155">
        <v>9192693355</v>
      </c>
      <c r="C12" s="153">
        <v>38132</v>
      </c>
      <c r="D12" s="51">
        <f t="shared" ca="1" si="0"/>
        <v>12</v>
      </c>
      <c r="E12" s="152" t="str">
        <f t="shared" si="1"/>
        <v>May</v>
      </c>
      <c r="F12" s="146" t="s">
        <v>272</v>
      </c>
      <c r="G12" s="154">
        <v>975603308</v>
      </c>
      <c r="H12" s="146" t="s">
        <v>256</v>
      </c>
      <c r="I12" s="52" t="s">
        <v>257</v>
      </c>
      <c r="J12" s="156" t="s">
        <v>251</v>
      </c>
      <c r="K12" s="53">
        <v>36936</v>
      </c>
      <c r="L12" s="151">
        <v>4</v>
      </c>
    </row>
    <row r="13" spans="1:12">
      <c r="A13" s="146" t="s">
        <v>421</v>
      </c>
      <c r="B13" s="160">
        <v>2527936742</v>
      </c>
      <c r="C13" s="153">
        <v>36945</v>
      </c>
      <c r="D13" s="51">
        <f t="shared" ca="1" si="0"/>
        <v>15</v>
      </c>
      <c r="E13" s="152" t="str">
        <f t="shared" si="1"/>
        <v>February</v>
      </c>
      <c r="F13" s="157" t="s">
        <v>272</v>
      </c>
      <c r="G13" s="159">
        <v>356110882</v>
      </c>
      <c r="H13" s="157" t="s">
        <v>261</v>
      </c>
      <c r="I13" s="52" t="s">
        <v>257</v>
      </c>
      <c r="J13" s="156" t="s">
        <v>251</v>
      </c>
      <c r="K13" s="53">
        <v>18288</v>
      </c>
      <c r="L13" s="151">
        <v>1</v>
      </c>
    </row>
    <row r="14" spans="1:12">
      <c r="A14" s="146" t="s">
        <v>946</v>
      </c>
      <c r="B14" s="160">
        <v>2527852326</v>
      </c>
      <c r="C14" s="153">
        <v>36470</v>
      </c>
      <c r="D14" s="51">
        <f t="shared" ca="1" si="0"/>
        <v>17</v>
      </c>
      <c r="E14" s="152" t="str">
        <f t="shared" si="1"/>
        <v>November</v>
      </c>
      <c r="F14" s="157" t="s">
        <v>272</v>
      </c>
      <c r="G14" s="159">
        <v>475256935</v>
      </c>
      <c r="H14" s="157" t="s">
        <v>256</v>
      </c>
      <c r="I14" s="52" t="s">
        <v>283</v>
      </c>
      <c r="J14" s="156" t="s">
        <v>280</v>
      </c>
      <c r="K14" s="53">
        <v>102360</v>
      </c>
      <c r="L14" s="151">
        <v>2</v>
      </c>
    </row>
    <row r="15" spans="1:12">
      <c r="A15" s="146" t="s">
        <v>717</v>
      </c>
      <c r="B15" s="155">
        <v>9194075460</v>
      </c>
      <c r="C15" s="153">
        <v>34559</v>
      </c>
      <c r="D15" s="51">
        <f t="shared" ca="1" si="0"/>
        <v>22</v>
      </c>
      <c r="E15" s="152" t="str">
        <f t="shared" si="1"/>
        <v>August</v>
      </c>
      <c r="F15" s="146" t="s">
        <v>272</v>
      </c>
      <c r="G15" s="154">
        <v>608796012</v>
      </c>
      <c r="H15" s="146" t="s">
        <v>256</v>
      </c>
      <c r="I15" s="52" t="s">
        <v>257</v>
      </c>
      <c r="J15" s="156" t="s">
        <v>285</v>
      </c>
      <c r="K15" s="53">
        <v>95712</v>
      </c>
      <c r="L15" s="151">
        <v>5</v>
      </c>
    </row>
    <row r="16" spans="1:12">
      <c r="A16" s="146" t="s">
        <v>335</v>
      </c>
      <c r="B16" s="155">
        <v>8021673267</v>
      </c>
      <c r="C16" s="153">
        <v>36192</v>
      </c>
      <c r="D16" s="51">
        <f t="shared" ca="1" si="0"/>
        <v>17</v>
      </c>
      <c r="E16" s="152" t="str">
        <f t="shared" si="1"/>
        <v>February</v>
      </c>
      <c r="F16" s="146" t="s">
        <v>272</v>
      </c>
      <c r="G16" s="154">
        <v>768681542</v>
      </c>
      <c r="H16" s="146" t="s">
        <v>256</v>
      </c>
      <c r="I16" s="52" t="s">
        <v>257</v>
      </c>
      <c r="J16" s="156" t="s">
        <v>285</v>
      </c>
      <c r="K16" s="53">
        <v>72996</v>
      </c>
      <c r="L16" s="151">
        <v>2</v>
      </c>
    </row>
    <row r="17" spans="1:12">
      <c r="A17" s="146" t="s">
        <v>977</v>
      </c>
      <c r="B17" s="155">
        <v>9197889149</v>
      </c>
      <c r="C17" s="153">
        <v>38510</v>
      </c>
      <c r="D17" s="51">
        <f t="shared" ca="1" si="0"/>
        <v>11</v>
      </c>
      <c r="E17" s="152" t="str">
        <f t="shared" si="1"/>
        <v>June</v>
      </c>
      <c r="F17" s="146" t="s">
        <v>272</v>
      </c>
      <c r="G17" s="154">
        <v>781913936</v>
      </c>
      <c r="H17" s="146" t="s">
        <v>261</v>
      </c>
      <c r="I17" s="52" t="s">
        <v>276</v>
      </c>
      <c r="J17" s="156" t="s">
        <v>271</v>
      </c>
      <c r="K17" s="53">
        <v>21282</v>
      </c>
      <c r="L17" s="151">
        <v>3</v>
      </c>
    </row>
    <row r="18" spans="1:12">
      <c r="A18" s="146" t="s">
        <v>655</v>
      </c>
      <c r="B18" s="160">
        <v>9195230846</v>
      </c>
      <c r="C18" s="153">
        <v>34210</v>
      </c>
      <c r="D18" s="51">
        <f t="shared" ca="1" si="0"/>
        <v>23</v>
      </c>
      <c r="E18" s="152" t="str">
        <f t="shared" si="1"/>
        <v>August</v>
      </c>
      <c r="F18" s="157" t="s">
        <v>272</v>
      </c>
      <c r="G18" s="159">
        <v>415076748</v>
      </c>
      <c r="H18" s="157" t="s">
        <v>252</v>
      </c>
      <c r="I18" s="52" t="s">
        <v>257</v>
      </c>
      <c r="J18" s="156" t="s">
        <v>280</v>
      </c>
      <c r="K18" s="53">
        <v>34884</v>
      </c>
      <c r="L18" s="151">
        <v>3</v>
      </c>
    </row>
    <row r="19" spans="1:12">
      <c r="A19" s="146" t="s">
        <v>552</v>
      </c>
      <c r="B19" s="160">
        <v>2523492633</v>
      </c>
      <c r="C19" s="153">
        <v>34202</v>
      </c>
      <c r="D19" s="51">
        <f t="shared" ca="1" si="0"/>
        <v>23</v>
      </c>
      <c r="E19" s="152" t="str">
        <f t="shared" si="1"/>
        <v>August</v>
      </c>
      <c r="F19" s="157" t="s">
        <v>272</v>
      </c>
      <c r="G19" s="159">
        <v>535539723</v>
      </c>
      <c r="H19" s="157" t="s">
        <v>261</v>
      </c>
      <c r="I19" s="52" t="s">
        <v>262</v>
      </c>
      <c r="J19" s="156" t="s">
        <v>271</v>
      </c>
      <c r="K19" s="53">
        <v>36534</v>
      </c>
      <c r="L19" s="151">
        <v>1</v>
      </c>
    </row>
    <row r="20" spans="1:12">
      <c r="A20" s="146" t="s">
        <v>581</v>
      </c>
      <c r="B20" s="155">
        <v>2528467597</v>
      </c>
      <c r="C20" s="153">
        <v>34804</v>
      </c>
      <c r="D20" s="51">
        <f t="shared" ca="1" si="0"/>
        <v>21</v>
      </c>
      <c r="E20" s="152" t="str">
        <f t="shared" si="1"/>
        <v>April</v>
      </c>
      <c r="F20" s="146" t="s">
        <v>272</v>
      </c>
      <c r="G20" s="154">
        <v>202815919</v>
      </c>
      <c r="H20" s="146" t="s">
        <v>247</v>
      </c>
      <c r="I20" s="52"/>
      <c r="J20" s="156" t="s">
        <v>271</v>
      </c>
      <c r="K20" s="53">
        <v>79896</v>
      </c>
      <c r="L20" s="151">
        <v>5</v>
      </c>
    </row>
    <row r="21" spans="1:12">
      <c r="A21" s="146" t="s">
        <v>1005</v>
      </c>
      <c r="B21" s="155">
        <v>9194680033</v>
      </c>
      <c r="C21" s="153">
        <v>37492</v>
      </c>
      <c r="D21" s="51">
        <f t="shared" ca="1" si="0"/>
        <v>14</v>
      </c>
      <c r="E21" s="152" t="str">
        <f t="shared" si="1"/>
        <v>August</v>
      </c>
      <c r="F21" s="146" t="s">
        <v>272</v>
      </c>
      <c r="G21" s="154">
        <v>456946966</v>
      </c>
      <c r="H21" s="146" t="s">
        <v>256</v>
      </c>
      <c r="I21" s="52" t="s">
        <v>276</v>
      </c>
      <c r="J21" s="156" t="s">
        <v>266</v>
      </c>
      <c r="K21" s="53">
        <v>89808</v>
      </c>
      <c r="L21" s="151">
        <v>4</v>
      </c>
    </row>
    <row r="22" spans="1:12">
      <c r="A22" s="146" t="s">
        <v>702</v>
      </c>
      <c r="B22" s="155">
        <v>9196479087</v>
      </c>
      <c r="C22" s="153">
        <v>36871</v>
      </c>
      <c r="D22" s="51">
        <f t="shared" ca="1" si="0"/>
        <v>15</v>
      </c>
      <c r="E22" s="152" t="str">
        <f t="shared" si="1"/>
        <v>December</v>
      </c>
      <c r="F22" s="146" t="s">
        <v>272</v>
      </c>
      <c r="G22" s="154">
        <v>481336564</v>
      </c>
      <c r="H22" s="146" t="s">
        <v>256</v>
      </c>
      <c r="I22" s="52" t="s">
        <v>283</v>
      </c>
      <c r="J22" s="156" t="s">
        <v>251</v>
      </c>
      <c r="K22" s="53">
        <v>86508</v>
      </c>
      <c r="L22" s="151">
        <v>5</v>
      </c>
    </row>
    <row r="23" spans="1:12">
      <c r="A23" s="146" t="s">
        <v>747</v>
      </c>
      <c r="B23" s="160">
        <v>2525832994</v>
      </c>
      <c r="C23" s="153">
        <v>40432</v>
      </c>
      <c r="D23" s="51">
        <f t="shared" ca="1" si="0"/>
        <v>6</v>
      </c>
      <c r="E23" s="152" t="str">
        <f t="shared" si="1"/>
        <v>September</v>
      </c>
      <c r="F23" s="157" t="s">
        <v>272</v>
      </c>
      <c r="G23" s="159">
        <v>297852686</v>
      </c>
      <c r="H23" s="157" t="s">
        <v>256</v>
      </c>
      <c r="I23" s="52" t="s">
        <v>276</v>
      </c>
      <c r="J23" s="156" t="s">
        <v>245</v>
      </c>
      <c r="K23" s="53">
        <v>69948</v>
      </c>
      <c r="L23" s="151">
        <v>5</v>
      </c>
    </row>
    <row r="24" spans="1:12">
      <c r="A24" s="146" t="s">
        <v>858</v>
      </c>
      <c r="B24" s="155">
        <v>2524383168</v>
      </c>
      <c r="C24" s="153">
        <v>34279</v>
      </c>
      <c r="D24" s="51">
        <f t="shared" ca="1" si="0"/>
        <v>23</v>
      </c>
      <c r="E24" s="152" t="str">
        <f t="shared" si="1"/>
        <v>November</v>
      </c>
      <c r="F24" s="146" t="s">
        <v>296</v>
      </c>
      <c r="G24" s="154">
        <v>963028490</v>
      </c>
      <c r="H24" s="146" t="s">
        <v>256</v>
      </c>
      <c r="I24" s="52" t="s">
        <v>262</v>
      </c>
      <c r="J24" s="156" t="s">
        <v>245</v>
      </c>
      <c r="K24" s="53">
        <v>49620</v>
      </c>
      <c r="L24" s="151">
        <v>2</v>
      </c>
    </row>
    <row r="25" spans="1:12">
      <c r="A25" s="146" t="s">
        <v>959</v>
      </c>
      <c r="B25" s="155">
        <v>9195882405</v>
      </c>
      <c r="C25" s="153">
        <v>35029</v>
      </c>
      <c r="D25" s="51">
        <f t="shared" ca="1" si="0"/>
        <v>20</v>
      </c>
      <c r="E25" s="152" t="str">
        <f t="shared" si="1"/>
        <v>November</v>
      </c>
      <c r="F25" s="146" t="s">
        <v>296</v>
      </c>
      <c r="G25" s="154">
        <v>237359447</v>
      </c>
      <c r="H25" s="146" t="s">
        <v>256</v>
      </c>
      <c r="I25" s="52" t="s">
        <v>257</v>
      </c>
      <c r="J25" s="156" t="s">
        <v>285</v>
      </c>
      <c r="K25" s="53">
        <v>88128</v>
      </c>
      <c r="L25" s="151">
        <v>1</v>
      </c>
    </row>
    <row r="26" spans="1:12">
      <c r="A26" s="146" t="s">
        <v>620</v>
      </c>
      <c r="B26" s="155">
        <v>9192572783</v>
      </c>
      <c r="C26" s="153">
        <v>36942</v>
      </c>
      <c r="D26" s="51">
        <f t="shared" ca="1" si="0"/>
        <v>15</v>
      </c>
      <c r="E26" s="152" t="str">
        <f t="shared" si="1"/>
        <v>February</v>
      </c>
      <c r="F26" s="146" t="s">
        <v>296</v>
      </c>
      <c r="G26" s="154">
        <v>533976888</v>
      </c>
      <c r="H26" s="146" t="s">
        <v>256</v>
      </c>
      <c r="I26" s="52" t="s">
        <v>276</v>
      </c>
      <c r="J26" s="156" t="s">
        <v>285</v>
      </c>
      <c r="K26" s="53">
        <v>57420</v>
      </c>
      <c r="L26" s="151">
        <v>1</v>
      </c>
    </row>
    <row r="27" spans="1:12">
      <c r="A27" s="146" t="s">
        <v>385</v>
      </c>
      <c r="B27" s="155">
        <v>9196699611</v>
      </c>
      <c r="C27" s="153">
        <v>37621</v>
      </c>
      <c r="D27" s="51">
        <f t="shared" ca="1" si="0"/>
        <v>13</v>
      </c>
      <c r="E27" s="152" t="str">
        <f t="shared" si="1"/>
        <v>December</v>
      </c>
      <c r="F27" s="146" t="s">
        <v>296</v>
      </c>
      <c r="G27" s="154">
        <v>278431222</v>
      </c>
      <c r="H27" s="146" t="s">
        <v>256</v>
      </c>
      <c r="I27" s="52" t="s">
        <v>283</v>
      </c>
      <c r="J27" s="156" t="s">
        <v>245</v>
      </c>
      <c r="K27" s="53">
        <v>40368</v>
      </c>
      <c r="L27" s="151">
        <v>3</v>
      </c>
    </row>
    <row r="28" spans="1:12">
      <c r="A28" s="146" t="s">
        <v>972</v>
      </c>
      <c r="B28" s="155">
        <v>9196822349</v>
      </c>
      <c r="C28" s="153">
        <v>40834</v>
      </c>
      <c r="D28" s="51">
        <f t="shared" ca="1" si="0"/>
        <v>5</v>
      </c>
      <c r="E28" s="152" t="str">
        <f t="shared" si="1"/>
        <v>October</v>
      </c>
      <c r="F28" s="146" t="s">
        <v>296</v>
      </c>
      <c r="G28" s="154">
        <v>460412180</v>
      </c>
      <c r="H28" s="146" t="s">
        <v>256</v>
      </c>
      <c r="I28" s="52" t="s">
        <v>262</v>
      </c>
      <c r="J28" s="156" t="s">
        <v>245</v>
      </c>
      <c r="K28" s="53">
        <v>61416</v>
      </c>
      <c r="L28" s="151">
        <v>3</v>
      </c>
    </row>
    <row r="29" spans="1:12">
      <c r="A29" s="146" t="s">
        <v>547</v>
      </c>
      <c r="B29" s="155">
        <v>2528304204</v>
      </c>
      <c r="C29" s="153">
        <v>36402</v>
      </c>
      <c r="D29" s="51">
        <f t="shared" ca="1" si="0"/>
        <v>17</v>
      </c>
      <c r="E29" s="152" t="str">
        <f t="shared" si="1"/>
        <v>August</v>
      </c>
      <c r="F29" s="146" t="s">
        <v>296</v>
      </c>
      <c r="G29" s="154">
        <v>243350742</v>
      </c>
      <c r="H29" s="146" t="s">
        <v>252</v>
      </c>
      <c r="I29" s="52"/>
      <c r="J29" s="156" t="s">
        <v>271</v>
      </c>
      <c r="K29" s="53">
        <v>24034</v>
      </c>
      <c r="L29" s="151">
        <v>4</v>
      </c>
    </row>
    <row r="30" spans="1:12">
      <c r="A30" s="146" t="s">
        <v>343</v>
      </c>
      <c r="B30" s="155">
        <v>2521593705</v>
      </c>
      <c r="C30" s="153">
        <v>36187</v>
      </c>
      <c r="D30" s="51">
        <f t="shared" ca="1" si="0"/>
        <v>17</v>
      </c>
      <c r="E30" s="152" t="str">
        <f t="shared" si="1"/>
        <v>January</v>
      </c>
      <c r="F30" s="146" t="s">
        <v>296</v>
      </c>
      <c r="G30" s="154">
        <v>216607562</v>
      </c>
      <c r="H30" s="146" t="s">
        <v>256</v>
      </c>
      <c r="I30" s="52" t="s">
        <v>283</v>
      </c>
      <c r="J30" s="156" t="s">
        <v>271</v>
      </c>
      <c r="K30" s="53">
        <v>59232</v>
      </c>
      <c r="L30" s="151">
        <v>2</v>
      </c>
    </row>
    <row r="31" spans="1:12">
      <c r="A31" s="146" t="s">
        <v>389</v>
      </c>
      <c r="B31" s="155">
        <v>9193539483</v>
      </c>
      <c r="C31" s="153">
        <v>37347</v>
      </c>
      <c r="D31" s="51">
        <f t="shared" ca="1" si="0"/>
        <v>14</v>
      </c>
      <c r="E31" s="152" t="str">
        <f t="shared" si="1"/>
        <v>April</v>
      </c>
      <c r="F31" s="146" t="s">
        <v>296</v>
      </c>
      <c r="G31" s="154">
        <v>515543972</v>
      </c>
      <c r="H31" s="146" t="s">
        <v>256</v>
      </c>
      <c r="I31" s="52" t="s">
        <v>267</v>
      </c>
      <c r="J31" s="156" t="s">
        <v>245</v>
      </c>
      <c r="K31" s="53">
        <v>67728</v>
      </c>
      <c r="L31" s="151">
        <v>1</v>
      </c>
    </row>
    <row r="32" spans="1:12">
      <c r="A32" s="146" t="s">
        <v>571</v>
      </c>
      <c r="B32" s="155">
        <v>2527515181</v>
      </c>
      <c r="C32" s="153">
        <v>38779</v>
      </c>
      <c r="D32" s="51">
        <f t="shared" ca="1" si="0"/>
        <v>10</v>
      </c>
      <c r="E32" s="152" t="str">
        <f t="shared" si="1"/>
        <v>March</v>
      </c>
      <c r="F32" s="146" t="s">
        <v>296</v>
      </c>
      <c r="G32" s="154">
        <v>764375259</v>
      </c>
      <c r="H32" s="146" t="s">
        <v>256</v>
      </c>
      <c r="I32" s="52" t="s">
        <v>257</v>
      </c>
      <c r="J32" s="156" t="s">
        <v>251</v>
      </c>
      <c r="K32" s="53">
        <v>36420</v>
      </c>
      <c r="L32" s="151">
        <v>1</v>
      </c>
    </row>
    <row r="33" spans="1:12">
      <c r="A33" s="146" t="s">
        <v>843</v>
      </c>
      <c r="B33" s="155">
        <v>2525327906</v>
      </c>
      <c r="C33" s="153">
        <v>36292</v>
      </c>
      <c r="D33" s="51">
        <f t="shared" ca="1" si="0"/>
        <v>17</v>
      </c>
      <c r="E33" s="152" t="str">
        <f t="shared" si="1"/>
        <v>May</v>
      </c>
      <c r="F33" s="146" t="s">
        <v>296</v>
      </c>
      <c r="G33" s="154">
        <v>796079833</v>
      </c>
      <c r="H33" s="146" t="s">
        <v>261</v>
      </c>
      <c r="I33" s="52" t="s">
        <v>257</v>
      </c>
      <c r="J33" s="156" t="s">
        <v>245</v>
      </c>
      <c r="K33" s="53">
        <v>13230</v>
      </c>
      <c r="L33" s="151">
        <v>1</v>
      </c>
    </row>
    <row r="34" spans="1:12">
      <c r="A34" s="146" t="s">
        <v>1006</v>
      </c>
      <c r="B34" s="155">
        <v>9198085402</v>
      </c>
      <c r="C34" s="153">
        <v>40880</v>
      </c>
      <c r="D34" s="51">
        <f t="shared" ca="1" si="0"/>
        <v>4</v>
      </c>
      <c r="E34" s="152" t="str">
        <f t="shared" si="1"/>
        <v>December</v>
      </c>
      <c r="F34" s="146" t="s">
        <v>307</v>
      </c>
      <c r="G34" s="154">
        <v>601942708</v>
      </c>
      <c r="H34" s="146" t="s">
        <v>261</v>
      </c>
      <c r="I34" s="52" t="s">
        <v>283</v>
      </c>
      <c r="J34" s="156" t="s">
        <v>271</v>
      </c>
      <c r="K34" s="53">
        <v>34416</v>
      </c>
      <c r="L34" s="151">
        <v>1</v>
      </c>
    </row>
    <row r="35" spans="1:12">
      <c r="A35" s="146" t="s">
        <v>601</v>
      </c>
      <c r="B35" s="155">
        <v>2526169135</v>
      </c>
      <c r="C35" s="153">
        <v>40145</v>
      </c>
      <c r="D35" s="51">
        <f t="shared" ca="1" si="0"/>
        <v>6</v>
      </c>
      <c r="E35" s="152" t="str">
        <f t="shared" si="1"/>
        <v>November</v>
      </c>
      <c r="F35" s="146" t="s">
        <v>307</v>
      </c>
      <c r="G35" s="154">
        <v>534034571</v>
      </c>
      <c r="H35" s="146" t="s">
        <v>261</v>
      </c>
      <c r="I35" s="52" t="s">
        <v>267</v>
      </c>
      <c r="J35" s="156" t="s">
        <v>285</v>
      </c>
      <c r="K35" s="53">
        <v>55314</v>
      </c>
      <c r="L35" s="151">
        <v>3</v>
      </c>
    </row>
    <row r="36" spans="1:12">
      <c r="A36" s="146" t="s">
        <v>925</v>
      </c>
      <c r="B36" s="155">
        <v>9194603155</v>
      </c>
      <c r="C36" s="153">
        <v>34441</v>
      </c>
      <c r="D36" s="51">
        <f t="shared" ca="1" si="0"/>
        <v>22</v>
      </c>
      <c r="E36" s="152" t="str">
        <f t="shared" si="1"/>
        <v>April</v>
      </c>
      <c r="F36" s="146" t="s">
        <v>307</v>
      </c>
      <c r="G36" s="154">
        <v>682791418</v>
      </c>
      <c r="H36" s="146" t="s">
        <v>256</v>
      </c>
      <c r="I36" s="52" t="s">
        <v>257</v>
      </c>
      <c r="J36" s="156" t="s">
        <v>285</v>
      </c>
      <c r="K36" s="53">
        <v>55464</v>
      </c>
      <c r="L36" s="151">
        <v>3</v>
      </c>
    </row>
    <row r="37" spans="1:12">
      <c r="A37" s="146" t="s">
        <v>850</v>
      </c>
      <c r="B37" s="155">
        <v>2528006736</v>
      </c>
      <c r="C37" s="153">
        <v>36123</v>
      </c>
      <c r="D37" s="51">
        <f t="shared" ca="1" si="0"/>
        <v>17</v>
      </c>
      <c r="E37" s="152" t="str">
        <f t="shared" si="1"/>
        <v>November</v>
      </c>
      <c r="F37" s="146" t="s">
        <v>307</v>
      </c>
      <c r="G37" s="154">
        <v>529609767</v>
      </c>
      <c r="H37" s="146" t="s">
        <v>247</v>
      </c>
      <c r="I37" s="52"/>
      <c r="J37" s="156" t="s">
        <v>280</v>
      </c>
      <c r="K37" s="53">
        <v>69756</v>
      </c>
      <c r="L37" s="151">
        <v>2</v>
      </c>
    </row>
    <row r="38" spans="1:12">
      <c r="A38" s="146" t="s">
        <v>770</v>
      </c>
      <c r="B38" s="155">
        <v>2526101454</v>
      </c>
      <c r="C38" s="153">
        <v>36233</v>
      </c>
      <c r="D38" s="51">
        <f t="shared" ca="1" si="0"/>
        <v>17</v>
      </c>
      <c r="E38" s="152" t="str">
        <f t="shared" si="1"/>
        <v>March</v>
      </c>
      <c r="F38" s="146" t="s">
        <v>312</v>
      </c>
      <c r="G38" s="154">
        <v>627678686</v>
      </c>
      <c r="H38" s="146" t="s">
        <v>247</v>
      </c>
      <c r="I38" s="52"/>
      <c r="J38" s="156" t="s">
        <v>271</v>
      </c>
      <c r="K38" s="53">
        <v>89688</v>
      </c>
      <c r="L38" s="151">
        <v>5</v>
      </c>
    </row>
    <row r="39" spans="1:12">
      <c r="A39" s="146" t="s">
        <v>861</v>
      </c>
      <c r="B39" s="155">
        <v>9195511103</v>
      </c>
      <c r="C39" s="153">
        <v>41303</v>
      </c>
      <c r="D39" s="51">
        <f t="shared" ca="1" si="0"/>
        <v>3</v>
      </c>
      <c r="E39" s="152" t="str">
        <f t="shared" si="1"/>
        <v>January</v>
      </c>
      <c r="F39" s="146" t="s">
        <v>312</v>
      </c>
      <c r="G39" s="154">
        <v>877122222</v>
      </c>
      <c r="H39" s="146" t="s">
        <v>256</v>
      </c>
      <c r="I39" s="52" t="s">
        <v>276</v>
      </c>
      <c r="J39" s="156" t="s">
        <v>251</v>
      </c>
      <c r="K39" s="53">
        <v>89652</v>
      </c>
      <c r="L39" s="151">
        <v>2</v>
      </c>
    </row>
    <row r="40" spans="1:12">
      <c r="A40" s="146" t="s">
        <v>931</v>
      </c>
      <c r="B40" s="155">
        <v>2522339143</v>
      </c>
      <c r="C40" s="153">
        <v>35724</v>
      </c>
      <c r="D40" s="51">
        <f t="shared" ca="1" si="0"/>
        <v>19</v>
      </c>
      <c r="E40" s="152" t="str">
        <f t="shared" si="1"/>
        <v>October</v>
      </c>
      <c r="F40" s="146" t="s">
        <v>312</v>
      </c>
      <c r="G40" s="154">
        <v>964243524</v>
      </c>
      <c r="H40" s="146" t="s">
        <v>256</v>
      </c>
      <c r="I40" s="52" t="s">
        <v>257</v>
      </c>
      <c r="J40" s="156" t="s">
        <v>266</v>
      </c>
      <c r="K40" s="53">
        <v>81468</v>
      </c>
      <c r="L40" s="151">
        <v>5</v>
      </c>
    </row>
    <row r="41" spans="1:12">
      <c r="A41" s="146" t="s">
        <v>471</v>
      </c>
      <c r="B41" s="155">
        <v>2523542524</v>
      </c>
      <c r="C41" s="153">
        <v>35925</v>
      </c>
      <c r="D41" s="51">
        <f t="shared" ca="1" si="0"/>
        <v>18</v>
      </c>
      <c r="E41" s="152" t="str">
        <f t="shared" si="1"/>
        <v>May</v>
      </c>
      <c r="F41" s="146" t="s">
        <v>312</v>
      </c>
      <c r="G41" s="154">
        <v>344090854</v>
      </c>
      <c r="H41" s="146" t="s">
        <v>256</v>
      </c>
      <c r="I41" s="52" t="s">
        <v>276</v>
      </c>
      <c r="J41" s="156" t="s">
        <v>251</v>
      </c>
      <c r="K41" s="53">
        <v>98544</v>
      </c>
      <c r="L41" s="151">
        <v>5</v>
      </c>
    </row>
    <row r="42" spans="1:12">
      <c r="A42" s="146" t="s">
        <v>311</v>
      </c>
      <c r="B42" s="155">
        <v>9196299247</v>
      </c>
      <c r="C42" s="153">
        <v>36787</v>
      </c>
      <c r="D42" s="51">
        <f t="shared" ca="1" si="0"/>
        <v>16</v>
      </c>
      <c r="E42" s="152" t="str">
        <f t="shared" si="1"/>
        <v>September</v>
      </c>
      <c r="F42" s="146" t="s">
        <v>312</v>
      </c>
      <c r="G42" s="154">
        <v>126492342</v>
      </c>
      <c r="H42" s="146" t="s">
        <v>252</v>
      </c>
      <c r="I42" s="52"/>
      <c r="J42" s="156" t="s">
        <v>245</v>
      </c>
      <c r="K42" s="53">
        <v>22200</v>
      </c>
      <c r="L42" s="151">
        <v>5</v>
      </c>
    </row>
    <row r="43" spans="1:12">
      <c r="A43" s="146" t="s">
        <v>864</v>
      </c>
      <c r="B43" s="155">
        <v>2523962015</v>
      </c>
      <c r="C43" s="153">
        <v>35202</v>
      </c>
      <c r="D43" s="51">
        <f t="shared" ca="1" si="0"/>
        <v>20</v>
      </c>
      <c r="E43" s="152" t="str">
        <f t="shared" si="1"/>
        <v>May</v>
      </c>
      <c r="F43" s="146" t="s">
        <v>312</v>
      </c>
      <c r="G43" s="154">
        <v>496260023</v>
      </c>
      <c r="H43" s="146" t="s">
        <v>256</v>
      </c>
      <c r="I43" s="52" t="s">
        <v>262</v>
      </c>
      <c r="J43" s="156" t="s">
        <v>285</v>
      </c>
      <c r="K43" s="53">
        <v>89604</v>
      </c>
      <c r="L43" s="151">
        <v>5</v>
      </c>
    </row>
    <row r="44" spans="1:12">
      <c r="A44" s="146" t="s">
        <v>866</v>
      </c>
      <c r="B44" s="155">
        <v>2524588703</v>
      </c>
      <c r="C44" s="153">
        <v>34076</v>
      </c>
      <c r="D44" s="51">
        <f t="shared" ca="1" si="0"/>
        <v>23</v>
      </c>
      <c r="E44" s="152" t="str">
        <f t="shared" si="1"/>
        <v>April</v>
      </c>
      <c r="F44" s="146" t="s">
        <v>312</v>
      </c>
      <c r="G44" s="154">
        <v>787156286</v>
      </c>
      <c r="H44" s="146" t="s">
        <v>256</v>
      </c>
      <c r="I44" s="52" t="s">
        <v>276</v>
      </c>
      <c r="J44" s="156" t="s">
        <v>245</v>
      </c>
      <c r="K44" s="53">
        <v>59772</v>
      </c>
      <c r="L44" s="151">
        <v>2</v>
      </c>
    </row>
    <row r="45" spans="1:12">
      <c r="A45" s="146" t="s">
        <v>630</v>
      </c>
      <c r="B45" s="155">
        <v>2524734960</v>
      </c>
      <c r="C45" s="153">
        <v>34894</v>
      </c>
      <c r="D45" s="51">
        <f t="shared" ca="1" si="0"/>
        <v>21</v>
      </c>
      <c r="E45" s="152" t="str">
        <f t="shared" si="1"/>
        <v>July</v>
      </c>
      <c r="F45" s="146" t="s">
        <v>312</v>
      </c>
      <c r="G45" s="154">
        <v>148899089</v>
      </c>
      <c r="H45" s="146" t="s">
        <v>261</v>
      </c>
      <c r="I45" s="52" t="s">
        <v>257</v>
      </c>
      <c r="J45" s="156" t="s">
        <v>271</v>
      </c>
      <c r="K45" s="53">
        <v>32268</v>
      </c>
      <c r="L45" s="151">
        <v>3</v>
      </c>
    </row>
    <row r="46" spans="1:12">
      <c r="A46" s="146" t="s">
        <v>682</v>
      </c>
      <c r="B46" s="155">
        <v>2524077699</v>
      </c>
      <c r="C46" s="153">
        <v>37904</v>
      </c>
      <c r="D46" s="51">
        <f t="shared" ca="1" si="0"/>
        <v>13</v>
      </c>
      <c r="E46" s="152" t="str">
        <f t="shared" si="1"/>
        <v>October</v>
      </c>
      <c r="F46" s="146" t="s">
        <v>312</v>
      </c>
      <c r="G46" s="154">
        <v>436693732</v>
      </c>
      <c r="H46" s="146" t="s">
        <v>256</v>
      </c>
      <c r="I46" s="52" t="s">
        <v>267</v>
      </c>
      <c r="J46" s="156" t="s">
        <v>271</v>
      </c>
      <c r="K46" s="53">
        <v>75348</v>
      </c>
      <c r="L46" s="151">
        <v>2</v>
      </c>
    </row>
    <row r="47" spans="1:12">
      <c r="A47" s="157" t="s">
        <v>275</v>
      </c>
      <c r="B47" s="155">
        <v>2522005810</v>
      </c>
      <c r="C47" s="153">
        <v>36766</v>
      </c>
      <c r="D47" s="51">
        <f t="shared" ca="1" si="0"/>
        <v>16</v>
      </c>
      <c r="E47" s="152" t="str">
        <f t="shared" si="1"/>
        <v>August</v>
      </c>
      <c r="F47" s="146" t="s">
        <v>312</v>
      </c>
      <c r="G47" s="154">
        <v>163292583</v>
      </c>
      <c r="H47" s="146" t="s">
        <v>247</v>
      </c>
      <c r="I47" s="52"/>
      <c r="J47" s="156" t="s">
        <v>280</v>
      </c>
      <c r="K47" s="53">
        <v>36408</v>
      </c>
      <c r="L47" s="151">
        <v>3</v>
      </c>
    </row>
    <row r="48" spans="1:12">
      <c r="A48" s="146" t="s">
        <v>779</v>
      </c>
      <c r="B48" s="155">
        <v>2521391475</v>
      </c>
      <c r="C48" s="153">
        <v>41324</v>
      </c>
      <c r="D48" s="51">
        <f t="shared" ca="1" si="0"/>
        <v>3</v>
      </c>
      <c r="E48" s="152" t="str">
        <f t="shared" si="1"/>
        <v>February</v>
      </c>
      <c r="F48" s="146" t="s">
        <v>312</v>
      </c>
      <c r="G48" s="154">
        <v>129397083</v>
      </c>
      <c r="H48" s="146" t="s">
        <v>256</v>
      </c>
      <c r="I48" s="52" t="s">
        <v>267</v>
      </c>
      <c r="J48" s="156" t="s">
        <v>285</v>
      </c>
      <c r="K48" s="53">
        <v>82692</v>
      </c>
      <c r="L48" s="151">
        <v>5</v>
      </c>
    </row>
    <row r="49" spans="1:12">
      <c r="A49" s="146" t="s">
        <v>781</v>
      </c>
      <c r="B49" s="155">
        <v>9195993367</v>
      </c>
      <c r="C49" s="153">
        <v>34200</v>
      </c>
      <c r="D49" s="51">
        <f t="shared" ca="1" si="0"/>
        <v>23</v>
      </c>
      <c r="E49" s="152" t="str">
        <f t="shared" si="1"/>
        <v>August</v>
      </c>
      <c r="F49" s="146" t="s">
        <v>312</v>
      </c>
      <c r="G49" s="154">
        <v>768215237</v>
      </c>
      <c r="H49" s="146" t="s">
        <v>261</v>
      </c>
      <c r="I49" s="52" t="s">
        <v>262</v>
      </c>
      <c r="J49" s="156" t="s">
        <v>285</v>
      </c>
      <c r="K49" s="53">
        <v>16560</v>
      </c>
      <c r="L49" s="151">
        <v>3</v>
      </c>
    </row>
    <row r="50" spans="1:12">
      <c r="A50" s="146" t="s">
        <v>619</v>
      </c>
      <c r="B50" s="155">
        <v>2522511732</v>
      </c>
      <c r="C50" s="153">
        <v>35888</v>
      </c>
      <c r="D50" s="51">
        <f t="shared" ca="1" si="0"/>
        <v>18</v>
      </c>
      <c r="E50" s="152" t="str">
        <f t="shared" si="1"/>
        <v>April</v>
      </c>
      <c r="F50" s="146" t="s">
        <v>312</v>
      </c>
      <c r="G50" s="154">
        <v>841913875</v>
      </c>
      <c r="H50" s="146" t="s">
        <v>247</v>
      </c>
      <c r="I50" s="52"/>
      <c r="J50" s="156" t="s">
        <v>245</v>
      </c>
      <c r="K50" s="53">
        <v>60660</v>
      </c>
      <c r="L50" s="151">
        <v>2</v>
      </c>
    </row>
    <row r="51" spans="1:12">
      <c r="A51" s="146" t="s">
        <v>939</v>
      </c>
      <c r="B51" s="155">
        <v>9193825834</v>
      </c>
      <c r="C51" s="153">
        <v>36668</v>
      </c>
      <c r="D51" s="51">
        <f t="shared" ca="1" si="0"/>
        <v>16</v>
      </c>
      <c r="E51" s="152" t="str">
        <f t="shared" si="1"/>
        <v>May</v>
      </c>
      <c r="F51" s="146" t="s">
        <v>312</v>
      </c>
      <c r="G51" s="154">
        <v>267218084</v>
      </c>
      <c r="H51" s="146" t="s">
        <v>247</v>
      </c>
      <c r="I51" s="52"/>
      <c r="J51" s="156" t="s">
        <v>266</v>
      </c>
      <c r="K51" s="53">
        <v>105600</v>
      </c>
      <c r="L51" s="151">
        <v>5</v>
      </c>
    </row>
    <row r="52" spans="1:12">
      <c r="A52" s="146" t="s">
        <v>309</v>
      </c>
      <c r="B52" s="155">
        <v>2526168483</v>
      </c>
      <c r="C52" s="153">
        <v>37330</v>
      </c>
      <c r="D52" s="51">
        <f t="shared" ca="1" si="0"/>
        <v>14</v>
      </c>
      <c r="E52" s="152" t="str">
        <f t="shared" si="1"/>
        <v>March</v>
      </c>
      <c r="F52" s="146" t="s">
        <v>312</v>
      </c>
      <c r="G52" s="154">
        <v>856215418</v>
      </c>
      <c r="H52" s="146" t="s">
        <v>252</v>
      </c>
      <c r="I52" s="52"/>
      <c r="J52" s="156" t="s">
        <v>285</v>
      </c>
      <c r="K52" s="53">
        <v>36096</v>
      </c>
      <c r="L52" s="151">
        <v>3</v>
      </c>
    </row>
    <row r="53" spans="1:12">
      <c r="A53" s="146" t="s">
        <v>870</v>
      </c>
      <c r="B53" s="155">
        <v>2527491979</v>
      </c>
      <c r="C53" s="153">
        <v>34255</v>
      </c>
      <c r="D53" s="51">
        <f t="shared" ca="1" si="0"/>
        <v>23</v>
      </c>
      <c r="E53" s="152" t="str">
        <f t="shared" si="1"/>
        <v>October</v>
      </c>
      <c r="F53" s="146" t="s">
        <v>312</v>
      </c>
      <c r="G53" s="154">
        <v>631405285</v>
      </c>
      <c r="H53" s="146" t="s">
        <v>256</v>
      </c>
      <c r="I53" s="52" t="s">
        <v>283</v>
      </c>
      <c r="J53" s="156" t="s">
        <v>271</v>
      </c>
      <c r="K53" s="53">
        <v>103104</v>
      </c>
      <c r="L53" s="151">
        <v>4</v>
      </c>
    </row>
    <row r="54" spans="1:12">
      <c r="A54" s="146" t="s">
        <v>371</v>
      </c>
      <c r="B54" s="155">
        <v>9197528456</v>
      </c>
      <c r="C54" s="153">
        <v>39768</v>
      </c>
      <c r="D54" s="51">
        <f t="shared" ca="1" si="0"/>
        <v>7</v>
      </c>
      <c r="E54" s="152" t="str">
        <f t="shared" si="1"/>
        <v>November</v>
      </c>
      <c r="F54" s="146" t="s">
        <v>312</v>
      </c>
      <c r="G54" s="154">
        <v>580960042</v>
      </c>
      <c r="H54" s="146" t="s">
        <v>247</v>
      </c>
      <c r="I54" s="52"/>
      <c r="J54" s="156" t="s">
        <v>245</v>
      </c>
      <c r="K54" s="53">
        <v>74580</v>
      </c>
      <c r="L54" s="151">
        <v>4</v>
      </c>
    </row>
    <row r="55" spans="1:12">
      <c r="A55" s="146" t="s">
        <v>496</v>
      </c>
      <c r="B55" s="155">
        <v>2528046670</v>
      </c>
      <c r="C55" s="153">
        <v>36297</v>
      </c>
      <c r="D55" s="51">
        <f t="shared" ca="1" si="0"/>
        <v>17</v>
      </c>
      <c r="E55" s="152" t="str">
        <f t="shared" si="1"/>
        <v>May</v>
      </c>
      <c r="F55" s="146" t="s">
        <v>312</v>
      </c>
      <c r="G55" s="154">
        <v>164904130</v>
      </c>
      <c r="H55" s="146" t="s">
        <v>247</v>
      </c>
      <c r="I55" s="52"/>
      <c r="J55" s="156" t="s">
        <v>285</v>
      </c>
      <c r="K55" s="53">
        <v>101040</v>
      </c>
      <c r="L55" s="151">
        <v>2</v>
      </c>
    </row>
    <row r="56" spans="1:12">
      <c r="A56" s="146" t="s">
        <v>941</v>
      </c>
      <c r="B56" s="155">
        <v>9197713771</v>
      </c>
      <c r="C56" s="153">
        <v>40687</v>
      </c>
      <c r="D56" s="51">
        <f t="shared" ca="1" si="0"/>
        <v>5</v>
      </c>
      <c r="E56" s="152" t="str">
        <f t="shared" si="1"/>
        <v>May</v>
      </c>
      <c r="F56" s="146" t="s">
        <v>312</v>
      </c>
      <c r="G56" s="154">
        <v>653843221</v>
      </c>
      <c r="H56" s="146" t="s">
        <v>247</v>
      </c>
      <c r="I56" s="52"/>
      <c r="J56" s="156" t="s">
        <v>285</v>
      </c>
      <c r="K56" s="53">
        <v>95352</v>
      </c>
      <c r="L56" s="151">
        <v>5</v>
      </c>
    </row>
    <row r="57" spans="1:12">
      <c r="A57" s="146" t="s">
        <v>319</v>
      </c>
      <c r="B57" s="155">
        <v>9193274978</v>
      </c>
      <c r="C57" s="153">
        <v>35379</v>
      </c>
      <c r="D57" s="51">
        <f t="shared" ca="1" si="0"/>
        <v>20</v>
      </c>
      <c r="E57" s="152" t="str">
        <f t="shared" si="1"/>
        <v>November</v>
      </c>
      <c r="F57" s="146" t="s">
        <v>312</v>
      </c>
      <c r="G57" s="154">
        <v>644862142</v>
      </c>
      <c r="H57" s="146" t="s">
        <v>247</v>
      </c>
      <c r="I57" s="52"/>
      <c r="J57" s="156" t="s">
        <v>285</v>
      </c>
      <c r="K57" s="53">
        <v>56004</v>
      </c>
      <c r="L57" s="151">
        <v>3</v>
      </c>
    </row>
    <row r="58" spans="1:12">
      <c r="A58" s="146" t="s">
        <v>636</v>
      </c>
      <c r="B58" s="155">
        <v>2526396432</v>
      </c>
      <c r="C58" s="153">
        <v>34474</v>
      </c>
      <c r="D58" s="51">
        <f t="shared" ca="1" si="0"/>
        <v>22</v>
      </c>
      <c r="E58" s="152" t="str">
        <f t="shared" si="1"/>
        <v>May</v>
      </c>
      <c r="F58" s="146" t="s">
        <v>312</v>
      </c>
      <c r="G58" s="154">
        <v>667812117</v>
      </c>
      <c r="H58" s="146" t="s">
        <v>256</v>
      </c>
      <c r="I58" s="52" t="s">
        <v>262</v>
      </c>
      <c r="J58" s="156" t="s">
        <v>285</v>
      </c>
      <c r="K58" s="53">
        <v>38196</v>
      </c>
      <c r="L58" s="151">
        <v>3</v>
      </c>
    </row>
    <row r="59" spans="1:12">
      <c r="A59" s="146" t="s">
        <v>877</v>
      </c>
      <c r="B59" s="155">
        <v>9192121334</v>
      </c>
      <c r="C59" s="153">
        <v>37969</v>
      </c>
      <c r="D59" s="51">
        <f t="shared" ca="1" si="0"/>
        <v>12</v>
      </c>
      <c r="E59" s="152" t="str">
        <f t="shared" si="1"/>
        <v>December</v>
      </c>
      <c r="F59" s="146" t="s">
        <v>312</v>
      </c>
      <c r="G59" s="154">
        <v>831188207</v>
      </c>
      <c r="H59" s="146" t="s">
        <v>256</v>
      </c>
      <c r="I59" s="52" t="s">
        <v>257</v>
      </c>
      <c r="J59" s="156" t="s">
        <v>271</v>
      </c>
      <c r="K59" s="53">
        <v>86340</v>
      </c>
      <c r="L59" s="151">
        <v>5</v>
      </c>
    </row>
    <row r="60" spans="1:12">
      <c r="A60" s="146" t="s">
        <v>716</v>
      </c>
      <c r="B60" s="155">
        <v>9197692593</v>
      </c>
      <c r="C60" s="153">
        <v>35560</v>
      </c>
      <c r="D60" s="51">
        <f t="shared" ca="1" si="0"/>
        <v>19</v>
      </c>
      <c r="E60" s="152" t="str">
        <f t="shared" si="1"/>
        <v>May</v>
      </c>
      <c r="F60" s="146" t="s">
        <v>312</v>
      </c>
      <c r="G60" s="154">
        <v>147261161</v>
      </c>
      <c r="H60" s="146" t="s">
        <v>256</v>
      </c>
      <c r="I60" s="52" t="s">
        <v>257</v>
      </c>
      <c r="J60" s="156" t="s">
        <v>271</v>
      </c>
      <c r="K60" s="53">
        <v>38292</v>
      </c>
      <c r="L60" s="151">
        <v>5</v>
      </c>
    </row>
    <row r="61" spans="1:12">
      <c r="A61" s="146" t="s">
        <v>796</v>
      </c>
      <c r="B61" s="155">
        <v>9198314799</v>
      </c>
      <c r="C61" s="153">
        <v>38076</v>
      </c>
      <c r="D61" s="51">
        <f t="shared" ca="1" si="0"/>
        <v>12</v>
      </c>
      <c r="E61" s="152" t="str">
        <f t="shared" si="1"/>
        <v>March</v>
      </c>
      <c r="F61" s="146" t="s">
        <v>312</v>
      </c>
      <c r="G61" s="154">
        <v>333947685</v>
      </c>
      <c r="H61" s="146" t="s">
        <v>256</v>
      </c>
      <c r="I61" s="52" t="s">
        <v>262</v>
      </c>
      <c r="J61" s="156" t="s">
        <v>285</v>
      </c>
      <c r="K61" s="53">
        <v>103056</v>
      </c>
      <c r="L61" s="151">
        <v>3</v>
      </c>
    </row>
    <row r="62" spans="1:12">
      <c r="A62" s="146" t="s">
        <v>797</v>
      </c>
      <c r="B62" s="155">
        <v>9191362796</v>
      </c>
      <c r="C62" s="153">
        <v>39635</v>
      </c>
      <c r="D62" s="51">
        <f t="shared" ca="1" si="0"/>
        <v>8</v>
      </c>
      <c r="E62" s="152" t="str">
        <f t="shared" si="1"/>
        <v>July</v>
      </c>
      <c r="F62" s="146" t="s">
        <v>312</v>
      </c>
      <c r="G62" s="154">
        <v>427811310</v>
      </c>
      <c r="H62" s="146" t="s">
        <v>247</v>
      </c>
      <c r="I62" s="52"/>
      <c r="J62" s="156" t="s">
        <v>285</v>
      </c>
      <c r="K62" s="53">
        <v>107172</v>
      </c>
      <c r="L62" s="151">
        <v>5</v>
      </c>
    </row>
    <row r="63" spans="1:12">
      <c r="A63" s="146" t="s">
        <v>800</v>
      </c>
      <c r="B63" s="155">
        <v>9196252690</v>
      </c>
      <c r="C63" s="153">
        <v>36395</v>
      </c>
      <c r="D63" s="51">
        <f t="shared" ca="1" si="0"/>
        <v>17</v>
      </c>
      <c r="E63" s="152" t="str">
        <f t="shared" si="1"/>
        <v>August</v>
      </c>
      <c r="F63" s="146" t="s">
        <v>312</v>
      </c>
      <c r="G63" s="154">
        <v>415228597</v>
      </c>
      <c r="H63" s="146" t="s">
        <v>256</v>
      </c>
      <c r="I63" s="52" t="s">
        <v>257</v>
      </c>
      <c r="J63" s="156" t="s">
        <v>245</v>
      </c>
      <c r="K63" s="53">
        <v>49104</v>
      </c>
      <c r="L63" s="151">
        <v>4</v>
      </c>
    </row>
    <row r="64" spans="1:12">
      <c r="A64" s="146" t="s">
        <v>522</v>
      </c>
      <c r="B64" s="155">
        <v>2528611970</v>
      </c>
      <c r="C64" s="153">
        <v>35276</v>
      </c>
      <c r="D64" s="51">
        <f t="shared" ca="1" si="0"/>
        <v>20</v>
      </c>
      <c r="E64" s="152" t="str">
        <f t="shared" si="1"/>
        <v>July</v>
      </c>
      <c r="F64" s="146" t="s">
        <v>312</v>
      </c>
      <c r="G64" s="154">
        <v>870106287</v>
      </c>
      <c r="H64" s="146" t="s">
        <v>261</v>
      </c>
      <c r="I64" s="52" t="s">
        <v>276</v>
      </c>
      <c r="J64" s="156" t="s">
        <v>285</v>
      </c>
      <c r="K64" s="53">
        <v>46704</v>
      </c>
      <c r="L64" s="151">
        <v>4</v>
      </c>
    </row>
    <row r="65" spans="1:12">
      <c r="A65" s="146" t="s">
        <v>802</v>
      </c>
      <c r="B65" s="155">
        <v>9197280453</v>
      </c>
      <c r="C65" s="153">
        <v>40530</v>
      </c>
      <c r="D65" s="51">
        <f t="shared" ca="1" si="0"/>
        <v>5</v>
      </c>
      <c r="E65" s="152" t="str">
        <f t="shared" si="1"/>
        <v>December</v>
      </c>
      <c r="F65" s="146" t="s">
        <v>312</v>
      </c>
      <c r="G65" s="154">
        <v>600458368</v>
      </c>
      <c r="H65" s="146" t="s">
        <v>261</v>
      </c>
      <c r="I65" s="52" t="s">
        <v>276</v>
      </c>
      <c r="J65" s="156" t="s">
        <v>266</v>
      </c>
      <c r="K65" s="53">
        <v>27042</v>
      </c>
      <c r="L65" s="151">
        <v>3</v>
      </c>
    </row>
    <row r="66" spans="1:12">
      <c r="A66" s="146" t="s">
        <v>961</v>
      </c>
      <c r="B66" s="155">
        <v>2528356334</v>
      </c>
      <c r="C66" s="153">
        <v>34514</v>
      </c>
      <c r="D66" s="51">
        <f t="shared" ref="D66:D129" ca="1" si="2">DATEDIF(C66,TODAY(),"Y")</f>
        <v>22</v>
      </c>
      <c r="E66" s="152" t="str">
        <f t="shared" ref="E66:E129" si="3">CHOOSE(MONTH(C66),"January","February","March","April","May","June","July","August","September","October","November","December")</f>
        <v>June</v>
      </c>
      <c r="F66" s="146" t="s">
        <v>312</v>
      </c>
      <c r="G66" s="154">
        <v>721173550</v>
      </c>
      <c r="H66" s="146" t="s">
        <v>256</v>
      </c>
      <c r="I66" s="52" t="s">
        <v>257</v>
      </c>
      <c r="J66" s="156" t="s">
        <v>245</v>
      </c>
      <c r="K66" s="53">
        <v>85380</v>
      </c>
      <c r="L66" s="151">
        <v>2</v>
      </c>
    </row>
    <row r="67" spans="1:12">
      <c r="A67" s="146" t="s">
        <v>329</v>
      </c>
      <c r="B67" s="155">
        <v>9194980674</v>
      </c>
      <c r="C67" s="153">
        <v>37198</v>
      </c>
      <c r="D67" s="51">
        <f t="shared" ca="1" si="2"/>
        <v>15</v>
      </c>
      <c r="E67" s="152" t="str">
        <f t="shared" si="3"/>
        <v>November</v>
      </c>
      <c r="F67" s="146" t="s">
        <v>312</v>
      </c>
      <c r="G67" s="154">
        <v>393393249</v>
      </c>
      <c r="H67" s="146" t="s">
        <v>247</v>
      </c>
      <c r="I67" s="52"/>
      <c r="J67" s="156" t="s">
        <v>245</v>
      </c>
      <c r="K67" s="53">
        <v>28272</v>
      </c>
      <c r="L67" s="151">
        <v>3</v>
      </c>
    </row>
    <row r="68" spans="1:12">
      <c r="A68" s="146" t="s">
        <v>963</v>
      </c>
      <c r="B68" s="155">
        <v>9192400511</v>
      </c>
      <c r="C68" s="153">
        <v>34406</v>
      </c>
      <c r="D68" s="51">
        <f t="shared" ca="1" si="2"/>
        <v>22</v>
      </c>
      <c r="E68" s="152" t="str">
        <f t="shared" si="3"/>
        <v>March</v>
      </c>
      <c r="F68" s="146" t="s">
        <v>312</v>
      </c>
      <c r="G68" s="154">
        <v>403504590</v>
      </c>
      <c r="H68" s="146" t="s">
        <v>247</v>
      </c>
      <c r="I68" s="52"/>
      <c r="J68" s="156" t="s">
        <v>251</v>
      </c>
      <c r="K68" s="53">
        <v>77352</v>
      </c>
      <c r="L68" s="151">
        <v>1</v>
      </c>
    </row>
    <row r="69" spans="1:12">
      <c r="A69" s="146" t="s">
        <v>887</v>
      </c>
      <c r="B69" s="155">
        <v>9194629972</v>
      </c>
      <c r="C69" s="153">
        <v>37746</v>
      </c>
      <c r="D69" s="51">
        <f t="shared" ca="1" si="2"/>
        <v>13</v>
      </c>
      <c r="E69" s="152" t="str">
        <f t="shared" si="3"/>
        <v>May</v>
      </c>
      <c r="F69" s="146" t="s">
        <v>312</v>
      </c>
      <c r="G69" s="154">
        <v>349979288</v>
      </c>
      <c r="H69" s="146" t="s">
        <v>256</v>
      </c>
      <c r="I69" s="52" t="s">
        <v>283</v>
      </c>
      <c r="J69" s="156" t="s">
        <v>285</v>
      </c>
      <c r="K69" s="53">
        <v>34380</v>
      </c>
      <c r="L69" s="151">
        <v>4</v>
      </c>
    </row>
    <row r="70" spans="1:12">
      <c r="A70" s="146" t="s">
        <v>968</v>
      </c>
      <c r="B70" s="155">
        <v>2528317543</v>
      </c>
      <c r="C70" s="153">
        <v>37624</v>
      </c>
      <c r="D70" s="51">
        <f t="shared" ca="1" si="2"/>
        <v>13</v>
      </c>
      <c r="E70" s="152" t="str">
        <f t="shared" si="3"/>
        <v>January</v>
      </c>
      <c r="F70" s="146" t="s">
        <v>312</v>
      </c>
      <c r="G70" s="154">
        <v>867671341</v>
      </c>
      <c r="H70" s="146" t="s">
        <v>261</v>
      </c>
      <c r="I70" s="52" t="s">
        <v>257</v>
      </c>
      <c r="J70" s="156" t="s">
        <v>266</v>
      </c>
      <c r="K70" s="53">
        <v>42336</v>
      </c>
      <c r="L70" s="151">
        <v>3</v>
      </c>
    </row>
    <row r="71" spans="1:12">
      <c r="A71" s="146" t="s">
        <v>811</v>
      </c>
      <c r="B71" s="155">
        <v>9191919478</v>
      </c>
      <c r="C71" s="153">
        <v>36570</v>
      </c>
      <c r="D71" s="51">
        <f t="shared" ca="1" si="2"/>
        <v>16</v>
      </c>
      <c r="E71" s="152" t="str">
        <f t="shared" si="3"/>
        <v>February</v>
      </c>
      <c r="F71" s="146" t="s">
        <v>312</v>
      </c>
      <c r="G71" s="154">
        <v>639314672</v>
      </c>
      <c r="H71" s="146" t="s">
        <v>261</v>
      </c>
      <c r="I71" s="52" t="s">
        <v>276</v>
      </c>
      <c r="J71" s="156" t="s">
        <v>271</v>
      </c>
      <c r="K71" s="53">
        <v>28056</v>
      </c>
      <c r="L71" s="151">
        <v>4</v>
      </c>
    </row>
    <row r="72" spans="1:12">
      <c r="A72" s="146" t="s">
        <v>647</v>
      </c>
      <c r="B72" s="155">
        <v>2524936058</v>
      </c>
      <c r="C72" s="153">
        <v>34623</v>
      </c>
      <c r="D72" s="51">
        <f t="shared" ca="1" si="2"/>
        <v>22</v>
      </c>
      <c r="E72" s="152" t="str">
        <f t="shared" si="3"/>
        <v>October</v>
      </c>
      <c r="F72" s="146" t="s">
        <v>312</v>
      </c>
      <c r="G72" s="154">
        <v>951516517</v>
      </c>
      <c r="H72" s="146" t="s">
        <v>256</v>
      </c>
      <c r="I72" s="52" t="s">
        <v>283</v>
      </c>
      <c r="J72" s="156" t="s">
        <v>285</v>
      </c>
      <c r="K72" s="53">
        <v>86004</v>
      </c>
      <c r="L72" s="151">
        <v>4</v>
      </c>
    </row>
    <row r="73" spans="1:12">
      <c r="A73" s="146" t="s">
        <v>893</v>
      </c>
      <c r="B73" s="155">
        <v>2523883919</v>
      </c>
      <c r="C73" s="153">
        <v>37736</v>
      </c>
      <c r="D73" s="51">
        <f t="shared" ca="1" si="2"/>
        <v>13</v>
      </c>
      <c r="E73" s="152" t="str">
        <f t="shared" si="3"/>
        <v>April</v>
      </c>
      <c r="F73" s="146" t="s">
        <v>312</v>
      </c>
      <c r="G73" s="154">
        <v>411058865</v>
      </c>
      <c r="H73" s="146" t="s">
        <v>256</v>
      </c>
      <c r="I73" s="52" t="s">
        <v>257</v>
      </c>
      <c r="J73" s="156" t="s">
        <v>285</v>
      </c>
      <c r="K73" s="53">
        <v>32616</v>
      </c>
      <c r="L73" s="151">
        <v>4</v>
      </c>
    </row>
    <row r="74" spans="1:12">
      <c r="A74" s="146" t="s">
        <v>651</v>
      </c>
      <c r="B74" s="155">
        <v>9192163497</v>
      </c>
      <c r="C74" s="153">
        <v>33956</v>
      </c>
      <c r="D74" s="51">
        <f t="shared" ca="1" si="2"/>
        <v>23</v>
      </c>
      <c r="E74" s="152" t="str">
        <f t="shared" si="3"/>
        <v>December</v>
      </c>
      <c r="F74" s="146" t="s">
        <v>312</v>
      </c>
      <c r="G74" s="154">
        <v>513140687</v>
      </c>
      <c r="H74" s="146" t="s">
        <v>247</v>
      </c>
      <c r="I74" s="52"/>
      <c r="J74" s="156" t="s">
        <v>271</v>
      </c>
      <c r="K74" s="53">
        <v>51528</v>
      </c>
      <c r="L74" s="151">
        <v>1</v>
      </c>
    </row>
    <row r="75" spans="1:12">
      <c r="A75" s="146" t="s">
        <v>729</v>
      </c>
      <c r="B75" s="155">
        <v>2525789252</v>
      </c>
      <c r="C75" s="153">
        <v>36557</v>
      </c>
      <c r="D75" s="51">
        <f t="shared" ca="1" si="2"/>
        <v>16</v>
      </c>
      <c r="E75" s="152" t="str">
        <f t="shared" si="3"/>
        <v>February</v>
      </c>
      <c r="F75" s="146" t="s">
        <v>312</v>
      </c>
      <c r="G75" s="154">
        <v>571120098</v>
      </c>
      <c r="H75" s="146" t="s">
        <v>256</v>
      </c>
      <c r="I75" s="52" t="s">
        <v>257</v>
      </c>
      <c r="J75" s="156" t="s">
        <v>285</v>
      </c>
      <c r="K75" s="53">
        <v>73236</v>
      </c>
      <c r="L75" s="151">
        <v>3</v>
      </c>
    </row>
    <row r="76" spans="1:12">
      <c r="A76" s="146" t="s">
        <v>692</v>
      </c>
      <c r="B76" s="155">
        <v>9191259179</v>
      </c>
      <c r="C76" s="153">
        <v>40813</v>
      </c>
      <c r="D76" s="51">
        <f t="shared" ca="1" si="2"/>
        <v>5</v>
      </c>
      <c r="E76" s="152" t="str">
        <f t="shared" si="3"/>
        <v>September</v>
      </c>
      <c r="F76" s="146" t="s">
        <v>312</v>
      </c>
      <c r="G76" s="154">
        <v>873100939</v>
      </c>
      <c r="H76" s="146" t="s">
        <v>256</v>
      </c>
      <c r="I76" s="52" t="s">
        <v>257</v>
      </c>
      <c r="J76" s="156" t="s">
        <v>271</v>
      </c>
      <c r="K76" s="53">
        <v>49788</v>
      </c>
      <c r="L76" s="151">
        <v>5</v>
      </c>
    </row>
    <row r="77" spans="1:12">
      <c r="A77" s="146" t="s">
        <v>340</v>
      </c>
      <c r="B77" s="155">
        <v>2527682821</v>
      </c>
      <c r="C77" s="153">
        <v>36693</v>
      </c>
      <c r="D77" s="76">
        <f t="shared" ca="1" si="2"/>
        <v>16</v>
      </c>
      <c r="E77" s="152" t="str">
        <f t="shared" si="3"/>
        <v>June</v>
      </c>
      <c r="F77" s="146" t="s">
        <v>312</v>
      </c>
      <c r="G77" s="154">
        <v>339398339</v>
      </c>
      <c r="H77" s="146" t="s">
        <v>256</v>
      </c>
      <c r="I77" s="77" t="s">
        <v>267</v>
      </c>
      <c r="J77" s="156" t="s">
        <v>245</v>
      </c>
      <c r="K77" s="53">
        <v>41736</v>
      </c>
      <c r="L77" s="151">
        <v>4</v>
      </c>
    </row>
    <row r="78" spans="1:12">
      <c r="A78" s="146" t="s">
        <v>562</v>
      </c>
      <c r="B78" s="155">
        <v>9192526124</v>
      </c>
      <c r="C78" s="153">
        <v>35935</v>
      </c>
      <c r="D78" s="51">
        <f t="shared" ca="1" si="2"/>
        <v>18</v>
      </c>
      <c r="E78" s="152" t="str">
        <f t="shared" si="3"/>
        <v>May</v>
      </c>
      <c r="F78" s="146" t="s">
        <v>312</v>
      </c>
      <c r="G78" s="154">
        <v>905675120</v>
      </c>
      <c r="H78" s="146" t="s">
        <v>256</v>
      </c>
      <c r="I78" s="52" t="s">
        <v>267</v>
      </c>
      <c r="J78" s="156" t="s">
        <v>285</v>
      </c>
      <c r="K78" s="53">
        <v>93096</v>
      </c>
      <c r="L78" s="151">
        <v>3</v>
      </c>
    </row>
    <row r="79" spans="1:12">
      <c r="A79" s="146" t="s">
        <v>993</v>
      </c>
      <c r="B79" s="155">
        <v>2526196095</v>
      </c>
      <c r="C79" s="153">
        <v>36576</v>
      </c>
      <c r="D79" s="51">
        <f t="shared" ca="1" si="2"/>
        <v>16</v>
      </c>
      <c r="E79" s="152" t="str">
        <f t="shared" si="3"/>
        <v>February</v>
      </c>
      <c r="F79" s="146" t="s">
        <v>312</v>
      </c>
      <c r="G79" s="154">
        <v>981106829</v>
      </c>
      <c r="H79" s="146" t="s">
        <v>247</v>
      </c>
      <c r="I79" s="52"/>
      <c r="J79" s="156" t="s">
        <v>271</v>
      </c>
      <c r="K79" s="53">
        <v>102576</v>
      </c>
      <c r="L79" s="151">
        <v>5</v>
      </c>
    </row>
    <row r="80" spans="1:12">
      <c r="A80" s="146" t="s">
        <v>301</v>
      </c>
      <c r="B80" s="155">
        <v>2526576057</v>
      </c>
      <c r="C80" s="153">
        <v>41229</v>
      </c>
      <c r="D80" s="51">
        <f t="shared" ca="1" si="2"/>
        <v>3</v>
      </c>
      <c r="E80" s="152" t="str">
        <f t="shared" si="3"/>
        <v>November</v>
      </c>
      <c r="F80" s="146" t="s">
        <v>312</v>
      </c>
      <c r="G80" s="154">
        <v>242099349</v>
      </c>
      <c r="H80" s="146" t="s">
        <v>256</v>
      </c>
      <c r="I80" s="52" t="s">
        <v>267</v>
      </c>
      <c r="J80" s="156" t="s">
        <v>271</v>
      </c>
      <c r="K80" s="53">
        <v>93384</v>
      </c>
      <c r="L80" s="151">
        <v>3</v>
      </c>
    </row>
    <row r="81" spans="1:12">
      <c r="A81" s="146" t="s">
        <v>734</v>
      </c>
      <c r="B81" s="155">
        <v>9192224790</v>
      </c>
      <c r="C81" s="153">
        <v>39698</v>
      </c>
      <c r="D81" s="51">
        <f t="shared" ca="1" si="2"/>
        <v>8</v>
      </c>
      <c r="E81" s="152" t="str">
        <f t="shared" si="3"/>
        <v>September</v>
      </c>
      <c r="F81" s="146" t="s">
        <v>312</v>
      </c>
      <c r="G81" s="154">
        <v>733413074</v>
      </c>
      <c r="H81" s="146" t="s">
        <v>247</v>
      </c>
      <c r="I81" s="52"/>
      <c r="J81" s="156" t="s">
        <v>245</v>
      </c>
      <c r="K81" s="53">
        <v>99684</v>
      </c>
      <c r="L81" s="151">
        <v>3</v>
      </c>
    </row>
    <row r="82" spans="1:12">
      <c r="A82" s="146" t="s">
        <v>404</v>
      </c>
      <c r="B82" s="155">
        <v>9191629556</v>
      </c>
      <c r="C82" s="153">
        <v>36630</v>
      </c>
      <c r="D82" s="51">
        <f t="shared" ca="1" si="2"/>
        <v>16</v>
      </c>
      <c r="E82" s="152" t="str">
        <f t="shared" si="3"/>
        <v>April</v>
      </c>
      <c r="F82" s="146" t="s">
        <v>312</v>
      </c>
      <c r="G82" s="154">
        <v>504735443</v>
      </c>
      <c r="H82" s="146" t="s">
        <v>247</v>
      </c>
      <c r="I82" s="52"/>
      <c r="J82" s="156" t="s">
        <v>271</v>
      </c>
      <c r="K82" s="53">
        <v>76008</v>
      </c>
      <c r="L82" s="151">
        <v>3</v>
      </c>
    </row>
    <row r="83" spans="1:12">
      <c r="A83" s="146" t="s">
        <v>910</v>
      </c>
      <c r="B83" s="155">
        <v>2525165289</v>
      </c>
      <c r="C83" s="153">
        <v>37234</v>
      </c>
      <c r="D83" s="51">
        <f t="shared" ca="1" si="2"/>
        <v>14</v>
      </c>
      <c r="E83" s="152" t="str">
        <f t="shared" si="3"/>
        <v>December</v>
      </c>
      <c r="F83" s="146" t="s">
        <v>312</v>
      </c>
      <c r="G83" s="154">
        <v>334574480</v>
      </c>
      <c r="H83" s="146" t="s">
        <v>256</v>
      </c>
      <c r="I83" s="52" t="s">
        <v>283</v>
      </c>
      <c r="J83" s="156" t="s">
        <v>285</v>
      </c>
      <c r="K83" s="53">
        <v>38520</v>
      </c>
      <c r="L83" s="151">
        <v>1</v>
      </c>
    </row>
    <row r="84" spans="1:12">
      <c r="A84" s="146" t="s">
        <v>577</v>
      </c>
      <c r="B84" s="155">
        <v>2523040292</v>
      </c>
      <c r="C84" s="153">
        <v>34348</v>
      </c>
      <c r="D84" s="51">
        <f t="shared" ca="1" si="2"/>
        <v>22</v>
      </c>
      <c r="E84" s="152" t="str">
        <f t="shared" si="3"/>
        <v>January</v>
      </c>
      <c r="F84" s="146" t="s">
        <v>312</v>
      </c>
      <c r="G84" s="154">
        <v>260815239</v>
      </c>
      <c r="H84" s="146" t="s">
        <v>252</v>
      </c>
      <c r="I84" s="52"/>
      <c r="J84" s="156" t="s">
        <v>285</v>
      </c>
      <c r="K84" s="53">
        <v>17482</v>
      </c>
      <c r="L84" s="151">
        <v>3</v>
      </c>
    </row>
    <row r="85" spans="1:12">
      <c r="A85" s="146" t="s">
        <v>999</v>
      </c>
      <c r="B85" s="155">
        <v>2528033253</v>
      </c>
      <c r="C85" s="153">
        <v>36245</v>
      </c>
      <c r="D85" s="51">
        <f t="shared" ca="1" si="2"/>
        <v>17</v>
      </c>
      <c r="E85" s="152" t="str">
        <f t="shared" si="3"/>
        <v>March</v>
      </c>
      <c r="F85" s="146" t="s">
        <v>312</v>
      </c>
      <c r="G85" s="154">
        <v>936730279</v>
      </c>
      <c r="H85" s="146" t="s">
        <v>261</v>
      </c>
      <c r="I85" s="52" t="s">
        <v>267</v>
      </c>
      <c r="J85" s="156" t="s">
        <v>245</v>
      </c>
      <c r="K85" s="53">
        <v>58098</v>
      </c>
      <c r="L85" s="151">
        <v>4</v>
      </c>
    </row>
    <row r="86" spans="1:12">
      <c r="A86" s="146" t="s">
        <v>589</v>
      </c>
      <c r="B86" s="155">
        <v>2524633649</v>
      </c>
      <c r="C86" s="153">
        <v>34303</v>
      </c>
      <c r="D86" s="51">
        <f t="shared" ca="1" si="2"/>
        <v>22</v>
      </c>
      <c r="E86" s="152" t="str">
        <f t="shared" si="3"/>
        <v>November</v>
      </c>
      <c r="F86" s="146" t="s">
        <v>312</v>
      </c>
      <c r="G86" s="154">
        <v>459522265</v>
      </c>
      <c r="H86" s="146" t="s">
        <v>256</v>
      </c>
      <c r="I86" s="52" t="s">
        <v>262</v>
      </c>
      <c r="J86" s="156" t="s">
        <v>271</v>
      </c>
      <c r="K86" s="53">
        <v>73680</v>
      </c>
      <c r="L86" s="151">
        <v>5</v>
      </c>
    </row>
    <row r="87" spans="1:12">
      <c r="A87" s="146" t="s">
        <v>1008</v>
      </c>
      <c r="B87" s="155">
        <v>9196224056</v>
      </c>
      <c r="C87" s="153">
        <v>40650</v>
      </c>
      <c r="D87" s="51">
        <f t="shared" ca="1" si="2"/>
        <v>5</v>
      </c>
      <c r="E87" s="152" t="str">
        <f t="shared" si="3"/>
        <v>April</v>
      </c>
      <c r="F87" s="146" t="s">
        <v>312</v>
      </c>
      <c r="G87" s="154">
        <v>683222853</v>
      </c>
      <c r="H87" s="146" t="s">
        <v>247</v>
      </c>
      <c r="I87" s="52"/>
      <c r="J87" s="156" t="s">
        <v>280</v>
      </c>
      <c r="K87" s="53">
        <v>30948</v>
      </c>
      <c r="L87" s="151">
        <v>3</v>
      </c>
    </row>
    <row r="88" spans="1:12">
      <c r="A88" s="146" t="s">
        <v>599</v>
      </c>
      <c r="B88" s="155">
        <v>9193848677</v>
      </c>
      <c r="C88" s="153">
        <v>36815</v>
      </c>
      <c r="D88" s="51">
        <f t="shared" ca="1" si="2"/>
        <v>16</v>
      </c>
      <c r="E88" s="152" t="str">
        <f t="shared" si="3"/>
        <v>October</v>
      </c>
      <c r="F88" s="146" t="s">
        <v>312</v>
      </c>
      <c r="G88" s="154">
        <v>474999228</v>
      </c>
      <c r="H88" s="146" t="s">
        <v>247</v>
      </c>
      <c r="I88" s="52"/>
      <c r="J88" s="156" t="s">
        <v>245</v>
      </c>
      <c r="K88" s="53">
        <v>92316</v>
      </c>
      <c r="L88" s="151">
        <v>1</v>
      </c>
    </row>
    <row r="89" spans="1:12">
      <c r="A89" s="146" t="s">
        <v>839</v>
      </c>
      <c r="B89" s="155">
        <v>9194416232</v>
      </c>
      <c r="C89" s="153">
        <v>41020</v>
      </c>
      <c r="D89" s="51">
        <f t="shared" ca="1" si="2"/>
        <v>4</v>
      </c>
      <c r="E89" s="152" t="str">
        <f t="shared" si="3"/>
        <v>April</v>
      </c>
      <c r="F89" s="146" t="s">
        <v>312</v>
      </c>
      <c r="G89" s="154">
        <v>676534152</v>
      </c>
      <c r="H89" s="146" t="s">
        <v>256</v>
      </c>
      <c r="I89" s="52" t="s">
        <v>257</v>
      </c>
      <c r="J89" s="156" t="s">
        <v>245</v>
      </c>
      <c r="K89" s="53">
        <v>27936</v>
      </c>
      <c r="L89" s="151">
        <v>1</v>
      </c>
    </row>
    <row r="90" spans="1:12">
      <c r="A90" s="146" t="s">
        <v>290</v>
      </c>
      <c r="B90" s="155">
        <v>2522636516</v>
      </c>
      <c r="C90" s="153">
        <v>35847</v>
      </c>
      <c r="D90" s="51">
        <f t="shared" ca="1" si="2"/>
        <v>18</v>
      </c>
      <c r="E90" s="152" t="str">
        <f t="shared" si="3"/>
        <v>February</v>
      </c>
      <c r="F90" s="146" t="s">
        <v>312</v>
      </c>
      <c r="G90" s="154">
        <v>247276092</v>
      </c>
      <c r="H90" s="146" t="s">
        <v>247</v>
      </c>
      <c r="I90" s="52"/>
      <c r="J90" s="156" t="s">
        <v>280</v>
      </c>
      <c r="K90" s="53">
        <v>77268</v>
      </c>
      <c r="L90" s="151">
        <v>2</v>
      </c>
    </row>
    <row r="91" spans="1:12">
      <c r="A91" s="146" t="s">
        <v>844</v>
      </c>
      <c r="B91" s="155">
        <v>2525777345</v>
      </c>
      <c r="C91" s="153">
        <v>38513</v>
      </c>
      <c r="D91" s="51">
        <f t="shared" ca="1" si="2"/>
        <v>11</v>
      </c>
      <c r="E91" s="152" t="str">
        <f t="shared" si="3"/>
        <v>June</v>
      </c>
      <c r="F91" s="146" t="s">
        <v>312</v>
      </c>
      <c r="G91" s="154">
        <v>252276921</v>
      </c>
      <c r="H91" s="146" t="s">
        <v>256</v>
      </c>
      <c r="I91" s="52" t="s">
        <v>283</v>
      </c>
      <c r="J91" s="156" t="s">
        <v>285</v>
      </c>
      <c r="K91" s="53">
        <v>104736</v>
      </c>
      <c r="L91" s="151">
        <v>4</v>
      </c>
    </row>
    <row r="92" spans="1:12">
      <c r="A92" s="146" t="s">
        <v>703</v>
      </c>
      <c r="B92" s="155">
        <v>2525295649</v>
      </c>
      <c r="C92" s="153">
        <v>35814</v>
      </c>
      <c r="D92" s="51">
        <f t="shared" ca="1" si="2"/>
        <v>18</v>
      </c>
      <c r="E92" s="152" t="str">
        <f t="shared" si="3"/>
        <v>January</v>
      </c>
      <c r="F92" s="146" t="s">
        <v>312</v>
      </c>
      <c r="G92" s="154">
        <v>923665952</v>
      </c>
      <c r="H92" s="146" t="s">
        <v>256</v>
      </c>
      <c r="I92" s="52" t="s">
        <v>267</v>
      </c>
      <c r="J92" s="156" t="s">
        <v>271</v>
      </c>
      <c r="K92" s="53">
        <v>92820</v>
      </c>
      <c r="L92" s="151">
        <v>5</v>
      </c>
    </row>
    <row r="93" spans="1:12">
      <c r="A93" s="146" t="s">
        <v>611</v>
      </c>
      <c r="B93" s="155">
        <v>2526711140</v>
      </c>
      <c r="C93" s="153">
        <v>41002</v>
      </c>
      <c r="D93" s="51">
        <f t="shared" ca="1" si="2"/>
        <v>4</v>
      </c>
      <c r="E93" s="152" t="str">
        <f t="shared" si="3"/>
        <v>April</v>
      </c>
      <c r="F93" s="146" t="s">
        <v>312</v>
      </c>
      <c r="G93" s="154">
        <v>721169660</v>
      </c>
      <c r="H93" s="146" t="s">
        <v>256</v>
      </c>
      <c r="I93" s="52" t="s">
        <v>262</v>
      </c>
      <c r="J93" s="156" t="s">
        <v>271</v>
      </c>
      <c r="K93" s="53">
        <v>46476</v>
      </c>
      <c r="L93" s="151">
        <v>1</v>
      </c>
    </row>
    <row r="94" spans="1:12">
      <c r="A94" s="146" t="s">
        <v>613</v>
      </c>
      <c r="B94" s="155">
        <v>2524125146</v>
      </c>
      <c r="C94" s="153">
        <v>38688</v>
      </c>
      <c r="D94" s="51">
        <f t="shared" ca="1" si="2"/>
        <v>10</v>
      </c>
      <c r="E94" s="152" t="str">
        <f t="shared" si="3"/>
        <v>December</v>
      </c>
      <c r="F94" s="146" t="s">
        <v>312</v>
      </c>
      <c r="G94" s="154">
        <v>365117800</v>
      </c>
      <c r="H94" s="146" t="s">
        <v>256</v>
      </c>
      <c r="I94" s="52" t="s">
        <v>257</v>
      </c>
      <c r="J94" s="156" t="s">
        <v>245</v>
      </c>
      <c r="K94" s="53">
        <v>80268</v>
      </c>
      <c r="L94" s="151">
        <v>5</v>
      </c>
    </row>
    <row r="95" spans="1:12">
      <c r="A95" s="146" t="s">
        <v>624</v>
      </c>
      <c r="B95" s="155">
        <v>2525829090</v>
      </c>
      <c r="C95" s="153">
        <v>34709</v>
      </c>
      <c r="D95" s="51">
        <f t="shared" ca="1" si="2"/>
        <v>21</v>
      </c>
      <c r="E95" s="152" t="str">
        <f t="shared" si="3"/>
        <v>January</v>
      </c>
      <c r="F95" s="146" t="s">
        <v>312</v>
      </c>
      <c r="G95" s="154">
        <v>648911225</v>
      </c>
      <c r="H95" s="146" t="s">
        <v>247</v>
      </c>
      <c r="I95" s="52"/>
      <c r="J95" s="156" t="s">
        <v>245</v>
      </c>
      <c r="K95" s="53">
        <v>99624</v>
      </c>
      <c r="L95" s="151">
        <v>4</v>
      </c>
    </row>
    <row r="96" spans="1:12">
      <c r="A96" s="146" t="s">
        <v>1023</v>
      </c>
      <c r="B96" s="155">
        <v>2524924736</v>
      </c>
      <c r="C96" s="153">
        <v>37215</v>
      </c>
      <c r="D96" s="51">
        <f t="shared" ca="1" si="2"/>
        <v>14</v>
      </c>
      <c r="E96" s="152" t="str">
        <f t="shared" si="3"/>
        <v>November</v>
      </c>
      <c r="F96" s="146" t="s">
        <v>312</v>
      </c>
      <c r="G96" s="154">
        <v>822974734</v>
      </c>
      <c r="H96" s="146" t="s">
        <v>252</v>
      </c>
      <c r="I96" s="52"/>
      <c r="J96" s="156" t="s">
        <v>245</v>
      </c>
      <c r="K96" s="53">
        <v>39667</v>
      </c>
      <c r="L96" s="151">
        <v>5</v>
      </c>
    </row>
    <row r="97" spans="1:12">
      <c r="A97" s="146" t="s">
        <v>932</v>
      </c>
      <c r="B97" s="155">
        <v>9197146686</v>
      </c>
      <c r="C97" s="153">
        <v>40981</v>
      </c>
      <c r="D97" s="51">
        <f t="shared" ca="1" si="2"/>
        <v>4</v>
      </c>
      <c r="E97" s="152" t="str">
        <f t="shared" si="3"/>
        <v>March</v>
      </c>
      <c r="F97" s="146" t="s">
        <v>372</v>
      </c>
      <c r="G97" s="154">
        <v>495042805</v>
      </c>
      <c r="H97" s="146" t="s">
        <v>247</v>
      </c>
      <c r="I97" s="52"/>
      <c r="J97" s="156" t="s">
        <v>285</v>
      </c>
      <c r="K97" s="53">
        <v>71220</v>
      </c>
      <c r="L97" s="151">
        <v>5</v>
      </c>
    </row>
    <row r="98" spans="1:12">
      <c r="A98" s="146" t="s">
        <v>718</v>
      </c>
      <c r="B98" s="155">
        <v>9194125294</v>
      </c>
      <c r="C98" s="153">
        <v>40651</v>
      </c>
      <c r="D98" s="51">
        <f t="shared" ca="1" si="2"/>
        <v>5</v>
      </c>
      <c r="E98" s="152" t="str">
        <f t="shared" si="3"/>
        <v>April</v>
      </c>
      <c r="F98" s="146" t="s">
        <v>372</v>
      </c>
      <c r="G98" s="154">
        <v>207506781</v>
      </c>
      <c r="H98" s="146" t="s">
        <v>256</v>
      </c>
      <c r="I98" s="52" t="s">
        <v>257</v>
      </c>
      <c r="J98" s="156" t="s">
        <v>285</v>
      </c>
      <c r="K98" s="53">
        <v>91728</v>
      </c>
      <c r="L98" s="151">
        <v>3</v>
      </c>
    </row>
    <row r="99" spans="1:12">
      <c r="A99" s="146" t="s">
        <v>429</v>
      </c>
      <c r="B99" s="155">
        <v>2521656242</v>
      </c>
      <c r="C99" s="153">
        <v>38611</v>
      </c>
      <c r="D99" s="51">
        <f t="shared" ca="1" si="2"/>
        <v>11</v>
      </c>
      <c r="E99" s="152" t="str">
        <f t="shared" si="3"/>
        <v>September</v>
      </c>
      <c r="F99" s="146" t="s">
        <v>372</v>
      </c>
      <c r="G99" s="154">
        <v>272036635</v>
      </c>
      <c r="H99" s="146" t="s">
        <v>256</v>
      </c>
      <c r="I99" s="52" t="s">
        <v>257</v>
      </c>
      <c r="J99" s="156" t="s">
        <v>285</v>
      </c>
      <c r="K99" s="53">
        <v>103836</v>
      </c>
      <c r="L99" s="151">
        <v>1</v>
      </c>
    </row>
    <row r="100" spans="1:12">
      <c r="A100" s="146" t="s">
        <v>817</v>
      </c>
      <c r="B100" s="155">
        <v>2523173691</v>
      </c>
      <c r="C100" s="153">
        <v>39483</v>
      </c>
      <c r="D100" s="51">
        <f t="shared" ca="1" si="2"/>
        <v>8</v>
      </c>
      <c r="E100" s="152" t="str">
        <f t="shared" si="3"/>
        <v>February</v>
      </c>
      <c r="F100" s="146" t="s">
        <v>372</v>
      </c>
      <c r="G100" s="154">
        <v>920505896</v>
      </c>
      <c r="H100" s="146" t="s">
        <v>247</v>
      </c>
      <c r="I100" s="52"/>
      <c r="J100" s="156" t="s">
        <v>285</v>
      </c>
      <c r="K100" s="53">
        <v>94632</v>
      </c>
      <c r="L100" s="151">
        <v>2</v>
      </c>
    </row>
    <row r="101" spans="1:12">
      <c r="A101" s="146" t="s">
        <v>388</v>
      </c>
      <c r="B101" s="155">
        <v>2524663056</v>
      </c>
      <c r="C101" s="153">
        <v>41233</v>
      </c>
      <c r="D101" s="51">
        <f t="shared" ca="1" si="2"/>
        <v>3</v>
      </c>
      <c r="E101" s="152" t="str">
        <f t="shared" si="3"/>
        <v>November</v>
      </c>
      <c r="F101" s="146" t="s">
        <v>372</v>
      </c>
      <c r="G101" s="154">
        <v>640301378</v>
      </c>
      <c r="H101" s="146" t="s">
        <v>261</v>
      </c>
      <c r="I101" s="52" t="s">
        <v>283</v>
      </c>
      <c r="J101" s="156" t="s">
        <v>251</v>
      </c>
      <c r="K101" s="53">
        <v>55476</v>
      </c>
      <c r="L101" s="151">
        <v>2</v>
      </c>
    </row>
    <row r="102" spans="1:12">
      <c r="A102" s="146" t="s">
        <v>563</v>
      </c>
      <c r="B102" s="155">
        <v>2527474942</v>
      </c>
      <c r="C102" s="153">
        <v>39125</v>
      </c>
      <c r="D102" s="51">
        <f t="shared" ca="1" si="2"/>
        <v>9</v>
      </c>
      <c r="E102" s="152" t="str">
        <f t="shared" si="3"/>
        <v>February</v>
      </c>
      <c r="F102" s="146" t="s">
        <v>372</v>
      </c>
      <c r="G102" s="154">
        <v>759350847</v>
      </c>
      <c r="H102" s="146" t="s">
        <v>256</v>
      </c>
      <c r="I102" s="52" t="s">
        <v>257</v>
      </c>
      <c r="J102" s="156" t="s">
        <v>271</v>
      </c>
      <c r="K102" s="53">
        <v>43956</v>
      </c>
      <c r="L102" s="151">
        <v>4</v>
      </c>
    </row>
    <row r="103" spans="1:12">
      <c r="A103" s="146" t="s">
        <v>591</v>
      </c>
      <c r="B103" s="155">
        <v>9192824485</v>
      </c>
      <c r="C103" s="153">
        <v>40116</v>
      </c>
      <c r="D103" s="51">
        <f t="shared" ca="1" si="2"/>
        <v>7</v>
      </c>
      <c r="E103" s="152" t="str">
        <f t="shared" si="3"/>
        <v>October</v>
      </c>
      <c r="F103" s="146" t="s">
        <v>372</v>
      </c>
      <c r="G103" s="154">
        <v>676831149</v>
      </c>
      <c r="H103" s="146" t="s">
        <v>256</v>
      </c>
      <c r="I103" s="52" t="s">
        <v>257</v>
      </c>
      <c r="J103" s="156" t="s">
        <v>280</v>
      </c>
      <c r="K103" s="53">
        <v>85344</v>
      </c>
      <c r="L103" s="151">
        <v>4</v>
      </c>
    </row>
    <row r="104" spans="1:12">
      <c r="A104" s="146" t="s">
        <v>448</v>
      </c>
      <c r="B104" s="155">
        <v>9198310129</v>
      </c>
      <c r="C104" s="153">
        <v>40257</v>
      </c>
      <c r="D104" s="51">
        <f t="shared" ca="1" si="2"/>
        <v>6</v>
      </c>
      <c r="E104" s="152" t="str">
        <f t="shared" si="3"/>
        <v>March</v>
      </c>
      <c r="F104" s="146" t="s">
        <v>372</v>
      </c>
      <c r="G104" s="154">
        <v>106966222</v>
      </c>
      <c r="H104" s="146" t="s">
        <v>247</v>
      </c>
      <c r="I104" s="52"/>
      <c r="J104" s="156" t="s">
        <v>271</v>
      </c>
      <c r="K104" s="53">
        <v>42744</v>
      </c>
      <c r="L104" s="151">
        <v>4</v>
      </c>
    </row>
    <row r="105" spans="1:12">
      <c r="A105" s="146" t="s">
        <v>625</v>
      </c>
      <c r="B105" s="155">
        <v>9198824849</v>
      </c>
      <c r="C105" s="153">
        <v>41244</v>
      </c>
      <c r="D105" s="51">
        <f t="shared" ca="1" si="2"/>
        <v>3</v>
      </c>
      <c r="E105" s="152" t="str">
        <f t="shared" si="3"/>
        <v>December</v>
      </c>
      <c r="F105" s="146" t="s">
        <v>381</v>
      </c>
      <c r="G105" s="154">
        <v>324622113</v>
      </c>
      <c r="H105" s="146" t="s">
        <v>261</v>
      </c>
      <c r="I105" s="52" t="s">
        <v>283</v>
      </c>
      <c r="J105" s="156" t="s">
        <v>271</v>
      </c>
      <c r="K105" s="53">
        <v>34350</v>
      </c>
      <c r="L105" s="151">
        <v>1</v>
      </c>
    </row>
    <row r="106" spans="1:12">
      <c r="A106" s="146" t="s">
        <v>504</v>
      </c>
      <c r="B106" s="155">
        <v>2524752921</v>
      </c>
      <c r="C106" s="153">
        <v>36977</v>
      </c>
      <c r="D106" s="51">
        <f t="shared" ca="1" si="2"/>
        <v>15</v>
      </c>
      <c r="E106" s="152" t="str">
        <f t="shared" si="3"/>
        <v>March</v>
      </c>
      <c r="F106" s="146" t="s">
        <v>381</v>
      </c>
      <c r="G106" s="154">
        <v>925049144</v>
      </c>
      <c r="H106" s="146" t="s">
        <v>256</v>
      </c>
      <c r="I106" s="52" t="s">
        <v>257</v>
      </c>
      <c r="J106" s="156" t="s">
        <v>271</v>
      </c>
      <c r="K106" s="53">
        <v>59832</v>
      </c>
      <c r="L106" s="151">
        <v>2</v>
      </c>
    </row>
    <row r="107" spans="1:12">
      <c r="A107" s="146" t="s">
        <v>808</v>
      </c>
      <c r="B107" s="155">
        <v>9193517837</v>
      </c>
      <c r="C107" s="153">
        <v>36177</v>
      </c>
      <c r="D107" s="51">
        <f t="shared" ca="1" si="2"/>
        <v>17</v>
      </c>
      <c r="E107" s="152" t="str">
        <f t="shared" si="3"/>
        <v>January</v>
      </c>
      <c r="F107" s="146" t="s">
        <v>381</v>
      </c>
      <c r="G107" s="154">
        <v>943671719</v>
      </c>
      <c r="H107" s="146" t="s">
        <v>256</v>
      </c>
      <c r="I107" s="52" t="s">
        <v>283</v>
      </c>
      <c r="J107" s="156" t="s">
        <v>271</v>
      </c>
      <c r="K107" s="53">
        <v>27504</v>
      </c>
      <c r="L107" s="151">
        <v>3</v>
      </c>
    </row>
    <row r="108" spans="1:12">
      <c r="A108" s="146" t="s">
        <v>650</v>
      </c>
      <c r="B108" s="155">
        <v>2524747044</v>
      </c>
      <c r="C108" s="153">
        <v>33799</v>
      </c>
      <c r="D108" s="51">
        <f t="shared" ca="1" si="2"/>
        <v>24</v>
      </c>
      <c r="E108" s="152" t="str">
        <f t="shared" si="3"/>
        <v>July</v>
      </c>
      <c r="F108" s="146" t="s">
        <v>381</v>
      </c>
      <c r="G108" s="154">
        <v>405297884</v>
      </c>
      <c r="H108" s="146" t="s">
        <v>256</v>
      </c>
      <c r="I108" s="52" t="s">
        <v>283</v>
      </c>
      <c r="J108" s="156" t="s">
        <v>285</v>
      </c>
      <c r="K108" s="53">
        <v>82872</v>
      </c>
      <c r="L108" s="151">
        <v>1</v>
      </c>
    </row>
    <row r="109" spans="1:12">
      <c r="A109" s="146" t="s">
        <v>436</v>
      </c>
      <c r="B109" s="155">
        <v>2526092172</v>
      </c>
      <c r="C109" s="153">
        <v>36910</v>
      </c>
      <c r="D109" s="51">
        <f t="shared" ca="1" si="2"/>
        <v>15</v>
      </c>
      <c r="E109" s="152" t="str">
        <f t="shared" si="3"/>
        <v>January</v>
      </c>
      <c r="F109" s="146" t="s">
        <v>381</v>
      </c>
      <c r="G109" s="154">
        <v>313651312</v>
      </c>
      <c r="H109" s="146" t="s">
        <v>256</v>
      </c>
      <c r="I109" s="52" t="s">
        <v>283</v>
      </c>
      <c r="J109" s="156" t="s">
        <v>280</v>
      </c>
      <c r="K109" s="53">
        <v>81960</v>
      </c>
      <c r="L109" s="151">
        <v>5</v>
      </c>
    </row>
    <row r="110" spans="1:12">
      <c r="A110" s="146" t="s">
        <v>572</v>
      </c>
      <c r="B110" s="155">
        <v>2527405629</v>
      </c>
      <c r="C110" s="153">
        <v>39875</v>
      </c>
      <c r="D110" s="51">
        <f t="shared" ca="1" si="2"/>
        <v>7</v>
      </c>
      <c r="E110" s="152" t="str">
        <f t="shared" si="3"/>
        <v>March</v>
      </c>
      <c r="F110" s="146" t="s">
        <v>381</v>
      </c>
      <c r="G110" s="154">
        <v>510190628</v>
      </c>
      <c r="H110" s="146" t="s">
        <v>256</v>
      </c>
      <c r="I110" s="52" t="s">
        <v>283</v>
      </c>
      <c r="J110" s="156" t="s">
        <v>285</v>
      </c>
      <c r="K110" s="53">
        <v>52416</v>
      </c>
      <c r="L110" s="151">
        <v>5</v>
      </c>
    </row>
    <row r="111" spans="1:12">
      <c r="A111" s="146" t="s">
        <v>924</v>
      </c>
      <c r="B111" s="155">
        <v>2524106437</v>
      </c>
      <c r="C111" s="153">
        <v>36242</v>
      </c>
      <c r="D111" s="51">
        <f t="shared" ca="1" si="2"/>
        <v>17</v>
      </c>
      <c r="E111" s="152" t="str">
        <f t="shared" si="3"/>
        <v>March</v>
      </c>
      <c r="F111" s="146" t="s">
        <v>381</v>
      </c>
      <c r="G111" s="154">
        <v>452692136</v>
      </c>
      <c r="H111" s="146" t="s">
        <v>256</v>
      </c>
      <c r="I111" s="52" t="s">
        <v>267</v>
      </c>
      <c r="J111" s="156" t="s">
        <v>266</v>
      </c>
      <c r="K111" s="53">
        <v>31812</v>
      </c>
      <c r="L111" s="151">
        <v>1</v>
      </c>
    </row>
    <row r="112" spans="1:12">
      <c r="A112" s="146" t="s">
        <v>927</v>
      </c>
      <c r="B112" s="155">
        <v>9192229885</v>
      </c>
      <c r="C112" s="153">
        <v>41300</v>
      </c>
      <c r="D112" s="51">
        <f t="shared" ca="1" si="2"/>
        <v>3</v>
      </c>
      <c r="E112" s="152" t="str">
        <f t="shared" si="3"/>
        <v>January</v>
      </c>
      <c r="F112" s="146" t="s">
        <v>381</v>
      </c>
      <c r="G112" s="154">
        <v>124203063</v>
      </c>
      <c r="H112" s="146" t="s">
        <v>261</v>
      </c>
      <c r="I112" s="52" t="s">
        <v>283</v>
      </c>
      <c r="J112" s="156" t="s">
        <v>285</v>
      </c>
      <c r="K112" s="53">
        <v>12624</v>
      </c>
      <c r="L112" s="151">
        <v>4</v>
      </c>
    </row>
    <row r="113" spans="1:12">
      <c r="A113" s="146" t="s">
        <v>370</v>
      </c>
      <c r="B113" s="155">
        <v>9194944945</v>
      </c>
      <c r="C113" s="153">
        <v>41041</v>
      </c>
      <c r="D113" s="51">
        <f t="shared" ca="1" si="2"/>
        <v>4</v>
      </c>
      <c r="E113" s="152" t="str">
        <f t="shared" si="3"/>
        <v>May</v>
      </c>
      <c r="F113" s="146" t="s">
        <v>381</v>
      </c>
      <c r="G113" s="154">
        <v>651995963</v>
      </c>
      <c r="H113" s="146" t="s">
        <v>252</v>
      </c>
      <c r="I113" s="52"/>
      <c r="J113" s="156" t="s">
        <v>271</v>
      </c>
      <c r="K113" s="53">
        <v>32981</v>
      </c>
      <c r="L113" s="151">
        <v>4</v>
      </c>
    </row>
    <row r="114" spans="1:12">
      <c r="A114" s="146" t="s">
        <v>936</v>
      </c>
      <c r="B114" s="155">
        <v>2525724528</v>
      </c>
      <c r="C114" s="153">
        <v>37085</v>
      </c>
      <c r="D114" s="51">
        <f t="shared" ca="1" si="2"/>
        <v>15</v>
      </c>
      <c r="E114" s="152" t="str">
        <f t="shared" si="3"/>
        <v>July</v>
      </c>
      <c r="F114" s="146" t="s">
        <v>391</v>
      </c>
      <c r="G114" s="154">
        <v>907491320</v>
      </c>
      <c r="H114" s="146" t="s">
        <v>261</v>
      </c>
      <c r="I114" s="52" t="s">
        <v>276</v>
      </c>
      <c r="J114" s="156" t="s">
        <v>271</v>
      </c>
      <c r="K114" s="53">
        <v>51486</v>
      </c>
      <c r="L114" s="151">
        <v>1</v>
      </c>
    </row>
    <row r="115" spans="1:12">
      <c r="A115" s="146" t="s">
        <v>314</v>
      </c>
      <c r="B115" s="155">
        <v>2523373445</v>
      </c>
      <c r="C115" s="153">
        <v>37070</v>
      </c>
      <c r="D115" s="51">
        <f t="shared" ca="1" si="2"/>
        <v>15</v>
      </c>
      <c r="E115" s="152" t="str">
        <f t="shared" si="3"/>
        <v>June</v>
      </c>
      <c r="F115" s="146" t="s">
        <v>391</v>
      </c>
      <c r="G115" s="154">
        <v>707882019</v>
      </c>
      <c r="H115" s="146" t="s">
        <v>247</v>
      </c>
      <c r="I115" s="52"/>
      <c r="J115" s="156" t="s">
        <v>266</v>
      </c>
      <c r="K115" s="53">
        <v>104364</v>
      </c>
      <c r="L115" s="151">
        <v>4</v>
      </c>
    </row>
    <row r="116" spans="1:12">
      <c r="A116" s="146" t="s">
        <v>484</v>
      </c>
      <c r="B116" s="155">
        <v>2523748373</v>
      </c>
      <c r="C116" s="153">
        <v>36805</v>
      </c>
      <c r="D116" s="51">
        <f t="shared" ca="1" si="2"/>
        <v>16</v>
      </c>
      <c r="E116" s="152" t="str">
        <f t="shared" si="3"/>
        <v>October</v>
      </c>
      <c r="F116" s="146" t="s">
        <v>391</v>
      </c>
      <c r="G116" s="154">
        <v>863161920</v>
      </c>
      <c r="H116" s="146" t="s">
        <v>256</v>
      </c>
      <c r="I116" s="52" t="s">
        <v>283</v>
      </c>
      <c r="J116" s="156" t="s">
        <v>271</v>
      </c>
      <c r="K116" s="53">
        <v>60132</v>
      </c>
      <c r="L116" s="151">
        <v>1</v>
      </c>
    </row>
    <row r="117" spans="1:12">
      <c r="A117" s="146" t="s">
        <v>871</v>
      </c>
      <c r="B117" s="155">
        <v>2528440900</v>
      </c>
      <c r="C117" s="153">
        <v>38340</v>
      </c>
      <c r="D117" s="51">
        <f t="shared" ca="1" si="2"/>
        <v>11</v>
      </c>
      <c r="E117" s="152" t="str">
        <f t="shared" si="3"/>
        <v>December</v>
      </c>
      <c r="F117" s="146" t="s">
        <v>391</v>
      </c>
      <c r="G117" s="154">
        <v>434927073</v>
      </c>
      <c r="H117" s="146" t="s">
        <v>256</v>
      </c>
      <c r="I117" s="52" t="s">
        <v>267</v>
      </c>
      <c r="J117" s="156" t="s">
        <v>266</v>
      </c>
      <c r="K117" s="53">
        <v>47688</v>
      </c>
      <c r="L117" s="151">
        <v>1</v>
      </c>
    </row>
    <row r="118" spans="1:12">
      <c r="A118" s="157" t="s">
        <v>244</v>
      </c>
      <c r="B118" s="155">
        <v>2521282202</v>
      </c>
      <c r="C118" s="153">
        <v>33911</v>
      </c>
      <c r="D118" s="51">
        <f t="shared" ca="1" si="2"/>
        <v>24</v>
      </c>
      <c r="E118" s="152" t="str">
        <f t="shared" si="3"/>
        <v>November</v>
      </c>
      <c r="F118" s="146" t="s">
        <v>391</v>
      </c>
      <c r="G118" s="154">
        <v>828996583</v>
      </c>
      <c r="H118" s="146" t="s">
        <v>252</v>
      </c>
      <c r="I118" s="52"/>
      <c r="J118" s="156" t="s">
        <v>285</v>
      </c>
      <c r="K118" s="53">
        <v>17654</v>
      </c>
      <c r="L118" s="151">
        <v>5</v>
      </c>
    </row>
    <row r="119" spans="1:12">
      <c r="A119" s="146" t="s">
        <v>458</v>
      </c>
      <c r="B119" s="155">
        <v>9193451072</v>
      </c>
      <c r="C119" s="153">
        <v>36401</v>
      </c>
      <c r="D119" s="51">
        <f t="shared" ca="1" si="2"/>
        <v>17</v>
      </c>
      <c r="E119" s="152" t="str">
        <f t="shared" si="3"/>
        <v>August</v>
      </c>
      <c r="F119" s="146" t="s">
        <v>391</v>
      </c>
      <c r="G119" s="154">
        <v>195245117</v>
      </c>
      <c r="H119" s="146" t="s">
        <v>252</v>
      </c>
      <c r="I119" s="52"/>
      <c r="J119" s="156" t="s">
        <v>285</v>
      </c>
      <c r="K119" s="53">
        <v>15211</v>
      </c>
      <c r="L119" s="151">
        <v>2</v>
      </c>
    </row>
    <row r="120" spans="1:12">
      <c r="A120" s="146" t="s">
        <v>324</v>
      </c>
      <c r="B120" s="155">
        <v>2527230063</v>
      </c>
      <c r="C120" s="153">
        <v>36687</v>
      </c>
      <c r="D120" s="51">
        <f t="shared" ca="1" si="2"/>
        <v>16</v>
      </c>
      <c r="E120" s="152" t="str">
        <f t="shared" si="3"/>
        <v>June</v>
      </c>
      <c r="F120" s="146" t="s">
        <v>391</v>
      </c>
      <c r="G120" s="154">
        <v>526188716</v>
      </c>
      <c r="H120" s="146" t="s">
        <v>247</v>
      </c>
      <c r="I120" s="52"/>
      <c r="J120" s="156" t="s">
        <v>271</v>
      </c>
      <c r="K120" s="53">
        <v>77364</v>
      </c>
      <c r="L120" s="151">
        <v>3</v>
      </c>
    </row>
    <row r="121" spans="1:12">
      <c r="A121" s="146" t="s">
        <v>805</v>
      </c>
      <c r="B121" s="155">
        <v>2526742736</v>
      </c>
      <c r="C121" s="153">
        <v>36215</v>
      </c>
      <c r="D121" s="51">
        <f t="shared" ca="1" si="2"/>
        <v>17</v>
      </c>
      <c r="E121" s="152" t="str">
        <f t="shared" si="3"/>
        <v>February</v>
      </c>
      <c r="F121" s="146" t="s">
        <v>391</v>
      </c>
      <c r="G121" s="154">
        <v>291798311</v>
      </c>
      <c r="H121" s="146" t="s">
        <v>256</v>
      </c>
      <c r="I121" s="52" t="s">
        <v>257</v>
      </c>
      <c r="J121" s="156" t="s">
        <v>266</v>
      </c>
      <c r="K121" s="53">
        <v>96144</v>
      </c>
      <c r="L121" s="151">
        <v>4</v>
      </c>
    </row>
    <row r="122" spans="1:12">
      <c r="A122" s="146" t="s">
        <v>816</v>
      </c>
      <c r="B122" s="155">
        <v>9192387348</v>
      </c>
      <c r="C122" s="153">
        <v>35878</v>
      </c>
      <c r="D122" s="51">
        <f t="shared" ca="1" si="2"/>
        <v>18</v>
      </c>
      <c r="E122" s="152" t="str">
        <f t="shared" si="3"/>
        <v>March</v>
      </c>
      <c r="F122" s="146" t="s">
        <v>391</v>
      </c>
      <c r="G122" s="154">
        <v>681596577</v>
      </c>
      <c r="H122" s="146" t="s">
        <v>247</v>
      </c>
      <c r="I122" s="52"/>
      <c r="J122" s="156" t="s">
        <v>245</v>
      </c>
      <c r="K122" s="53">
        <v>42312</v>
      </c>
      <c r="L122" s="151">
        <v>2</v>
      </c>
    </row>
    <row r="123" spans="1:12">
      <c r="A123" s="146" t="s">
        <v>375</v>
      </c>
      <c r="B123" s="155">
        <v>2522715355</v>
      </c>
      <c r="C123" s="153">
        <v>36904</v>
      </c>
      <c r="D123" s="51">
        <f t="shared" ca="1" si="2"/>
        <v>15</v>
      </c>
      <c r="E123" s="152" t="str">
        <f t="shared" si="3"/>
        <v>January</v>
      </c>
      <c r="F123" s="146" t="s">
        <v>391</v>
      </c>
      <c r="G123" s="154">
        <v>843875501</v>
      </c>
      <c r="H123" s="146" t="s">
        <v>247</v>
      </c>
      <c r="I123" s="52"/>
      <c r="J123" s="156" t="s">
        <v>251</v>
      </c>
      <c r="K123" s="53">
        <v>39528</v>
      </c>
      <c r="L123" s="151">
        <v>5</v>
      </c>
    </row>
    <row r="124" spans="1:12">
      <c r="A124" s="146" t="s">
        <v>539</v>
      </c>
      <c r="B124" s="155">
        <v>2528577225</v>
      </c>
      <c r="C124" s="153">
        <v>38395</v>
      </c>
      <c r="D124" s="51">
        <f t="shared" ca="1" si="2"/>
        <v>11</v>
      </c>
      <c r="E124" s="152" t="str">
        <f t="shared" si="3"/>
        <v>February</v>
      </c>
      <c r="F124" s="146" t="s">
        <v>391</v>
      </c>
      <c r="G124" s="154">
        <v>581823751</v>
      </c>
      <c r="H124" s="146" t="s">
        <v>247</v>
      </c>
      <c r="I124" s="52"/>
      <c r="J124" s="156" t="s">
        <v>280</v>
      </c>
      <c r="K124" s="53">
        <v>88068</v>
      </c>
      <c r="L124" s="151">
        <v>2</v>
      </c>
    </row>
    <row r="125" spans="1:12">
      <c r="A125" s="146" t="s">
        <v>975</v>
      </c>
      <c r="B125" s="158">
        <v>2526738901</v>
      </c>
      <c r="C125" s="153">
        <v>33973</v>
      </c>
      <c r="D125" s="51">
        <f t="shared" ca="1" si="2"/>
        <v>23</v>
      </c>
      <c r="E125" s="152" t="str">
        <f t="shared" si="3"/>
        <v>January</v>
      </c>
      <c r="F125" s="146" t="s">
        <v>391</v>
      </c>
      <c r="G125" s="154">
        <v>938508346</v>
      </c>
      <c r="H125" s="146" t="s">
        <v>247</v>
      </c>
      <c r="I125" s="52"/>
      <c r="J125" s="156" t="s">
        <v>251</v>
      </c>
      <c r="K125" s="53">
        <v>96060</v>
      </c>
      <c r="L125" s="151">
        <v>2</v>
      </c>
    </row>
    <row r="126" spans="1:12">
      <c r="A126" s="146" t="s">
        <v>895</v>
      </c>
      <c r="B126" s="155">
        <v>9196756847</v>
      </c>
      <c r="C126" s="153">
        <v>34551</v>
      </c>
      <c r="D126" s="51">
        <f t="shared" ca="1" si="2"/>
        <v>22</v>
      </c>
      <c r="E126" s="152" t="str">
        <f t="shared" si="3"/>
        <v>August</v>
      </c>
      <c r="F126" s="146" t="s">
        <v>391</v>
      </c>
      <c r="G126" s="154">
        <v>685953695</v>
      </c>
      <c r="H126" s="146" t="s">
        <v>256</v>
      </c>
      <c r="I126" s="52" t="s">
        <v>283</v>
      </c>
      <c r="J126" s="156" t="s">
        <v>285</v>
      </c>
      <c r="K126" s="53">
        <v>99312</v>
      </c>
      <c r="L126" s="151">
        <v>4</v>
      </c>
    </row>
    <row r="127" spans="1:12">
      <c r="A127" s="146" t="s">
        <v>819</v>
      </c>
      <c r="B127" s="155">
        <v>9197111802</v>
      </c>
      <c r="C127" s="153">
        <v>36997</v>
      </c>
      <c r="D127" s="51">
        <f t="shared" ca="1" si="2"/>
        <v>15</v>
      </c>
      <c r="E127" s="152" t="str">
        <f t="shared" si="3"/>
        <v>April</v>
      </c>
      <c r="F127" s="146" t="s">
        <v>391</v>
      </c>
      <c r="G127" s="154">
        <v>694800128</v>
      </c>
      <c r="H127" s="146" t="s">
        <v>256</v>
      </c>
      <c r="I127" s="52" t="s">
        <v>283</v>
      </c>
      <c r="J127" s="156" t="s">
        <v>285</v>
      </c>
      <c r="K127" s="53">
        <v>73596</v>
      </c>
      <c r="L127" s="151">
        <v>1</v>
      </c>
    </row>
    <row r="128" spans="1:12">
      <c r="A128" s="146" t="s">
        <v>344</v>
      </c>
      <c r="B128" s="155">
        <v>9191653055</v>
      </c>
      <c r="C128" s="153">
        <v>34175</v>
      </c>
      <c r="D128" s="51">
        <f t="shared" ca="1" si="2"/>
        <v>23</v>
      </c>
      <c r="E128" s="152" t="str">
        <f t="shared" si="3"/>
        <v>July</v>
      </c>
      <c r="F128" s="146" t="s">
        <v>391</v>
      </c>
      <c r="G128" s="154">
        <v>719937584</v>
      </c>
      <c r="H128" s="146" t="s">
        <v>256</v>
      </c>
      <c r="I128" s="52" t="s">
        <v>283</v>
      </c>
      <c r="J128" s="156" t="s">
        <v>245</v>
      </c>
      <c r="K128" s="53">
        <v>45144</v>
      </c>
      <c r="L128" s="151">
        <v>5</v>
      </c>
    </row>
    <row r="129" spans="1:12">
      <c r="A129" s="146" t="s">
        <v>569</v>
      </c>
      <c r="B129" s="155">
        <v>9194983657</v>
      </c>
      <c r="C129" s="153">
        <v>34722</v>
      </c>
      <c r="D129" s="51">
        <f t="shared" ca="1" si="2"/>
        <v>21</v>
      </c>
      <c r="E129" s="152" t="str">
        <f t="shared" si="3"/>
        <v>January</v>
      </c>
      <c r="F129" s="146" t="s">
        <v>391</v>
      </c>
      <c r="G129" s="154">
        <v>585815837</v>
      </c>
      <c r="H129" s="146" t="s">
        <v>261</v>
      </c>
      <c r="I129" s="52" t="s">
        <v>276</v>
      </c>
      <c r="J129" s="156" t="s">
        <v>285</v>
      </c>
      <c r="K129" s="53">
        <v>22386</v>
      </c>
      <c r="L129" s="151">
        <v>4</v>
      </c>
    </row>
    <row r="130" spans="1:12">
      <c r="A130" s="146" t="s">
        <v>579</v>
      </c>
      <c r="B130" s="155">
        <v>2525786813</v>
      </c>
      <c r="C130" s="153">
        <v>34341</v>
      </c>
      <c r="D130" s="51">
        <f t="shared" ref="D130:D193" ca="1" si="4">DATEDIF(C130,TODAY(),"Y")</f>
        <v>22</v>
      </c>
      <c r="E130" s="152" t="str">
        <f t="shared" ref="E130:E193" si="5">CHOOSE(MONTH(C130),"January","February","March","April","May","June","July","August","September","October","November","December")</f>
        <v>January</v>
      </c>
      <c r="F130" s="146" t="s">
        <v>391</v>
      </c>
      <c r="G130" s="154">
        <v>690374765</v>
      </c>
      <c r="H130" s="146" t="s">
        <v>256</v>
      </c>
      <c r="I130" s="52" t="s">
        <v>267</v>
      </c>
      <c r="J130" s="156" t="s">
        <v>271</v>
      </c>
      <c r="K130" s="53">
        <v>99000</v>
      </c>
      <c r="L130" s="151">
        <v>5</v>
      </c>
    </row>
    <row r="131" spans="1:12">
      <c r="A131" s="146" t="s">
        <v>1002</v>
      </c>
      <c r="B131" s="155">
        <v>9191472895</v>
      </c>
      <c r="C131" s="153">
        <v>36465</v>
      </c>
      <c r="D131" s="51">
        <f t="shared" ca="1" si="4"/>
        <v>17</v>
      </c>
      <c r="E131" s="152" t="str">
        <f t="shared" si="5"/>
        <v>November</v>
      </c>
      <c r="F131" s="146" t="s">
        <v>391</v>
      </c>
      <c r="G131" s="154">
        <v>197789466</v>
      </c>
      <c r="H131" s="146" t="s">
        <v>247</v>
      </c>
      <c r="I131" s="52"/>
      <c r="J131" s="156" t="s">
        <v>271</v>
      </c>
      <c r="K131" s="53">
        <v>91224</v>
      </c>
      <c r="L131" s="151">
        <v>1</v>
      </c>
    </row>
    <row r="132" spans="1:12">
      <c r="A132" s="146" t="s">
        <v>378</v>
      </c>
      <c r="B132" s="155">
        <v>2523327522</v>
      </c>
      <c r="C132" s="153">
        <v>37841</v>
      </c>
      <c r="D132" s="51">
        <f t="shared" ca="1" si="4"/>
        <v>13</v>
      </c>
      <c r="E132" s="152" t="str">
        <f t="shared" si="5"/>
        <v>August</v>
      </c>
      <c r="F132" s="146" t="s">
        <v>391</v>
      </c>
      <c r="G132" s="154">
        <v>469591073</v>
      </c>
      <c r="H132" s="146" t="s">
        <v>256</v>
      </c>
      <c r="I132" s="52" t="s">
        <v>267</v>
      </c>
      <c r="J132" s="156" t="s">
        <v>271</v>
      </c>
      <c r="K132" s="53">
        <v>73380</v>
      </c>
      <c r="L132" s="151">
        <v>4</v>
      </c>
    </row>
    <row r="133" spans="1:12">
      <c r="A133" s="146" t="s">
        <v>474</v>
      </c>
      <c r="B133" s="155">
        <v>9196082608</v>
      </c>
      <c r="C133" s="153">
        <v>41128</v>
      </c>
      <c r="D133" s="51">
        <f t="shared" ca="1" si="4"/>
        <v>4</v>
      </c>
      <c r="E133" s="152" t="str">
        <f t="shared" si="5"/>
        <v>August</v>
      </c>
      <c r="F133" s="146" t="s">
        <v>411</v>
      </c>
      <c r="G133" s="154">
        <v>914041569</v>
      </c>
      <c r="H133" s="146" t="s">
        <v>256</v>
      </c>
      <c r="I133" s="52" t="s">
        <v>283</v>
      </c>
      <c r="J133" s="156" t="s">
        <v>245</v>
      </c>
      <c r="K133" s="53">
        <v>94980</v>
      </c>
      <c r="L133" s="151">
        <v>2</v>
      </c>
    </row>
    <row r="134" spans="1:12">
      <c r="A134" s="146" t="s">
        <v>480</v>
      </c>
      <c r="B134" s="155">
        <v>9191299076</v>
      </c>
      <c r="C134" s="153">
        <v>39255</v>
      </c>
      <c r="D134" s="51">
        <f t="shared" ca="1" si="4"/>
        <v>9</v>
      </c>
      <c r="E134" s="152" t="str">
        <f t="shared" si="5"/>
        <v>June</v>
      </c>
      <c r="F134" s="146" t="s">
        <v>411</v>
      </c>
      <c r="G134" s="154">
        <v>699053064</v>
      </c>
      <c r="H134" s="146" t="s">
        <v>247</v>
      </c>
      <c r="I134" s="52"/>
      <c r="J134" s="156" t="s">
        <v>285</v>
      </c>
      <c r="K134" s="53">
        <v>72072</v>
      </c>
      <c r="L134" s="151">
        <v>2</v>
      </c>
    </row>
    <row r="135" spans="1:12">
      <c r="A135" s="157" t="s">
        <v>270</v>
      </c>
      <c r="B135" s="155">
        <v>2527838614</v>
      </c>
      <c r="C135" s="153">
        <v>39315</v>
      </c>
      <c r="D135" s="51">
        <f t="shared" ca="1" si="4"/>
        <v>9</v>
      </c>
      <c r="E135" s="152" t="str">
        <f t="shared" si="5"/>
        <v>August</v>
      </c>
      <c r="F135" s="146" t="s">
        <v>411</v>
      </c>
      <c r="G135" s="154">
        <v>850210766</v>
      </c>
      <c r="H135" s="146" t="s">
        <v>256</v>
      </c>
      <c r="I135" s="52" t="s">
        <v>257</v>
      </c>
      <c r="J135" s="156" t="s">
        <v>285</v>
      </c>
      <c r="K135" s="53">
        <v>56820</v>
      </c>
      <c r="L135" s="151">
        <v>5</v>
      </c>
    </row>
    <row r="136" spans="1:12">
      <c r="A136" s="146" t="s">
        <v>394</v>
      </c>
      <c r="B136" s="155">
        <v>2521696804</v>
      </c>
      <c r="C136" s="153">
        <v>36057</v>
      </c>
      <c r="D136" s="51">
        <f t="shared" ca="1" si="4"/>
        <v>18</v>
      </c>
      <c r="E136" s="152" t="str">
        <f t="shared" si="5"/>
        <v>September</v>
      </c>
      <c r="F136" s="146" t="s">
        <v>411</v>
      </c>
      <c r="G136" s="154">
        <v>999789446</v>
      </c>
      <c r="H136" s="146" t="s">
        <v>256</v>
      </c>
      <c r="I136" s="52" t="s">
        <v>257</v>
      </c>
      <c r="J136" s="156" t="s">
        <v>271</v>
      </c>
      <c r="K136" s="53">
        <v>80088</v>
      </c>
      <c r="L136" s="151">
        <v>2</v>
      </c>
    </row>
    <row r="137" spans="1:12">
      <c r="A137" s="146" t="s">
        <v>292</v>
      </c>
      <c r="B137" s="155">
        <v>9196188082</v>
      </c>
      <c r="C137" s="153">
        <v>37297</v>
      </c>
      <c r="D137" s="51">
        <f t="shared" ca="1" si="4"/>
        <v>14</v>
      </c>
      <c r="E137" s="152" t="str">
        <f t="shared" si="5"/>
        <v>February</v>
      </c>
      <c r="F137" s="146" t="s">
        <v>411</v>
      </c>
      <c r="G137" s="154">
        <v>885773638</v>
      </c>
      <c r="H137" s="146" t="s">
        <v>256</v>
      </c>
      <c r="I137" s="52" t="s">
        <v>283</v>
      </c>
      <c r="J137" s="156" t="s">
        <v>245</v>
      </c>
      <c r="K137" s="53">
        <v>90072</v>
      </c>
      <c r="L137" s="151">
        <v>5</v>
      </c>
    </row>
    <row r="138" spans="1:12">
      <c r="A138" s="146" t="s">
        <v>677</v>
      </c>
      <c r="B138" s="155">
        <v>9193089561</v>
      </c>
      <c r="C138" s="153">
        <v>39481</v>
      </c>
      <c r="D138" s="51">
        <f t="shared" ca="1" si="4"/>
        <v>8</v>
      </c>
      <c r="E138" s="152" t="str">
        <f t="shared" si="5"/>
        <v>February</v>
      </c>
      <c r="F138" s="146" t="s">
        <v>417</v>
      </c>
      <c r="G138" s="154">
        <v>659929807</v>
      </c>
      <c r="H138" s="146" t="s">
        <v>256</v>
      </c>
      <c r="I138" s="52" t="s">
        <v>257</v>
      </c>
      <c r="J138" s="156" t="s">
        <v>285</v>
      </c>
      <c r="K138" s="53">
        <v>26892</v>
      </c>
      <c r="L138" s="151">
        <v>4</v>
      </c>
    </row>
    <row r="139" spans="1:12">
      <c r="A139" s="146" t="s">
        <v>1024</v>
      </c>
      <c r="B139" s="155">
        <v>9196126835</v>
      </c>
      <c r="C139" s="153">
        <v>35640</v>
      </c>
      <c r="D139" s="51">
        <f t="shared" ca="1" si="4"/>
        <v>19</v>
      </c>
      <c r="E139" s="152" t="str">
        <f t="shared" si="5"/>
        <v>July</v>
      </c>
      <c r="F139" s="146" t="s">
        <v>417</v>
      </c>
      <c r="G139" s="154">
        <v>661397587</v>
      </c>
      <c r="H139" s="146" t="s">
        <v>247</v>
      </c>
      <c r="I139" s="52"/>
      <c r="J139" s="156" t="s">
        <v>285</v>
      </c>
      <c r="K139" s="53">
        <v>48672</v>
      </c>
      <c r="L139" s="151">
        <v>5</v>
      </c>
    </row>
    <row r="140" spans="1:12">
      <c r="A140" s="146" t="s">
        <v>679</v>
      </c>
      <c r="B140" s="155">
        <v>2524697218</v>
      </c>
      <c r="C140" s="153">
        <v>36717</v>
      </c>
      <c r="D140" s="51">
        <f t="shared" ca="1" si="4"/>
        <v>16</v>
      </c>
      <c r="E140" s="152" t="str">
        <f t="shared" si="5"/>
        <v>July</v>
      </c>
      <c r="F140" s="146" t="s">
        <v>417</v>
      </c>
      <c r="G140" s="154">
        <v>105708355</v>
      </c>
      <c r="H140" s="146" t="s">
        <v>256</v>
      </c>
      <c r="I140" s="52" t="s">
        <v>262</v>
      </c>
      <c r="J140" s="156" t="s">
        <v>251</v>
      </c>
      <c r="K140" s="53">
        <v>85212</v>
      </c>
      <c r="L140" s="151">
        <v>5</v>
      </c>
    </row>
    <row r="141" spans="1:12">
      <c r="A141" s="146" t="s">
        <v>472</v>
      </c>
      <c r="B141" s="155">
        <v>2526500529</v>
      </c>
      <c r="C141" s="153">
        <v>41127</v>
      </c>
      <c r="D141" s="51">
        <f t="shared" ca="1" si="4"/>
        <v>4</v>
      </c>
      <c r="E141" s="152" t="str">
        <f t="shared" si="5"/>
        <v>August</v>
      </c>
      <c r="F141" s="146" t="s">
        <v>417</v>
      </c>
      <c r="G141" s="154">
        <v>518690148</v>
      </c>
      <c r="H141" s="146" t="s">
        <v>256</v>
      </c>
      <c r="I141" s="52" t="s">
        <v>267</v>
      </c>
      <c r="J141" s="156" t="s">
        <v>271</v>
      </c>
      <c r="K141" s="53">
        <v>39168</v>
      </c>
      <c r="L141" s="151">
        <v>4</v>
      </c>
    </row>
    <row r="142" spans="1:12">
      <c r="A142" s="146" t="s">
        <v>490</v>
      </c>
      <c r="B142" s="155">
        <v>9195968632</v>
      </c>
      <c r="C142" s="153">
        <v>40621</v>
      </c>
      <c r="D142" s="51">
        <f t="shared" ca="1" si="4"/>
        <v>5</v>
      </c>
      <c r="E142" s="152" t="str">
        <f t="shared" si="5"/>
        <v>March</v>
      </c>
      <c r="F142" s="146" t="s">
        <v>417</v>
      </c>
      <c r="G142" s="154">
        <v>407299017</v>
      </c>
      <c r="H142" s="146" t="s">
        <v>252</v>
      </c>
      <c r="I142" s="52"/>
      <c r="J142" s="156" t="s">
        <v>271</v>
      </c>
      <c r="K142" s="53">
        <v>18893</v>
      </c>
      <c r="L142" s="151">
        <v>3</v>
      </c>
    </row>
    <row r="143" spans="1:12">
      <c r="A143" s="146" t="s">
        <v>784</v>
      </c>
      <c r="B143" s="155">
        <v>2521156902</v>
      </c>
      <c r="C143" s="153">
        <v>40987</v>
      </c>
      <c r="D143" s="51">
        <f t="shared" ca="1" si="4"/>
        <v>4</v>
      </c>
      <c r="E143" s="152" t="str">
        <f t="shared" si="5"/>
        <v>March</v>
      </c>
      <c r="F143" s="146" t="s">
        <v>417</v>
      </c>
      <c r="G143" s="154">
        <v>956291859</v>
      </c>
      <c r="H143" s="146" t="s">
        <v>247</v>
      </c>
      <c r="I143" s="52"/>
      <c r="J143" s="156" t="s">
        <v>266</v>
      </c>
      <c r="K143" s="53">
        <v>54852</v>
      </c>
      <c r="L143" s="151">
        <v>3</v>
      </c>
    </row>
    <row r="144" spans="1:12">
      <c r="A144" s="157" t="s">
        <v>277</v>
      </c>
      <c r="B144" s="155">
        <v>9195876028</v>
      </c>
      <c r="C144" s="153">
        <v>36229</v>
      </c>
      <c r="D144" s="51">
        <f t="shared" ca="1" si="4"/>
        <v>17</v>
      </c>
      <c r="E144" s="152" t="str">
        <f t="shared" si="5"/>
        <v>March</v>
      </c>
      <c r="F144" s="146" t="s">
        <v>417</v>
      </c>
      <c r="G144" s="154">
        <v>659766304</v>
      </c>
      <c r="H144" s="146" t="s">
        <v>256</v>
      </c>
      <c r="I144" s="52" t="s">
        <v>283</v>
      </c>
      <c r="J144" s="156" t="s">
        <v>285</v>
      </c>
      <c r="K144" s="53">
        <v>45300</v>
      </c>
      <c r="L144" s="151">
        <v>5</v>
      </c>
    </row>
    <row r="145" spans="1:12">
      <c r="A145" s="146" t="s">
        <v>498</v>
      </c>
      <c r="B145" s="155">
        <v>9191999230</v>
      </c>
      <c r="C145" s="153">
        <v>34133</v>
      </c>
      <c r="D145" s="51">
        <f t="shared" ca="1" si="4"/>
        <v>23</v>
      </c>
      <c r="E145" s="152" t="str">
        <f t="shared" si="5"/>
        <v>June</v>
      </c>
      <c r="F145" s="146" t="s">
        <v>417</v>
      </c>
      <c r="G145" s="154">
        <v>503349830</v>
      </c>
      <c r="H145" s="146" t="s">
        <v>256</v>
      </c>
      <c r="I145" s="52" t="s">
        <v>283</v>
      </c>
      <c r="J145" s="156" t="s">
        <v>271</v>
      </c>
      <c r="K145" s="53">
        <v>38568</v>
      </c>
      <c r="L145" s="151">
        <v>2</v>
      </c>
    </row>
    <row r="146" spans="1:12">
      <c r="A146" s="146" t="s">
        <v>753</v>
      </c>
      <c r="B146" s="155">
        <v>9194194193</v>
      </c>
      <c r="C146" s="153">
        <v>35812</v>
      </c>
      <c r="D146" s="51">
        <f t="shared" ca="1" si="4"/>
        <v>18</v>
      </c>
      <c r="E146" s="152" t="str">
        <f t="shared" si="5"/>
        <v>January</v>
      </c>
      <c r="F146" s="146" t="s">
        <v>417</v>
      </c>
      <c r="G146" s="154">
        <v>707553376</v>
      </c>
      <c r="H146" s="146" t="s">
        <v>256</v>
      </c>
      <c r="I146" s="52" t="s">
        <v>276</v>
      </c>
      <c r="J146" s="156" t="s">
        <v>271</v>
      </c>
      <c r="K146" s="53">
        <v>59112</v>
      </c>
      <c r="L146" s="151">
        <v>3</v>
      </c>
    </row>
    <row r="147" spans="1:12">
      <c r="A147" s="146" t="s">
        <v>422</v>
      </c>
      <c r="B147" s="155">
        <v>2527553017</v>
      </c>
      <c r="C147" s="153">
        <v>38016</v>
      </c>
      <c r="D147" s="51">
        <f t="shared" ca="1" si="4"/>
        <v>12</v>
      </c>
      <c r="E147" s="152" t="str">
        <f t="shared" si="5"/>
        <v>January</v>
      </c>
      <c r="F147" s="146" t="s">
        <v>417</v>
      </c>
      <c r="G147" s="154">
        <v>625531462</v>
      </c>
      <c r="H147" s="146" t="s">
        <v>256</v>
      </c>
      <c r="I147" s="52" t="s">
        <v>257</v>
      </c>
      <c r="J147" s="156" t="s">
        <v>271</v>
      </c>
      <c r="K147" s="53">
        <v>50976</v>
      </c>
      <c r="L147" s="151">
        <v>3</v>
      </c>
    </row>
    <row r="148" spans="1:12">
      <c r="A148" s="146" t="s">
        <v>506</v>
      </c>
      <c r="B148" s="155">
        <v>2524442207</v>
      </c>
      <c r="C148" s="153">
        <v>41198</v>
      </c>
      <c r="D148" s="51">
        <f t="shared" ca="1" si="4"/>
        <v>4</v>
      </c>
      <c r="E148" s="152" t="str">
        <f t="shared" si="5"/>
        <v>October</v>
      </c>
      <c r="F148" s="146" t="s">
        <v>417</v>
      </c>
      <c r="G148" s="154">
        <v>536516131</v>
      </c>
      <c r="H148" s="146" t="s">
        <v>256</v>
      </c>
      <c r="I148" s="52" t="s">
        <v>283</v>
      </c>
      <c r="J148" s="156" t="s">
        <v>285</v>
      </c>
      <c r="K148" s="53">
        <v>51144</v>
      </c>
      <c r="L148" s="151">
        <v>3</v>
      </c>
    </row>
    <row r="149" spans="1:12">
      <c r="A149" s="146" t="s">
        <v>321</v>
      </c>
      <c r="B149" s="155">
        <v>2527135797</v>
      </c>
      <c r="C149" s="153">
        <v>36667</v>
      </c>
      <c r="D149" s="51">
        <f t="shared" ca="1" si="4"/>
        <v>16</v>
      </c>
      <c r="E149" s="152" t="str">
        <f t="shared" si="5"/>
        <v>May</v>
      </c>
      <c r="F149" s="146" t="s">
        <v>417</v>
      </c>
      <c r="G149" s="154">
        <v>282972141</v>
      </c>
      <c r="H149" s="146" t="s">
        <v>247</v>
      </c>
      <c r="I149" s="52"/>
      <c r="J149" s="156" t="s">
        <v>271</v>
      </c>
      <c r="K149" s="53">
        <v>30144</v>
      </c>
      <c r="L149" s="151">
        <v>5</v>
      </c>
    </row>
    <row r="150" spans="1:12">
      <c r="A150" s="146" t="s">
        <v>516</v>
      </c>
      <c r="B150" s="155">
        <v>2522612740</v>
      </c>
      <c r="C150" s="153">
        <v>34889</v>
      </c>
      <c r="D150" s="51">
        <f t="shared" ca="1" si="4"/>
        <v>21</v>
      </c>
      <c r="E150" s="152" t="str">
        <f t="shared" si="5"/>
        <v>July</v>
      </c>
      <c r="F150" s="146" t="s">
        <v>417</v>
      </c>
      <c r="G150" s="154">
        <v>932787692</v>
      </c>
      <c r="H150" s="146" t="s">
        <v>247</v>
      </c>
      <c r="I150" s="52"/>
      <c r="J150" s="156" t="s">
        <v>245</v>
      </c>
      <c r="K150" s="53">
        <v>76908</v>
      </c>
      <c r="L150" s="151">
        <v>2</v>
      </c>
    </row>
    <row r="151" spans="1:12">
      <c r="A151" s="146" t="s">
        <v>528</v>
      </c>
      <c r="B151" s="155">
        <v>2525317859</v>
      </c>
      <c r="C151" s="153">
        <v>38863</v>
      </c>
      <c r="D151" s="51">
        <f t="shared" ca="1" si="4"/>
        <v>10</v>
      </c>
      <c r="E151" s="152" t="str">
        <f t="shared" si="5"/>
        <v>May</v>
      </c>
      <c r="F151" s="146" t="s">
        <v>417</v>
      </c>
      <c r="G151" s="154">
        <v>541365827</v>
      </c>
      <c r="H151" s="146" t="s">
        <v>256</v>
      </c>
      <c r="I151" s="52" t="s">
        <v>267</v>
      </c>
      <c r="J151" s="156" t="s">
        <v>285</v>
      </c>
      <c r="K151" s="53">
        <v>78672</v>
      </c>
      <c r="L151" s="151">
        <v>1</v>
      </c>
    </row>
    <row r="152" spans="1:12">
      <c r="A152" s="146" t="s">
        <v>533</v>
      </c>
      <c r="B152" s="155">
        <v>2523919445</v>
      </c>
      <c r="C152" s="153">
        <v>34437</v>
      </c>
      <c r="D152" s="51">
        <f t="shared" ca="1" si="4"/>
        <v>22</v>
      </c>
      <c r="E152" s="152" t="str">
        <f t="shared" si="5"/>
        <v>April</v>
      </c>
      <c r="F152" s="146" t="s">
        <v>417</v>
      </c>
      <c r="G152" s="154">
        <v>304068732</v>
      </c>
      <c r="H152" s="146" t="s">
        <v>261</v>
      </c>
      <c r="I152" s="52" t="s">
        <v>257</v>
      </c>
      <c r="J152" s="156" t="s">
        <v>245</v>
      </c>
      <c r="K152" s="53">
        <v>40932</v>
      </c>
      <c r="L152" s="151">
        <v>4</v>
      </c>
    </row>
    <row r="153" spans="1:12">
      <c r="A153" s="146" t="s">
        <v>969</v>
      </c>
      <c r="B153" s="155">
        <v>2526166452</v>
      </c>
      <c r="C153" s="153">
        <v>35981</v>
      </c>
      <c r="D153" s="51">
        <f t="shared" ca="1" si="4"/>
        <v>18</v>
      </c>
      <c r="E153" s="152" t="str">
        <f t="shared" si="5"/>
        <v>July</v>
      </c>
      <c r="F153" s="146" t="s">
        <v>417</v>
      </c>
      <c r="G153" s="154">
        <v>110184347</v>
      </c>
      <c r="H153" s="146" t="s">
        <v>256</v>
      </c>
      <c r="I153" s="52" t="s">
        <v>257</v>
      </c>
      <c r="J153" s="156" t="s">
        <v>285</v>
      </c>
      <c r="K153" s="53">
        <v>76536</v>
      </c>
      <c r="L153" s="151">
        <v>5</v>
      </c>
    </row>
    <row r="154" spans="1:12">
      <c r="A154" s="146" t="s">
        <v>397</v>
      </c>
      <c r="B154" s="155">
        <v>9198865267</v>
      </c>
      <c r="C154" s="153">
        <v>38369</v>
      </c>
      <c r="D154" s="51">
        <f t="shared" ca="1" si="4"/>
        <v>11</v>
      </c>
      <c r="E154" s="152" t="str">
        <f t="shared" si="5"/>
        <v>January</v>
      </c>
      <c r="F154" s="146" t="s">
        <v>417</v>
      </c>
      <c r="G154" s="154">
        <v>575648597</v>
      </c>
      <c r="H154" s="146" t="s">
        <v>247</v>
      </c>
      <c r="I154" s="52"/>
      <c r="J154" s="156" t="s">
        <v>285</v>
      </c>
      <c r="K154" s="53">
        <v>38364</v>
      </c>
      <c r="L154" s="151">
        <v>5</v>
      </c>
    </row>
    <row r="155" spans="1:12">
      <c r="A155" s="146" t="s">
        <v>1027</v>
      </c>
      <c r="B155" s="155">
        <v>9196097340</v>
      </c>
      <c r="C155" s="153">
        <v>35489</v>
      </c>
      <c r="D155" s="51">
        <f t="shared" ca="1" si="4"/>
        <v>19</v>
      </c>
      <c r="E155" s="152" t="str">
        <f t="shared" si="5"/>
        <v>February</v>
      </c>
      <c r="F155" s="146" t="s">
        <v>417</v>
      </c>
      <c r="G155" s="154">
        <v>870601943</v>
      </c>
      <c r="H155" s="146" t="s">
        <v>247</v>
      </c>
      <c r="I155" s="52"/>
      <c r="J155" s="156" t="s">
        <v>245</v>
      </c>
      <c r="K155" s="53">
        <v>54048</v>
      </c>
      <c r="L155" s="151">
        <v>5</v>
      </c>
    </row>
    <row r="156" spans="1:12">
      <c r="A156" s="146" t="s">
        <v>822</v>
      </c>
      <c r="B156" s="155">
        <v>2524562999</v>
      </c>
      <c r="C156" s="153">
        <v>40496</v>
      </c>
      <c r="D156" s="51">
        <f t="shared" ca="1" si="4"/>
        <v>5</v>
      </c>
      <c r="E156" s="152" t="str">
        <f t="shared" si="5"/>
        <v>November</v>
      </c>
      <c r="F156" s="146" t="s">
        <v>417</v>
      </c>
      <c r="G156" s="154">
        <v>736688620</v>
      </c>
      <c r="H156" s="146" t="s">
        <v>261</v>
      </c>
      <c r="I156" s="52" t="s">
        <v>257</v>
      </c>
      <c r="J156" s="156" t="s">
        <v>271</v>
      </c>
      <c r="K156" s="53">
        <v>47418</v>
      </c>
      <c r="L156" s="151">
        <v>5</v>
      </c>
    </row>
    <row r="157" spans="1:12">
      <c r="A157" s="146" t="s">
        <v>543</v>
      </c>
      <c r="B157" s="155">
        <v>9197508998</v>
      </c>
      <c r="C157" s="153">
        <v>35914</v>
      </c>
      <c r="D157" s="51">
        <f t="shared" ca="1" si="4"/>
        <v>18</v>
      </c>
      <c r="E157" s="152" t="str">
        <f t="shared" si="5"/>
        <v>April</v>
      </c>
      <c r="F157" s="146" t="s">
        <v>417</v>
      </c>
      <c r="G157" s="154">
        <v>393051351</v>
      </c>
      <c r="H157" s="146" t="s">
        <v>261</v>
      </c>
      <c r="I157" s="52" t="s">
        <v>276</v>
      </c>
      <c r="J157" s="156" t="s">
        <v>285</v>
      </c>
      <c r="K157" s="53">
        <v>39402</v>
      </c>
      <c r="L157" s="151">
        <v>2</v>
      </c>
    </row>
    <row r="158" spans="1:12">
      <c r="A158" s="146" t="s">
        <v>544</v>
      </c>
      <c r="B158" s="155">
        <v>2522338778</v>
      </c>
      <c r="C158" s="153">
        <v>34651</v>
      </c>
      <c r="D158" s="51">
        <f t="shared" ca="1" si="4"/>
        <v>21</v>
      </c>
      <c r="E158" s="152" t="str">
        <f t="shared" si="5"/>
        <v>November</v>
      </c>
      <c r="F158" s="146" t="s">
        <v>417</v>
      </c>
      <c r="G158" s="154">
        <v>993867417</v>
      </c>
      <c r="H158" s="146" t="s">
        <v>256</v>
      </c>
      <c r="I158" s="52" t="s">
        <v>283</v>
      </c>
      <c r="J158" s="156" t="s">
        <v>251</v>
      </c>
      <c r="K158" s="53">
        <v>55608</v>
      </c>
      <c r="L158" s="151">
        <v>5</v>
      </c>
    </row>
    <row r="159" spans="1:12">
      <c r="A159" s="146" t="s">
        <v>900</v>
      </c>
      <c r="B159" s="155">
        <v>2526563683</v>
      </c>
      <c r="C159" s="153">
        <v>33845</v>
      </c>
      <c r="D159" s="51">
        <f t="shared" ca="1" si="4"/>
        <v>24</v>
      </c>
      <c r="E159" s="152" t="str">
        <f t="shared" si="5"/>
        <v>August</v>
      </c>
      <c r="F159" s="146" t="s">
        <v>417</v>
      </c>
      <c r="G159" s="154">
        <v>113699123</v>
      </c>
      <c r="H159" s="146" t="s">
        <v>256</v>
      </c>
      <c r="I159" s="52" t="s">
        <v>267</v>
      </c>
      <c r="J159" s="156" t="s">
        <v>271</v>
      </c>
      <c r="K159" s="53">
        <v>42432</v>
      </c>
      <c r="L159" s="151">
        <v>5</v>
      </c>
    </row>
    <row r="160" spans="1:12">
      <c r="A160" s="146" t="s">
        <v>558</v>
      </c>
      <c r="B160" s="155">
        <v>9191559081</v>
      </c>
      <c r="C160" s="153">
        <v>35798</v>
      </c>
      <c r="D160" s="51">
        <f t="shared" ca="1" si="4"/>
        <v>18</v>
      </c>
      <c r="E160" s="152" t="str">
        <f t="shared" si="5"/>
        <v>January</v>
      </c>
      <c r="F160" s="146" t="s">
        <v>417</v>
      </c>
      <c r="G160" s="154">
        <v>425598783</v>
      </c>
      <c r="H160" s="146" t="s">
        <v>261</v>
      </c>
      <c r="I160" s="52" t="s">
        <v>276</v>
      </c>
      <c r="J160" s="156" t="s">
        <v>285</v>
      </c>
      <c r="K160" s="53">
        <v>25464</v>
      </c>
      <c r="L160" s="151">
        <v>3</v>
      </c>
    </row>
    <row r="161" spans="1:12">
      <c r="A161" s="146" t="s">
        <v>659</v>
      </c>
      <c r="B161" s="155">
        <v>9195508095</v>
      </c>
      <c r="C161" s="153">
        <v>37371</v>
      </c>
      <c r="D161" s="51">
        <f t="shared" ca="1" si="4"/>
        <v>14</v>
      </c>
      <c r="E161" s="152" t="str">
        <f t="shared" si="5"/>
        <v>April</v>
      </c>
      <c r="F161" s="146" t="s">
        <v>417</v>
      </c>
      <c r="G161" s="154">
        <v>429283827</v>
      </c>
      <c r="H161" s="146" t="s">
        <v>256</v>
      </c>
      <c r="I161" s="52" t="s">
        <v>283</v>
      </c>
      <c r="J161" s="156" t="s">
        <v>245</v>
      </c>
      <c r="K161" s="53">
        <v>85656</v>
      </c>
      <c r="L161" s="151">
        <v>2</v>
      </c>
    </row>
    <row r="162" spans="1:12">
      <c r="A162" s="146" t="s">
        <v>439</v>
      </c>
      <c r="B162" s="155">
        <v>2522381391</v>
      </c>
      <c r="C162" s="153">
        <v>36991</v>
      </c>
      <c r="D162" s="51">
        <f t="shared" ca="1" si="4"/>
        <v>15</v>
      </c>
      <c r="E162" s="152" t="str">
        <f t="shared" si="5"/>
        <v>April</v>
      </c>
      <c r="F162" s="146" t="s">
        <v>417</v>
      </c>
      <c r="G162" s="154">
        <v>279591317</v>
      </c>
      <c r="H162" s="146" t="s">
        <v>252</v>
      </c>
      <c r="I162" s="52"/>
      <c r="J162" s="156" t="s">
        <v>280</v>
      </c>
      <c r="K162" s="53">
        <v>46522</v>
      </c>
      <c r="L162" s="151">
        <v>4</v>
      </c>
    </row>
    <row r="163" spans="1:12">
      <c r="A163" s="146" t="s">
        <v>908</v>
      </c>
      <c r="B163" s="155">
        <v>2523938131</v>
      </c>
      <c r="C163" s="153">
        <v>37142</v>
      </c>
      <c r="D163" s="51">
        <f t="shared" ca="1" si="4"/>
        <v>15</v>
      </c>
      <c r="E163" s="152" t="str">
        <f t="shared" si="5"/>
        <v>September</v>
      </c>
      <c r="F163" s="146" t="s">
        <v>417</v>
      </c>
      <c r="G163" s="154">
        <v>525507320</v>
      </c>
      <c r="H163" s="146" t="s">
        <v>256</v>
      </c>
      <c r="I163" s="52" t="s">
        <v>276</v>
      </c>
      <c r="J163" s="156" t="s">
        <v>280</v>
      </c>
      <c r="K163" s="53">
        <v>47616</v>
      </c>
      <c r="L163" s="151">
        <v>5</v>
      </c>
    </row>
    <row r="164" spans="1:12">
      <c r="A164" s="146" t="s">
        <v>997</v>
      </c>
      <c r="B164" s="155">
        <v>2527102355</v>
      </c>
      <c r="C164" s="153">
        <v>36333</v>
      </c>
      <c r="D164" s="51">
        <f t="shared" ca="1" si="4"/>
        <v>17</v>
      </c>
      <c r="E164" s="152" t="str">
        <f t="shared" si="5"/>
        <v>June</v>
      </c>
      <c r="F164" s="146" t="s">
        <v>417</v>
      </c>
      <c r="G164" s="154">
        <v>571821715</v>
      </c>
      <c r="H164" s="146" t="s">
        <v>256</v>
      </c>
      <c r="I164" s="52" t="s">
        <v>283</v>
      </c>
      <c r="J164" s="156" t="s">
        <v>271</v>
      </c>
      <c r="K164" s="53">
        <v>68244</v>
      </c>
      <c r="L164" s="151">
        <v>1</v>
      </c>
    </row>
    <row r="165" spans="1:12">
      <c r="A165" s="146" t="s">
        <v>349</v>
      </c>
      <c r="B165" s="155">
        <v>2521614846</v>
      </c>
      <c r="C165" s="153">
        <v>35483</v>
      </c>
      <c r="D165" s="51">
        <f t="shared" ca="1" si="4"/>
        <v>19</v>
      </c>
      <c r="E165" s="152" t="str">
        <f t="shared" si="5"/>
        <v>February</v>
      </c>
      <c r="F165" s="146" t="s">
        <v>417</v>
      </c>
      <c r="G165" s="154">
        <v>116869057</v>
      </c>
      <c r="H165" s="146" t="s">
        <v>261</v>
      </c>
      <c r="I165" s="52" t="s">
        <v>267</v>
      </c>
      <c r="J165" s="156" t="s">
        <v>285</v>
      </c>
      <c r="K165" s="53">
        <v>18006</v>
      </c>
      <c r="L165" s="151">
        <v>4</v>
      </c>
    </row>
    <row r="166" spans="1:12">
      <c r="A166" s="146" t="s">
        <v>828</v>
      </c>
      <c r="B166" s="155">
        <v>2522969056</v>
      </c>
      <c r="C166" s="153">
        <v>34677</v>
      </c>
      <c r="D166" s="51">
        <f t="shared" ca="1" si="4"/>
        <v>21</v>
      </c>
      <c r="E166" s="152" t="str">
        <f t="shared" si="5"/>
        <v>December</v>
      </c>
      <c r="F166" s="146" t="s">
        <v>417</v>
      </c>
      <c r="G166" s="154">
        <v>249760737</v>
      </c>
      <c r="H166" s="146" t="s">
        <v>247</v>
      </c>
      <c r="I166" s="52"/>
      <c r="J166" s="156" t="s">
        <v>271</v>
      </c>
      <c r="K166" s="53">
        <v>97284</v>
      </c>
      <c r="L166" s="151">
        <v>5</v>
      </c>
    </row>
    <row r="167" spans="1:12">
      <c r="A167" s="146" t="s">
        <v>661</v>
      </c>
      <c r="B167" s="155">
        <v>9197288082</v>
      </c>
      <c r="C167" s="153">
        <v>40964</v>
      </c>
      <c r="D167" s="51">
        <f t="shared" ca="1" si="4"/>
        <v>4</v>
      </c>
      <c r="E167" s="152" t="str">
        <f t="shared" si="5"/>
        <v>February</v>
      </c>
      <c r="F167" s="146" t="s">
        <v>417</v>
      </c>
      <c r="G167" s="154">
        <v>232896341</v>
      </c>
      <c r="H167" s="146" t="s">
        <v>247</v>
      </c>
      <c r="I167" s="52"/>
      <c r="J167" s="156" t="s">
        <v>271</v>
      </c>
      <c r="K167" s="53">
        <v>54996</v>
      </c>
      <c r="L167" s="151">
        <v>4</v>
      </c>
    </row>
    <row r="168" spans="1:12">
      <c r="A168" s="146" t="s">
        <v>583</v>
      </c>
      <c r="B168" s="155">
        <v>9191534053</v>
      </c>
      <c r="C168" s="153">
        <v>34600</v>
      </c>
      <c r="D168" s="51">
        <f t="shared" ca="1" si="4"/>
        <v>22</v>
      </c>
      <c r="E168" s="152" t="str">
        <f t="shared" si="5"/>
        <v>September</v>
      </c>
      <c r="F168" s="146" t="s">
        <v>417</v>
      </c>
      <c r="G168" s="154">
        <v>291841866</v>
      </c>
      <c r="H168" s="146" t="s">
        <v>256</v>
      </c>
      <c r="I168" s="52" t="s">
        <v>257</v>
      </c>
      <c r="J168" s="156" t="s">
        <v>280</v>
      </c>
      <c r="K168" s="53">
        <v>77412</v>
      </c>
      <c r="L168" s="151">
        <v>3</v>
      </c>
    </row>
    <row r="169" spans="1:12">
      <c r="A169" s="146" t="s">
        <v>831</v>
      </c>
      <c r="B169" s="155">
        <v>2526053287</v>
      </c>
      <c r="C169" s="153">
        <v>34152</v>
      </c>
      <c r="D169" s="51">
        <f t="shared" ca="1" si="4"/>
        <v>23</v>
      </c>
      <c r="E169" s="152" t="str">
        <f t="shared" si="5"/>
        <v>July</v>
      </c>
      <c r="F169" s="146" t="s">
        <v>417</v>
      </c>
      <c r="G169" s="154">
        <v>927043360</v>
      </c>
      <c r="H169" s="146" t="s">
        <v>247</v>
      </c>
      <c r="I169" s="52"/>
      <c r="J169" s="156" t="s">
        <v>285</v>
      </c>
      <c r="K169" s="53">
        <v>26784</v>
      </c>
      <c r="L169" s="151">
        <v>2</v>
      </c>
    </row>
    <row r="170" spans="1:12">
      <c r="A170" s="146" t="s">
        <v>668</v>
      </c>
      <c r="B170" s="155">
        <v>2527051004</v>
      </c>
      <c r="C170" s="153">
        <v>40782</v>
      </c>
      <c r="D170" s="51">
        <f t="shared" ca="1" si="4"/>
        <v>5</v>
      </c>
      <c r="E170" s="152" t="str">
        <f t="shared" si="5"/>
        <v>August</v>
      </c>
      <c r="F170" s="146" t="s">
        <v>417</v>
      </c>
      <c r="G170" s="154">
        <v>281005046</v>
      </c>
      <c r="H170" s="146" t="s">
        <v>247</v>
      </c>
      <c r="I170" s="52"/>
      <c r="J170" s="156" t="s">
        <v>251</v>
      </c>
      <c r="K170" s="53">
        <v>68304</v>
      </c>
      <c r="L170" s="151">
        <v>4</v>
      </c>
    </row>
    <row r="171" spans="1:12">
      <c r="A171" s="146" t="s">
        <v>840</v>
      </c>
      <c r="B171" s="155">
        <v>9197226463</v>
      </c>
      <c r="C171" s="153">
        <v>36810</v>
      </c>
      <c r="D171" s="51">
        <f t="shared" ca="1" si="4"/>
        <v>16</v>
      </c>
      <c r="E171" s="152" t="str">
        <f t="shared" si="5"/>
        <v>October</v>
      </c>
      <c r="F171" s="146" t="s">
        <v>417</v>
      </c>
      <c r="G171" s="154">
        <v>212136062</v>
      </c>
      <c r="H171" s="146" t="s">
        <v>256</v>
      </c>
      <c r="I171" s="52" t="s">
        <v>283</v>
      </c>
      <c r="J171" s="156" t="s">
        <v>251</v>
      </c>
      <c r="K171" s="53">
        <v>98880</v>
      </c>
      <c r="L171" s="151">
        <v>2</v>
      </c>
    </row>
    <row r="172" spans="1:12">
      <c r="A172" s="146" t="s">
        <v>602</v>
      </c>
      <c r="B172" s="155">
        <v>9196514650</v>
      </c>
      <c r="C172" s="153">
        <v>34941</v>
      </c>
      <c r="D172" s="51">
        <f t="shared" ca="1" si="4"/>
        <v>21</v>
      </c>
      <c r="E172" s="152" t="str">
        <f t="shared" si="5"/>
        <v>August</v>
      </c>
      <c r="F172" s="146" t="s">
        <v>417</v>
      </c>
      <c r="G172" s="154">
        <v>603301910</v>
      </c>
      <c r="H172" s="146" t="s">
        <v>256</v>
      </c>
      <c r="I172" s="52" t="s">
        <v>257</v>
      </c>
      <c r="J172" s="156" t="s">
        <v>271</v>
      </c>
      <c r="K172" s="53">
        <v>87480</v>
      </c>
      <c r="L172" s="151">
        <v>3</v>
      </c>
    </row>
    <row r="173" spans="1:12">
      <c r="A173" s="146" t="s">
        <v>363</v>
      </c>
      <c r="B173" s="155">
        <v>9194323329</v>
      </c>
      <c r="C173" s="153">
        <v>33807</v>
      </c>
      <c r="D173" s="51">
        <f t="shared" ca="1" si="4"/>
        <v>24</v>
      </c>
      <c r="E173" s="152" t="str">
        <f t="shared" si="5"/>
        <v>July</v>
      </c>
      <c r="F173" s="146" t="s">
        <v>417</v>
      </c>
      <c r="G173" s="154">
        <v>171868795</v>
      </c>
      <c r="H173" s="146" t="s">
        <v>256</v>
      </c>
      <c r="I173" s="52" t="s">
        <v>276</v>
      </c>
      <c r="J173" s="156" t="s">
        <v>280</v>
      </c>
      <c r="K173" s="53">
        <v>38832</v>
      </c>
      <c r="L173" s="151">
        <v>4</v>
      </c>
    </row>
    <row r="174" spans="1:12">
      <c r="A174" s="146" t="s">
        <v>923</v>
      </c>
      <c r="B174" s="155">
        <v>9195394899</v>
      </c>
      <c r="C174" s="153">
        <v>34814</v>
      </c>
      <c r="D174" s="51">
        <f t="shared" ca="1" si="4"/>
        <v>21</v>
      </c>
      <c r="E174" s="152" t="str">
        <f t="shared" si="5"/>
        <v>April</v>
      </c>
      <c r="F174" s="146" t="s">
        <v>417</v>
      </c>
      <c r="G174" s="154">
        <v>302598687</v>
      </c>
      <c r="H174" s="146" t="s">
        <v>256</v>
      </c>
      <c r="I174" s="52" t="s">
        <v>257</v>
      </c>
      <c r="J174" s="156" t="s">
        <v>285</v>
      </c>
      <c r="K174" s="53">
        <v>38208</v>
      </c>
      <c r="L174" s="151">
        <v>1</v>
      </c>
    </row>
    <row r="175" spans="1:12">
      <c r="A175" s="157" t="s">
        <v>265</v>
      </c>
      <c r="B175" s="155">
        <v>9191264786</v>
      </c>
      <c r="C175" s="153">
        <v>35499</v>
      </c>
      <c r="D175" s="51">
        <f t="shared" ca="1" si="4"/>
        <v>19</v>
      </c>
      <c r="E175" s="152" t="str">
        <f t="shared" si="5"/>
        <v>March</v>
      </c>
      <c r="F175" s="146" t="s">
        <v>417</v>
      </c>
      <c r="G175" s="154">
        <v>622274162</v>
      </c>
      <c r="H175" s="146" t="s">
        <v>247</v>
      </c>
      <c r="I175" s="52"/>
      <c r="J175" s="156" t="s">
        <v>271</v>
      </c>
      <c r="K175" s="53">
        <v>31632</v>
      </c>
      <c r="L175" s="151">
        <v>4</v>
      </c>
    </row>
    <row r="176" spans="1:12">
      <c r="A176" s="146" t="s">
        <v>860</v>
      </c>
      <c r="B176" s="155">
        <v>9191351512</v>
      </c>
      <c r="C176" s="153">
        <v>37771</v>
      </c>
      <c r="D176" s="51">
        <f t="shared" ca="1" si="4"/>
        <v>13</v>
      </c>
      <c r="E176" s="152" t="str">
        <f t="shared" si="5"/>
        <v>May</v>
      </c>
      <c r="F176" s="146" t="s">
        <v>456</v>
      </c>
      <c r="G176" s="154">
        <v>477110649</v>
      </c>
      <c r="H176" s="146" t="s">
        <v>256</v>
      </c>
      <c r="I176" s="52" t="s">
        <v>262</v>
      </c>
      <c r="J176" s="156" t="s">
        <v>280</v>
      </c>
      <c r="K176" s="53">
        <v>54180</v>
      </c>
      <c r="L176" s="151">
        <v>1</v>
      </c>
    </row>
    <row r="177" spans="1:12">
      <c r="A177" s="146" t="s">
        <v>495</v>
      </c>
      <c r="B177" s="155">
        <v>9196632360</v>
      </c>
      <c r="C177" s="153">
        <v>34113</v>
      </c>
      <c r="D177" s="51">
        <f t="shared" ca="1" si="4"/>
        <v>23</v>
      </c>
      <c r="E177" s="152" t="str">
        <f t="shared" si="5"/>
        <v>May</v>
      </c>
      <c r="F177" s="146" t="s">
        <v>456</v>
      </c>
      <c r="G177" s="154">
        <v>861884260</v>
      </c>
      <c r="H177" s="146" t="s">
        <v>256</v>
      </c>
      <c r="I177" s="52" t="s">
        <v>257</v>
      </c>
      <c r="J177" s="156" t="s">
        <v>271</v>
      </c>
      <c r="K177" s="53">
        <v>106968</v>
      </c>
      <c r="L177" s="151">
        <v>1</v>
      </c>
    </row>
    <row r="178" spans="1:12">
      <c r="A178" s="146" t="s">
        <v>412</v>
      </c>
      <c r="B178" s="155">
        <v>9197173558</v>
      </c>
      <c r="C178" s="153">
        <v>40991</v>
      </c>
      <c r="D178" s="51">
        <f t="shared" ca="1" si="4"/>
        <v>4</v>
      </c>
      <c r="E178" s="152" t="str">
        <f t="shared" si="5"/>
        <v>March</v>
      </c>
      <c r="F178" s="146" t="s">
        <v>456</v>
      </c>
      <c r="G178" s="154">
        <v>117896630</v>
      </c>
      <c r="H178" s="146" t="s">
        <v>247</v>
      </c>
      <c r="I178" s="52" t="s">
        <v>267</v>
      </c>
      <c r="J178" s="156" t="s">
        <v>251</v>
      </c>
      <c r="K178" s="53">
        <v>85428</v>
      </c>
      <c r="L178" s="151">
        <v>4</v>
      </c>
    </row>
    <row r="179" spans="1:12">
      <c r="A179" s="146" t="s">
        <v>511</v>
      </c>
      <c r="B179" s="155">
        <v>2525610944</v>
      </c>
      <c r="C179" s="153">
        <v>37247</v>
      </c>
      <c r="D179" s="51">
        <f t="shared" ca="1" si="4"/>
        <v>14</v>
      </c>
      <c r="E179" s="152" t="str">
        <f t="shared" si="5"/>
        <v>December</v>
      </c>
      <c r="F179" s="146" t="s">
        <v>456</v>
      </c>
      <c r="G179" s="154">
        <v>351268538</v>
      </c>
      <c r="H179" s="146" t="s">
        <v>252</v>
      </c>
      <c r="I179" s="52" t="s">
        <v>283</v>
      </c>
      <c r="J179" s="156" t="s">
        <v>271</v>
      </c>
      <c r="K179" s="53">
        <v>74232</v>
      </c>
      <c r="L179" s="151">
        <v>5</v>
      </c>
    </row>
    <row r="180" spans="1:12">
      <c r="A180" s="146" t="s">
        <v>532</v>
      </c>
      <c r="B180" s="155">
        <v>2527577867</v>
      </c>
      <c r="C180" s="153">
        <v>35129</v>
      </c>
      <c r="D180" s="51">
        <f t="shared" ca="1" si="4"/>
        <v>20</v>
      </c>
      <c r="E180" s="152" t="str">
        <f t="shared" si="5"/>
        <v>March</v>
      </c>
      <c r="F180" s="146" t="s">
        <v>456</v>
      </c>
      <c r="G180" s="154">
        <v>244171882</v>
      </c>
      <c r="H180" s="146" t="s">
        <v>261</v>
      </c>
      <c r="I180" s="52" t="s">
        <v>267</v>
      </c>
      <c r="J180" s="156" t="s">
        <v>271</v>
      </c>
      <c r="K180" s="53">
        <v>107736</v>
      </c>
      <c r="L180" s="151">
        <v>4</v>
      </c>
    </row>
    <row r="181" spans="1:12">
      <c r="A181" s="146" t="s">
        <v>821</v>
      </c>
      <c r="B181" s="155">
        <v>9191715499</v>
      </c>
      <c r="C181" s="153">
        <v>38233</v>
      </c>
      <c r="D181" s="51">
        <f t="shared" ca="1" si="4"/>
        <v>12</v>
      </c>
      <c r="E181" s="152" t="str">
        <f t="shared" si="5"/>
        <v>September</v>
      </c>
      <c r="F181" s="146" t="s">
        <v>456</v>
      </c>
      <c r="G181" s="154">
        <v>875920441</v>
      </c>
      <c r="H181" s="146" t="s">
        <v>261</v>
      </c>
      <c r="I181" s="52" t="s">
        <v>276</v>
      </c>
      <c r="J181" s="156" t="s">
        <v>285</v>
      </c>
      <c r="K181" s="53">
        <v>62160</v>
      </c>
      <c r="L181" s="151">
        <v>1</v>
      </c>
    </row>
    <row r="182" spans="1:12">
      <c r="A182" s="146" t="s">
        <v>671</v>
      </c>
      <c r="B182" s="155">
        <v>2526739978</v>
      </c>
      <c r="C182" s="153">
        <v>38674</v>
      </c>
      <c r="D182" s="51">
        <f t="shared" ca="1" si="4"/>
        <v>10</v>
      </c>
      <c r="E182" s="152" t="str">
        <f t="shared" si="5"/>
        <v>November</v>
      </c>
      <c r="F182" s="146" t="s">
        <v>456</v>
      </c>
      <c r="G182" s="154">
        <v>771953685</v>
      </c>
      <c r="H182" s="146" t="s">
        <v>252</v>
      </c>
      <c r="I182" s="52" t="s">
        <v>257</v>
      </c>
      <c r="J182" s="156" t="s">
        <v>285</v>
      </c>
      <c r="K182" s="53">
        <v>102156</v>
      </c>
      <c r="L182" s="151">
        <v>5</v>
      </c>
    </row>
    <row r="183" spans="1:12">
      <c r="A183" s="146" t="s">
        <v>698</v>
      </c>
      <c r="B183" s="155">
        <v>9196681578</v>
      </c>
      <c r="C183" s="153">
        <v>37401</v>
      </c>
      <c r="D183" s="51">
        <f t="shared" ca="1" si="4"/>
        <v>14</v>
      </c>
      <c r="E183" s="152" t="str">
        <f t="shared" si="5"/>
        <v>May</v>
      </c>
      <c r="F183" s="146" t="s">
        <v>456</v>
      </c>
      <c r="G183" s="154">
        <v>746497232</v>
      </c>
      <c r="H183" s="146" t="s">
        <v>247</v>
      </c>
      <c r="I183" s="52" t="s">
        <v>283</v>
      </c>
      <c r="J183" s="156" t="s">
        <v>280</v>
      </c>
      <c r="K183" s="53">
        <v>83292</v>
      </c>
      <c r="L183" s="151">
        <v>4</v>
      </c>
    </row>
    <row r="184" spans="1:12">
      <c r="A184" s="146" t="s">
        <v>857</v>
      </c>
      <c r="B184" s="155">
        <v>9195627374</v>
      </c>
      <c r="C184" s="153">
        <v>40475</v>
      </c>
      <c r="D184" s="51">
        <f t="shared" ca="1" si="4"/>
        <v>6</v>
      </c>
      <c r="E184" s="152" t="str">
        <f t="shared" si="5"/>
        <v>October</v>
      </c>
      <c r="F184" s="146" t="s">
        <v>465</v>
      </c>
      <c r="G184" s="154">
        <v>484217278</v>
      </c>
      <c r="H184" s="146" t="s">
        <v>252</v>
      </c>
      <c r="I184" s="52"/>
      <c r="J184" s="156" t="s">
        <v>266</v>
      </c>
      <c r="K184" s="53">
        <v>12686</v>
      </c>
      <c r="L184" s="151">
        <v>4</v>
      </c>
    </row>
    <row r="185" spans="1:12">
      <c r="A185" s="146" t="s">
        <v>929</v>
      </c>
      <c r="B185" s="155">
        <v>2526228199</v>
      </c>
      <c r="C185" s="153">
        <v>38627</v>
      </c>
      <c r="D185" s="51">
        <f t="shared" ca="1" si="4"/>
        <v>11</v>
      </c>
      <c r="E185" s="152" t="str">
        <f t="shared" si="5"/>
        <v>October</v>
      </c>
      <c r="F185" s="146" t="s">
        <v>465</v>
      </c>
      <c r="G185" s="154">
        <v>378189642</v>
      </c>
      <c r="H185" s="146" t="s">
        <v>247</v>
      </c>
      <c r="I185" s="52"/>
      <c r="J185" s="156" t="s">
        <v>266</v>
      </c>
      <c r="K185" s="53">
        <v>77064</v>
      </c>
      <c r="L185" s="151">
        <v>5</v>
      </c>
    </row>
    <row r="186" spans="1:12">
      <c r="A186" s="146" t="s">
        <v>772</v>
      </c>
      <c r="B186" s="155">
        <v>9197950668</v>
      </c>
      <c r="C186" s="153">
        <v>37457</v>
      </c>
      <c r="D186" s="51">
        <f t="shared" ca="1" si="4"/>
        <v>14</v>
      </c>
      <c r="E186" s="152" t="str">
        <f t="shared" si="5"/>
        <v>July</v>
      </c>
      <c r="F186" s="146" t="s">
        <v>465</v>
      </c>
      <c r="G186" s="154">
        <v>251824309</v>
      </c>
      <c r="H186" s="146" t="s">
        <v>247</v>
      </c>
      <c r="I186" s="52"/>
      <c r="J186" s="156" t="s">
        <v>285</v>
      </c>
      <c r="K186" s="53">
        <v>54504</v>
      </c>
      <c r="L186" s="151">
        <v>1</v>
      </c>
    </row>
    <row r="187" spans="1:12">
      <c r="A187" s="146" t="s">
        <v>862</v>
      </c>
      <c r="B187" s="155">
        <v>9197362525</v>
      </c>
      <c r="C187" s="153">
        <v>41331</v>
      </c>
      <c r="D187" s="51">
        <f t="shared" ca="1" si="4"/>
        <v>3</v>
      </c>
      <c r="E187" s="152" t="str">
        <f t="shared" si="5"/>
        <v>February</v>
      </c>
      <c r="F187" s="146" t="s">
        <v>465</v>
      </c>
      <c r="G187" s="154">
        <v>377194926</v>
      </c>
      <c r="H187" s="146" t="s">
        <v>256</v>
      </c>
      <c r="I187" s="52" t="s">
        <v>267</v>
      </c>
      <c r="J187" s="156" t="s">
        <v>285</v>
      </c>
      <c r="K187" s="53">
        <v>53112</v>
      </c>
      <c r="L187" s="151">
        <v>1</v>
      </c>
    </row>
    <row r="188" spans="1:12">
      <c r="A188" s="146" t="s">
        <v>410</v>
      </c>
      <c r="B188" s="155">
        <v>9192212512</v>
      </c>
      <c r="C188" s="153">
        <v>35916</v>
      </c>
      <c r="D188" s="51">
        <f t="shared" ca="1" si="4"/>
        <v>18</v>
      </c>
      <c r="E188" s="152" t="str">
        <f t="shared" si="5"/>
        <v>May</v>
      </c>
      <c r="F188" s="146" t="s">
        <v>465</v>
      </c>
      <c r="G188" s="154">
        <v>147724014</v>
      </c>
      <c r="H188" s="146" t="s">
        <v>256</v>
      </c>
      <c r="I188" s="52" t="s">
        <v>283</v>
      </c>
      <c r="J188" s="156" t="s">
        <v>271</v>
      </c>
      <c r="K188" s="53">
        <v>53124</v>
      </c>
      <c r="L188" s="151">
        <v>2</v>
      </c>
    </row>
    <row r="189" spans="1:12">
      <c r="A189" s="146" t="s">
        <v>749</v>
      </c>
      <c r="B189" s="155">
        <v>2521810581</v>
      </c>
      <c r="C189" s="153">
        <v>36795</v>
      </c>
      <c r="D189" s="51">
        <f t="shared" ca="1" si="4"/>
        <v>16</v>
      </c>
      <c r="E189" s="152" t="str">
        <f t="shared" si="5"/>
        <v>September</v>
      </c>
      <c r="F189" s="146" t="s">
        <v>465</v>
      </c>
      <c r="G189" s="154">
        <v>993383806</v>
      </c>
      <c r="H189" s="146" t="s">
        <v>252</v>
      </c>
      <c r="I189" s="52"/>
      <c r="J189" s="156" t="s">
        <v>280</v>
      </c>
      <c r="K189" s="53">
        <v>45134</v>
      </c>
      <c r="L189" s="151">
        <v>4</v>
      </c>
    </row>
    <row r="190" spans="1:12">
      <c r="A190" s="146" t="s">
        <v>751</v>
      </c>
      <c r="B190" s="155">
        <v>9197848542</v>
      </c>
      <c r="C190" s="153">
        <v>36737</v>
      </c>
      <c r="D190" s="51">
        <f t="shared" ca="1" si="4"/>
        <v>16</v>
      </c>
      <c r="E190" s="152" t="str">
        <f t="shared" si="5"/>
        <v>July</v>
      </c>
      <c r="F190" s="146" t="s">
        <v>465</v>
      </c>
      <c r="G190" s="154">
        <v>470719383</v>
      </c>
      <c r="H190" s="146" t="s">
        <v>256</v>
      </c>
      <c r="I190" s="52" t="s">
        <v>257</v>
      </c>
      <c r="J190" s="156" t="s">
        <v>271</v>
      </c>
      <c r="K190" s="53">
        <v>90144</v>
      </c>
      <c r="L190" s="151">
        <v>5</v>
      </c>
    </row>
    <row r="191" spans="1:12">
      <c r="A191" s="146" t="s">
        <v>709</v>
      </c>
      <c r="B191" s="155">
        <v>9194018412</v>
      </c>
      <c r="C191" s="153">
        <v>35927</v>
      </c>
      <c r="D191" s="51">
        <f t="shared" ca="1" si="4"/>
        <v>18</v>
      </c>
      <c r="E191" s="152" t="str">
        <f t="shared" si="5"/>
        <v>May</v>
      </c>
      <c r="F191" s="146" t="s">
        <v>465</v>
      </c>
      <c r="G191" s="154">
        <v>243062914</v>
      </c>
      <c r="H191" s="146" t="s">
        <v>256</v>
      </c>
      <c r="I191" s="52" t="s">
        <v>257</v>
      </c>
      <c r="J191" s="156" t="s">
        <v>285</v>
      </c>
      <c r="K191" s="53">
        <v>88140</v>
      </c>
      <c r="L191" s="151">
        <v>3</v>
      </c>
    </row>
    <row r="192" spans="1:12">
      <c r="A192" s="146" t="s">
        <v>710</v>
      </c>
      <c r="B192" s="155">
        <v>9192712826</v>
      </c>
      <c r="C192" s="153">
        <v>36317</v>
      </c>
      <c r="D192" s="51">
        <f t="shared" ca="1" si="4"/>
        <v>17</v>
      </c>
      <c r="E192" s="152" t="str">
        <f t="shared" si="5"/>
        <v>June</v>
      </c>
      <c r="F192" s="146" t="s">
        <v>465</v>
      </c>
      <c r="G192" s="154">
        <v>853268713</v>
      </c>
      <c r="H192" s="146" t="s">
        <v>256</v>
      </c>
      <c r="I192" s="52" t="s">
        <v>257</v>
      </c>
      <c r="J192" s="156" t="s">
        <v>271</v>
      </c>
      <c r="K192" s="53">
        <v>72336</v>
      </c>
      <c r="L192" s="151">
        <v>1</v>
      </c>
    </row>
    <row r="193" spans="1:12">
      <c r="A193" s="146" t="s">
        <v>628</v>
      </c>
      <c r="B193" s="155">
        <v>2524919418</v>
      </c>
      <c r="C193" s="153">
        <v>36107</v>
      </c>
      <c r="D193" s="51">
        <f t="shared" ca="1" si="4"/>
        <v>18</v>
      </c>
      <c r="E193" s="152" t="str">
        <f t="shared" si="5"/>
        <v>November</v>
      </c>
      <c r="F193" s="146" t="s">
        <v>465</v>
      </c>
      <c r="G193" s="154">
        <v>687006783</v>
      </c>
      <c r="H193" s="146" t="s">
        <v>247</v>
      </c>
      <c r="I193" s="52"/>
      <c r="J193" s="156" t="s">
        <v>271</v>
      </c>
      <c r="K193" s="53">
        <v>79212</v>
      </c>
      <c r="L193" s="151">
        <v>2</v>
      </c>
    </row>
    <row r="194" spans="1:12">
      <c r="A194" s="146" t="s">
        <v>313</v>
      </c>
      <c r="B194" s="155">
        <v>9193164024</v>
      </c>
      <c r="C194" s="153">
        <v>35311</v>
      </c>
      <c r="D194" s="51">
        <f t="shared" ref="D194:D257" ca="1" si="6">DATEDIF(C194,TODAY(),"Y")</f>
        <v>20</v>
      </c>
      <c r="E194" s="152" t="str">
        <f t="shared" ref="E194:E257" si="7">CHOOSE(MONTH(C194),"January","February","March","April","May","June","July","August","September","October","November","December")</f>
        <v>September</v>
      </c>
      <c r="F194" s="146" t="s">
        <v>465</v>
      </c>
      <c r="G194" s="154">
        <v>783624212</v>
      </c>
      <c r="H194" s="146" t="s">
        <v>261</v>
      </c>
      <c r="I194" s="52" t="s">
        <v>262</v>
      </c>
      <c r="J194" s="156" t="s">
        <v>251</v>
      </c>
      <c r="K194" s="53">
        <v>18312</v>
      </c>
      <c r="L194" s="151">
        <v>2</v>
      </c>
    </row>
    <row r="195" spans="1:12">
      <c r="A195" s="146" t="s">
        <v>775</v>
      </c>
      <c r="B195" s="155">
        <v>9193883356</v>
      </c>
      <c r="C195" s="153">
        <v>36257</v>
      </c>
      <c r="D195" s="51">
        <f t="shared" ca="1" si="6"/>
        <v>17</v>
      </c>
      <c r="E195" s="152" t="str">
        <f t="shared" si="7"/>
        <v>April</v>
      </c>
      <c r="F195" s="146" t="s">
        <v>465</v>
      </c>
      <c r="G195" s="154">
        <v>350104448</v>
      </c>
      <c r="H195" s="146" t="s">
        <v>256</v>
      </c>
      <c r="I195" s="52" t="s">
        <v>267</v>
      </c>
      <c r="J195" s="156" t="s">
        <v>280</v>
      </c>
      <c r="K195" s="53">
        <v>53904</v>
      </c>
      <c r="L195" s="151">
        <v>1</v>
      </c>
    </row>
    <row r="196" spans="1:12">
      <c r="A196" s="146" t="s">
        <v>680</v>
      </c>
      <c r="B196" s="155">
        <v>2526505454</v>
      </c>
      <c r="C196" s="153">
        <v>38054</v>
      </c>
      <c r="D196" s="51">
        <f t="shared" ca="1" si="6"/>
        <v>12</v>
      </c>
      <c r="E196" s="152" t="str">
        <f t="shared" si="7"/>
        <v>March</v>
      </c>
      <c r="F196" s="146" t="s">
        <v>465</v>
      </c>
      <c r="G196" s="154">
        <v>311883362</v>
      </c>
      <c r="H196" s="146" t="s">
        <v>247</v>
      </c>
      <c r="I196" s="52"/>
      <c r="J196" s="156" t="s">
        <v>251</v>
      </c>
      <c r="K196" s="53">
        <v>63324</v>
      </c>
      <c r="L196" s="151">
        <v>2</v>
      </c>
    </row>
    <row r="197" spans="1:12">
      <c r="A197" s="146" t="s">
        <v>478</v>
      </c>
      <c r="B197" s="155">
        <v>9193557946</v>
      </c>
      <c r="C197" s="153">
        <v>36655</v>
      </c>
      <c r="D197" s="51">
        <f t="shared" ca="1" si="6"/>
        <v>16</v>
      </c>
      <c r="E197" s="152" t="str">
        <f t="shared" si="7"/>
        <v>May</v>
      </c>
      <c r="F197" s="146" t="s">
        <v>465</v>
      </c>
      <c r="G197" s="154">
        <v>317844971</v>
      </c>
      <c r="H197" s="146" t="s">
        <v>247</v>
      </c>
      <c r="I197" s="52"/>
      <c r="J197" s="156" t="s">
        <v>251</v>
      </c>
      <c r="K197" s="53">
        <v>92292</v>
      </c>
      <c r="L197" s="151">
        <v>1</v>
      </c>
    </row>
    <row r="198" spans="1:12">
      <c r="A198" s="146" t="s">
        <v>481</v>
      </c>
      <c r="B198" s="155">
        <v>2523922629</v>
      </c>
      <c r="C198" s="153">
        <v>36077</v>
      </c>
      <c r="D198" s="51">
        <f t="shared" ca="1" si="6"/>
        <v>18</v>
      </c>
      <c r="E198" s="152" t="str">
        <f t="shared" si="7"/>
        <v>October</v>
      </c>
      <c r="F198" s="146" t="s">
        <v>465</v>
      </c>
      <c r="G198" s="154">
        <v>592631929</v>
      </c>
      <c r="H198" s="146" t="s">
        <v>247</v>
      </c>
      <c r="I198" s="52"/>
      <c r="J198" s="156" t="s">
        <v>271</v>
      </c>
      <c r="K198" s="53">
        <v>63528</v>
      </c>
      <c r="L198" s="151">
        <v>4</v>
      </c>
    </row>
    <row r="199" spans="1:12">
      <c r="A199" s="146" t="s">
        <v>482</v>
      </c>
      <c r="B199" s="155">
        <v>9197775023</v>
      </c>
      <c r="C199" s="153">
        <v>37365</v>
      </c>
      <c r="D199" s="51">
        <f t="shared" ca="1" si="6"/>
        <v>14</v>
      </c>
      <c r="E199" s="152" t="str">
        <f t="shared" si="7"/>
        <v>April</v>
      </c>
      <c r="F199" s="146" t="s">
        <v>465</v>
      </c>
      <c r="G199" s="154">
        <v>257249459</v>
      </c>
      <c r="H199" s="146" t="s">
        <v>247</v>
      </c>
      <c r="I199" s="52"/>
      <c r="J199" s="156" t="s">
        <v>271</v>
      </c>
      <c r="K199" s="53">
        <v>69120</v>
      </c>
      <c r="L199" s="151">
        <v>3</v>
      </c>
    </row>
    <row r="200" spans="1:12">
      <c r="A200" s="146" t="s">
        <v>483</v>
      </c>
      <c r="B200" s="155">
        <v>2524252315</v>
      </c>
      <c r="C200" s="153">
        <v>36529</v>
      </c>
      <c r="D200" s="51">
        <f t="shared" ca="1" si="6"/>
        <v>16</v>
      </c>
      <c r="E200" s="152" t="str">
        <f t="shared" si="7"/>
        <v>January</v>
      </c>
      <c r="F200" s="146" t="s">
        <v>465</v>
      </c>
      <c r="G200" s="154">
        <v>338977629</v>
      </c>
      <c r="H200" s="146" t="s">
        <v>256</v>
      </c>
      <c r="I200" s="52" t="s">
        <v>257</v>
      </c>
      <c r="J200" s="156" t="s">
        <v>251</v>
      </c>
      <c r="K200" s="53">
        <v>94284</v>
      </c>
      <c r="L200" s="151">
        <v>1</v>
      </c>
    </row>
    <row r="201" spans="1:12">
      <c r="A201" s="146" t="s">
        <v>681</v>
      </c>
      <c r="B201" s="155">
        <v>2521257896</v>
      </c>
      <c r="C201" s="153">
        <v>38122</v>
      </c>
      <c r="D201" s="51">
        <f t="shared" ca="1" si="6"/>
        <v>12</v>
      </c>
      <c r="E201" s="152" t="str">
        <f t="shared" si="7"/>
        <v>May</v>
      </c>
      <c r="F201" s="146" t="s">
        <v>465</v>
      </c>
      <c r="G201" s="154">
        <v>337943008</v>
      </c>
      <c r="H201" s="146" t="s">
        <v>256</v>
      </c>
      <c r="I201" s="52" t="s">
        <v>257</v>
      </c>
      <c r="J201" s="156" t="s">
        <v>285</v>
      </c>
      <c r="K201" s="53">
        <v>34764</v>
      </c>
      <c r="L201" s="151">
        <v>3</v>
      </c>
    </row>
    <row r="202" spans="1:12">
      <c r="A202" s="146" t="s">
        <v>315</v>
      </c>
      <c r="B202" s="155">
        <v>9193547588</v>
      </c>
      <c r="C202" s="153">
        <v>40040</v>
      </c>
      <c r="D202" s="51">
        <f t="shared" ca="1" si="6"/>
        <v>7</v>
      </c>
      <c r="E202" s="152" t="str">
        <f t="shared" si="7"/>
        <v>August</v>
      </c>
      <c r="F202" s="146" t="s">
        <v>465</v>
      </c>
      <c r="G202" s="154">
        <v>858800513</v>
      </c>
      <c r="H202" s="146" t="s">
        <v>256</v>
      </c>
      <c r="I202" s="52" t="s">
        <v>262</v>
      </c>
      <c r="J202" s="156" t="s">
        <v>266</v>
      </c>
      <c r="K202" s="53">
        <v>85236</v>
      </c>
      <c r="L202" s="151">
        <v>3</v>
      </c>
    </row>
    <row r="203" spans="1:12">
      <c r="A203" s="146" t="s">
        <v>633</v>
      </c>
      <c r="B203" s="155">
        <v>2527358099</v>
      </c>
      <c r="C203" s="153">
        <v>41177</v>
      </c>
      <c r="D203" s="51">
        <f t="shared" ca="1" si="6"/>
        <v>4</v>
      </c>
      <c r="E203" s="152" t="str">
        <f t="shared" si="7"/>
        <v>September</v>
      </c>
      <c r="F203" s="146" t="s">
        <v>465</v>
      </c>
      <c r="G203" s="154">
        <v>876777922</v>
      </c>
      <c r="H203" s="146" t="s">
        <v>247</v>
      </c>
      <c r="I203" s="52"/>
      <c r="J203" s="156" t="s">
        <v>285</v>
      </c>
      <c r="K203" s="53">
        <v>106608</v>
      </c>
      <c r="L203" s="151">
        <v>5</v>
      </c>
    </row>
    <row r="204" spans="1:12">
      <c r="A204" s="146" t="s">
        <v>634</v>
      </c>
      <c r="B204" s="155">
        <v>2524854867</v>
      </c>
      <c r="C204" s="153">
        <v>40118</v>
      </c>
      <c r="D204" s="51">
        <f t="shared" ca="1" si="6"/>
        <v>7</v>
      </c>
      <c r="E204" s="152" t="str">
        <f t="shared" si="7"/>
        <v>November</v>
      </c>
      <c r="F204" s="146" t="s">
        <v>465</v>
      </c>
      <c r="G204" s="154">
        <v>930314379</v>
      </c>
      <c r="H204" s="146" t="s">
        <v>256</v>
      </c>
      <c r="I204" s="52" t="s">
        <v>267</v>
      </c>
      <c r="J204" s="156" t="s">
        <v>271</v>
      </c>
      <c r="K204" s="53">
        <v>85788</v>
      </c>
      <c r="L204" s="151">
        <v>5</v>
      </c>
    </row>
    <row r="205" spans="1:12">
      <c r="A205" s="146" t="s">
        <v>489</v>
      </c>
      <c r="B205" s="155">
        <v>2524248455</v>
      </c>
      <c r="C205" s="153">
        <v>37435</v>
      </c>
      <c r="D205" s="51">
        <f t="shared" ca="1" si="6"/>
        <v>14</v>
      </c>
      <c r="E205" s="152" t="str">
        <f t="shared" si="7"/>
        <v>June</v>
      </c>
      <c r="F205" s="146" t="s">
        <v>465</v>
      </c>
      <c r="G205" s="154">
        <v>589649495</v>
      </c>
      <c r="H205" s="146" t="s">
        <v>256</v>
      </c>
      <c r="I205" s="52" t="s">
        <v>276</v>
      </c>
      <c r="J205" s="156" t="s">
        <v>285</v>
      </c>
      <c r="K205" s="53">
        <v>46644</v>
      </c>
      <c r="L205" s="151">
        <v>2</v>
      </c>
    </row>
    <row r="206" spans="1:12">
      <c r="A206" s="146" t="s">
        <v>782</v>
      </c>
      <c r="B206" s="155">
        <v>9198213594</v>
      </c>
      <c r="C206" s="153">
        <v>41362</v>
      </c>
      <c r="D206" s="51">
        <f t="shared" ca="1" si="6"/>
        <v>3</v>
      </c>
      <c r="E206" s="152" t="str">
        <f t="shared" si="7"/>
        <v>March</v>
      </c>
      <c r="F206" s="146" t="s">
        <v>465</v>
      </c>
      <c r="G206" s="154">
        <v>387517948</v>
      </c>
      <c r="H206" s="146" t="s">
        <v>256</v>
      </c>
      <c r="I206" s="52" t="s">
        <v>257</v>
      </c>
      <c r="J206" s="156" t="s">
        <v>271</v>
      </c>
      <c r="K206" s="53">
        <v>56928</v>
      </c>
      <c r="L206" s="151">
        <v>3</v>
      </c>
    </row>
    <row r="207" spans="1:12">
      <c r="A207" s="146" t="s">
        <v>492</v>
      </c>
      <c r="B207" s="155">
        <v>9191397811</v>
      </c>
      <c r="C207" s="153">
        <v>37001</v>
      </c>
      <c r="D207" s="51">
        <f t="shared" ca="1" si="6"/>
        <v>15</v>
      </c>
      <c r="E207" s="152" t="str">
        <f t="shared" si="7"/>
        <v>April</v>
      </c>
      <c r="F207" s="146" t="s">
        <v>465</v>
      </c>
      <c r="G207" s="154">
        <v>931105030</v>
      </c>
      <c r="H207" s="146" t="s">
        <v>256</v>
      </c>
      <c r="I207" s="52" t="s">
        <v>283</v>
      </c>
      <c r="J207" s="156" t="s">
        <v>271</v>
      </c>
      <c r="K207" s="53">
        <v>73596</v>
      </c>
      <c r="L207" s="151">
        <v>4</v>
      </c>
    </row>
    <row r="208" spans="1:12">
      <c r="A208" s="146" t="s">
        <v>869</v>
      </c>
      <c r="B208" s="155">
        <v>9194944596</v>
      </c>
      <c r="C208" s="153">
        <v>34707</v>
      </c>
      <c r="D208" s="51">
        <f t="shared" ca="1" si="6"/>
        <v>21</v>
      </c>
      <c r="E208" s="152" t="str">
        <f t="shared" si="7"/>
        <v>January</v>
      </c>
      <c r="F208" s="146" t="s">
        <v>465</v>
      </c>
      <c r="G208" s="154">
        <v>820244290</v>
      </c>
      <c r="H208" s="146" t="s">
        <v>247</v>
      </c>
      <c r="I208" s="52"/>
      <c r="J208" s="156" t="s">
        <v>271</v>
      </c>
      <c r="K208" s="53">
        <v>88788</v>
      </c>
      <c r="L208" s="151">
        <v>3</v>
      </c>
    </row>
    <row r="209" spans="1:12">
      <c r="A209" s="146" t="s">
        <v>635</v>
      </c>
      <c r="B209" s="155">
        <v>9197662359</v>
      </c>
      <c r="C209" s="153">
        <v>34341</v>
      </c>
      <c r="D209" s="51">
        <f t="shared" ca="1" si="6"/>
        <v>22</v>
      </c>
      <c r="E209" s="152" t="str">
        <f t="shared" si="7"/>
        <v>January</v>
      </c>
      <c r="F209" s="146" t="s">
        <v>465</v>
      </c>
      <c r="G209" s="154">
        <v>291715078</v>
      </c>
      <c r="H209" s="146" t="s">
        <v>256</v>
      </c>
      <c r="I209" s="52" t="s">
        <v>586</v>
      </c>
      <c r="J209" s="156" t="s">
        <v>285</v>
      </c>
      <c r="K209" s="53">
        <v>68280</v>
      </c>
      <c r="L209" s="151">
        <v>5</v>
      </c>
    </row>
    <row r="210" spans="1:12">
      <c r="A210" s="146" t="s">
        <v>785</v>
      </c>
      <c r="B210" s="155">
        <v>9191163627</v>
      </c>
      <c r="C210" s="153">
        <v>35609</v>
      </c>
      <c r="D210" s="51">
        <f t="shared" ca="1" si="6"/>
        <v>19</v>
      </c>
      <c r="E210" s="152" t="str">
        <f t="shared" si="7"/>
        <v>June</v>
      </c>
      <c r="F210" s="146" t="s">
        <v>465</v>
      </c>
      <c r="G210" s="154">
        <v>682500261</v>
      </c>
      <c r="H210" s="146" t="s">
        <v>256</v>
      </c>
      <c r="I210" s="52" t="s">
        <v>262</v>
      </c>
      <c r="J210" s="156" t="s">
        <v>285</v>
      </c>
      <c r="K210" s="53">
        <v>75684</v>
      </c>
      <c r="L210" s="151">
        <v>1</v>
      </c>
    </row>
    <row r="211" spans="1:12">
      <c r="A211" s="146" t="s">
        <v>493</v>
      </c>
      <c r="B211" s="155">
        <v>9196969994</v>
      </c>
      <c r="C211" s="153">
        <v>40903</v>
      </c>
      <c r="D211" s="51">
        <f t="shared" ca="1" si="6"/>
        <v>4</v>
      </c>
      <c r="E211" s="152" t="str">
        <f t="shared" si="7"/>
        <v>December</v>
      </c>
      <c r="F211" s="146" t="s">
        <v>465</v>
      </c>
      <c r="G211" s="154">
        <v>425634540</v>
      </c>
      <c r="H211" s="146" t="s">
        <v>256</v>
      </c>
      <c r="I211" s="52" t="s">
        <v>267</v>
      </c>
      <c r="J211" s="156" t="s">
        <v>266</v>
      </c>
      <c r="K211" s="53">
        <v>41628</v>
      </c>
      <c r="L211" s="151">
        <v>2</v>
      </c>
    </row>
    <row r="212" spans="1:12">
      <c r="A212" s="146" t="s">
        <v>316</v>
      </c>
      <c r="B212" s="155">
        <v>2521280865</v>
      </c>
      <c r="C212" s="153">
        <v>34759</v>
      </c>
      <c r="D212" s="51">
        <f t="shared" ca="1" si="6"/>
        <v>21</v>
      </c>
      <c r="E212" s="152" t="str">
        <f t="shared" si="7"/>
        <v>March</v>
      </c>
      <c r="F212" s="146" t="s">
        <v>465</v>
      </c>
      <c r="G212" s="154">
        <v>884025623</v>
      </c>
      <c r="H212" s="146" t="s">
        <v>247</v>
      </c>
      <c r="I212" s="52"/>
      <c r="J212" s="156" t="s">
        <v>251</v>
      </c>
      <c r="K212" s="53">
        <v>77316</v>
      </c>
      <c r="L212" s="151">
        <v>4</v>
      </c>
    </row>
    <row r="213" spans="1:12">
      <c r="A213" s="146" t="s">
        <v>940</v>
      </c>
      <c r="B213" s="155">
        <v>9198413271</v>
      </c>
      <c r="C213" s="153">
        <v>36254</v>
      </c>
      <c r="D213" s="51">
        <f t="shared" ca="1" si="6"/>
        <v>17</v>
      </c>
      <c r="E213" s="152" t="str">
        <f t="shared" si="7"/>
        <v>April</v>
      </c>
      <c r="F213" s="146" t="s">
        <v>465</v>
      </c>
      <c r="G213" s="154">
        <v>482927373</v>
      </c>
      <c r="H213" s="146" t="s">
        <v>256</v>
      </c>
      <c r="I213" s="52" t="s">
        <v>283</v>
      </c>
      <c r="J213" s="156" t="s">
        <v>285</v>
      </c>
      <c r="K213" s="53">
        <v>38868</v>
      </c>
      <c r="L213" s="151">
        <v>2</v>
      </c>
    </row>
    <row r="214" spans="1:12">
      <c r="A214" s="146" t="s">
        <v>423</v>
      </c>
      <c r="B214" s="155">
        <v>9193184277</v>
      </c>
      <c r="C214" s="153">
        <v>36218</v>
      </c>
      <c r="D214" s="51">
        <f t="shared" ca="1" si="6"/>
        <v>17</v>
      </c>
      <c r="E214" s="152" t="str">
        <f t="shared" si="7"/>
        <v>February</v>
      </c>
      <c r="F214" s="146" t="s">
        <v>465</v>
      </c>
      <c r="G214" s="154">
        <v>313128501</v>
      </c>
      <c r="H214" s="146" t="s">
        <v>252</v>
      </c>
      <c r="I214" s="52"/>
      <c r="J214" s="156" t="s">
        <v>245</v>
      </c>
      <c r="K214" s="53">
        <v>26966</v>
      </c>
      <c r="L214" s="151">
        <v>1</v>
      </c>
    </row>
    <row r="215" spans="1:12">
      <c r="A215" s="146" t="s">
        <v>502</v>
      </c>
      <c r="B215" s="155">
        <v>9198367725</v>
      </c>
      <c r="C215" s="153">
        <v>36720</v>
      </c>
      <c r="D215" s="51">
        <f t="shared" ca="1" si="6"/>
        <v>16</v>
      </c>
      <c r="E215" s="152" t="str">
        <f t="shared" si="7"/>
        <v>July</v>
      </c>
      <c r="F215" s="146" t="s">
        <v>465</v>
      </c>
      <c r="G215" s="154">
        <v>332289257</v>
      </c>
      <c r="H215" s="146" t="s">
        <v>247</v>
      </c>
      <c r="I215" s="52"/>
      <c r="J215" s="156" t="s">
        <v>271</v>
      </c>
      <c r="K215" s="53">
        <v>81912</v>
      </c>
      <c r="L215" s="151">
        <v>5</v>
      </c>
    </row>
    <row r="216" spans="1:12">
      <c r="A216" s="146" t="s">
        <v>507</v>
      </c>
      <c r="B216" s="155">
        <v>2522433774</v>
      </c>
      <c r="C216" s="153">
        <v>39537</v>
      </c>
      <c r="D216" s="51">
        <f t="shared" ca="1" si="6"/>
        <v>8</v>
      </c>
      <c r="E216" s="152" t="str">
        <f t="shared" si="7"/>
        <v>March</v>
      </c>
      <c r="F216" s="146" t="s">
        <v>465</v>
      </c>
      <c r="G216" s="154">
        <v>561968668</v>
      </c>
      <c r="H216" s="146" t="s">
        <v>256</v>
      </c>
      <c r="I216" s="52" t="s">
        <v>262</v>
      </c>
      <c r="J216" s="156" t="s">
        <v>245</v>
      </c>
      <c r="K216" s="53">
        <v>91901</v>
      </c>
      <c r="L216" s="151">
        <v>1</v>
      </c>
    </row>
    <row r="217" spans="1:12">
      <c r="A217" s="146" t="s">
        <v>320</v>
      </c>
      <c r="B217" s="155">
        <v>9193386758</v>
      </c>
      <c r="C217" s="153">
        <v>39105</v>
      </c>
      <c r="D217" s="51">
        <f t="shared" ca="1" si="6"/>
        <v>9</v>
      </c>
      <c r="E217" s="152" t="str">
        <f t="shared" si="7"/>
        <v>January</v>
      </c>
      <c r="F217" s="146" t="s">
        <v>465</v>
      </c>
      <c r="G217" s="154">
        <v>564908088</v>
      </c>
      <c r="H217" s="146" t="s">
        <v>256</v>
      </c>
      <c r="I217" s="52" t="s">
        <v>257</v>
      </c>
      <c r="J217" s="156" t="s">
        <v>285</v>
      </c>
      <c r="K217" s="53">
        <v>105312</v>
      </c>
      <c r="L217" s="151">
        <v>1</v>
      </c>
    </row>
    <row r="218" spans="1:12">
      <c r="A218" s="146" t="s">
        <v>789</v>
      </c>
      <c r="B218" s="155">
        <v>2524999647</v>
      </c>
      <c r="C218" s="153">
        <v>37033</v>
      </c>
      <c r="D218" s="51">
        <f t="shared" ca="1" si="6"/>
        <v>15</v>
      </c>
      <c r="E218" s="152" t="str">
        <f t="shared" si="7"/>
        <v>May</v>
      </c>
      <c r="F218" s="146" t="s">
        <v>465</v>
      </c>
      <c r="G218" s="154">
        <v>506577536</v>
      </c>
      <c r="H218" s="146" t="s">
        <v>252</v>
      </c>
      <c r="I218" s="52"/>
      <c r="J218" s="156" t="s">
        <v>271</v>
      </c>
      <c r="K218" s="53">
        <v>11309</v>
      </c>
      <c r="L218" s="151">
        <v>4</v>
      </c>
    </row>
    <row r="219" spans="1:12">
      <c r="A219" s="146" t="s">
        <v>714</v>
      </c>
      <c r="B219" s="155">
        <v>9196194175</v>
      </c>
      <c r="C219" s="153">
        <v>37078</v>
      </c>
      <c r="D219" s="51">
        <f t="shared" ca="1" si="6"/>
        <v>15</v>
      </c>
      <c r="E219" s="152" t="str">
        <f t="shared" si="7"/>
        <v>July</v>
      </c>
      <c r="F219" s="146" t="s">
        <v>465</v>
      </c>
      <c r="G219" s="154">
        <v>596641549</v>
      </c>
      <c r="H219" s="146" t="s">
        <v>247</v>
      </c>
      <c r="I219" s="52"/>
      <c r="J219" s="156" t="s">
        <v>266</v>
      </c>
      <c r="K219" s="53">
        <v>32856</v>
      </c>
      <c r="L219" s="151">
        <v>3</v>
      </c>
    </row>
    <row r="220" spans="1:12">
      <c r="A220" s="146" t="s">
        <v>876</v>
      </c>
      <c r="B220" s="155">
        <v>2525725646</v>
      </c>
      <c r="C220" s="153">
        <v>35513</v>
      </c>
      <c r="D220" s="51">
        <f t="shared" ca="1" si="6"/>
        <v>19</v>
      </c>
      <c r="E220" s="152" t="str">
        <f t="shared" si="7"/>
        <v>March</v>
      </c>
      <c r="F220" s="146" t="s">
        <v>465</v>
      </c>
      <c r="G220" s="154">
        <v>944793994</v>
      </c>
      <c r="H220" s="146" t="s">
        <v>256</v>
      </c>
      <c r="I220" s="52" t="s">
        <v>257</v>
      </c>
      <c r="J220" s="156" t="s">
        <v>251</v>
      </c>
      <c r="K220" s="53">
        <v>29160</v>
      </c>
      <c r="L220" s="151">
        <v>3</v>
      </c>
    </row>
    <row r="221" spans="1:12">
      <c r="A221" s="146" t="s">
        <v>510</v>
      </c>
      <c r="B221" s="155">
        <v>2523122603</v>
      </c>
      <c r="C221" s="153">
        <v>39049</v>
      </c>
      <c r="D221" s="51">
        <f t="shared" ca="1" si="6"/>
        <v>9</v>
      </c>
      <c r="E221" s="152" t="str">
        <f t="shared" si="7"/>
        <v>November</v>
      </c>
      <c r="F221" s="146" t="s">
        <v>465</v>
      </c>
      <c r="G221" s="154">
        <v>590896401</v>
      </c>
      <c r="H221" s="146" t="s">
        <v>256</v>
      </c>
      <c r="I221" s="52" t="s">
        <v>262</v>
      </c>
      <c r="J221" s="156" t="s">
        <v>266</v>
      </c>
      <c r="K221" s="53">
        <v>84912</v>
      </c>
      <c r="L221" s="151">
        <v>1</v>
      </c>
    </row>
    <row r="222" spans="1:12">
      <c r="A222" s="146" t="s">
        <v>755</v>
      </c>
      <c r="B222" s="155">
        <v>2523431009</v>
      </c>
      <c r="C222" s="153">
        <v>36829</v>
      </c>
      <c r="D222" s="51">
        <f t="shared" ca="1" si="6"/>
        <v>16</v>
      </c>
      <c r="E222" s="152" t="str">
        <f t="shared" si="7"/>
        <v>October</v>
      </c>
      <c r="F222" s="146" t="s">
        <v>465</v>
      </c>
      <c r="G222" s="154">
        <v>462995574</v>
      </c>
      <c r="H222" s="146" t="s">
        <v>256</v>
      </c>
      <c r="I222" s="52" t="s">
        <v>257</v>
      </c>
      <c r="J222" s="156" t="s">
        <v>271</v>
      </c>
      <c r="K222" s="53">
        <v>105888</v>
      </c>
      <c r="L222" s="151">
        <v>5</v>
      </c>
    </row>
    <row r="223" spans="1:12">
      <c r="A223" s="146" t="s">
        <v>792</v>
      </c>
      <c r="B223" s="155">
        <v>2526966637</v>
      </c>
      <c r="C223" s="153">
        <v>37088</v>
      </c>
      <c r="D223" s="51">
        <f t="shared" ca="1" si="6"/>
        <v>15</v>
      </c>
      <c r="E223" s="152" t="str">
        <f t="shared" si="7"/>
        <v>July</v>
      </c>
      <c r="F223" s="146" t="s">
        <v>465</v>
      </c>
      <c r="G223" s="154">
        <v>110547055</v>
      </c>
      <c r="H223" s="146" t="s">
        <v>261</v>
      </c>
      <c r="I223" s="52" t="s">
        <v>283</v>
      </c>
      <c r="J223" s="156" t="s">
        <v>285</v>
      </c>
      <c r="K223" s="53">
        <v>13278</v>
      </c>
      <c r="L223" s="151">
        <v>1</v>
      </c>
    </row>
    <row r="224" spans="1:12">
      <c r="A224" s="146" t="s">
        <v>514</v>
      </c>
      <c r="B224" s="155">
        <v>9196607355</v>
      </c>
      <c r="C224" s="153">
        <v>37432</v>
      </c>
      <c r="D224" s="51">
        <f t="shared" ca="1" si="6"/>
        <v>14</v>
      </c>
      <c r="E224" s="152" t="str">
        <f t="shared" si="7"/>
        <v>June</v>
      </c>
      <c r="F224" s="146" t="s">
        <v>465</v>
      </c>
      <c r="G224" s="154">
        <v>826450563</v>
      </c>
      <c r="H224" s="146" t="s">
        <v>247</v>
      </c>
      <c r="I224" s="52"/>
      <c r="J224" s="156" t="s">
        <v>280</v>
      </c>
      <c r="K224" s="53">
        <v>69312</v>
      </c>
      <c r="L224" s="151">
        <v>3</v>
      </c>
    </row>
    <row r="225" spans="1:12">
      <c r="A225" s="146" t="s">
        <v>515</v>
      </c>
      <c r="B225" s="155">
        <v>2527710498</v>
      </c>
      <c r="C225" s="153">
        <v>36319</v>
      </c>
      <c r="D225" s="51">
        <f t="shared" ca="1" si="6"/>
        <v>17</v>
      </c>
      <c r="E225" s="152" t="str">
        <f t="shared" si="7"/>
        <v>June</v>
      </c>
      <c r="F225" s="146" t="s">
        <v>465</v>
      </c>
      <c r="G225" s="154">
        <v>696435191</v>
      </c>
      <c r="H225" s="146" t="s">
        <v>256</v>
      </c>
      <c r="I225" s="52" t="s">
        <v>283</v>
      </c>
      <c r="J225" s="156" t="s">
        <v>251</v>
      </c>
      <c r="K225" s="53">
        <v>73380</v>
      </c>
      <c r="L225" s="151">
        <v>2</v>
      </c>
    </row>
    <row r="226" spans="1:12">
      <c r="A226" s="146" t="s">
        <v>878</v>
      </c>
      <c r="B226" s="155">
        <v>2527172882</v>
      </c>
      <c r="C226" s="153">
        <v>38548</v>
      </c>
      <c r="D226" s="51">
        <f t="shared" ca="1" si="6"/>
        <v>11</v>
      </c>
      <c r="E226" s="152" t="str">
        <f t="shared" si="7"/>
        <v>July</v>
      </c>
      <c r="F226" s="146" t="s">
        <v>465</v>
      </c>
      <c r="G226" s="154">
        <v>143534593</v>
      </c>
      <c r="H226" s="146" t="s">
        <v>247</v>
      </c>
      <c r="I226" s="52"/>
      <c r="J226" s="156" t="s">
        <v>266</v>
      </c>
      <c r="K226" s="53">
        <v>90504</v>
      </c>
      <c r="L226" s="151">
        <v>1</v>
      </c>
    </row>
    <row r="227" spans="1:12">
      <c r="A227" s="146" t="s">
        <v>879</v>
      </c>
      <c r="B227" s="155">
        <v>2522064219</v>
      </c>
      <c r="C227" s="153">
        <v>37183</v>
      </c>
      <c r="D227" s="51">
        <f t="shared" ca="1" si="6"/>
        <v>15</v>
      </c>
      <c r="E227" s="152" t="str">
        <f t="shared" si="7"/>
        <v>October</v>
      </c>
      <c r="F227" s="146" t="s">
        <v>465</v>
      </c>
      <c r="G227" s="154">
        <v>384454025</v>
      </c>
      <c r="H227" s="146" t="s">
        <v>247</v>
      </c>
      <c r="I227" s="52"/>
      <c r="J227" s="156" t="s">
        <v>271</v>
      </c>
      <c r="K227" s="53">
        <v>28572</v>
      </c>
      <c r="L227" s="151">
        <v>4</v>
      </c>
    </row>
    <row r="228" spans="1:12">
      <c r="A228" s="146" t="s">
        <v>685</v>
      </c>
      <c r="B228" s="155">
        <v>9192168237</v>
      </c>
      <c r="C228" s="153">
        <v>35748</v>
      </c>
      <c r="D228" s="51">
        <f t="shared" ca="1" si="6"/>
        <v>18</v>
      </c>
      <c r="E228" s="152" t="str">
        <f t="shared" si="7"/>
        <v>November</v>
      </c>
      <c r="F228" s="146" t="s">
        <v>465</v>
      </c>
      <c r="G228" s="154">
        <v>566726453</v>
      </c>
      <c r="H228" s="146" t="s">
        <v>256</v>
      </c>
      <c r="I228" s="52" t="s">
        <v>262</v>
      </c>
      <c r="J228" s="156" t="s">
        <v>245</v>
      </c>
      <c r="K228" s="53">
        <v>46728</v>
      </c>
      <c r="L228" s="151">
        <v>2</v>
      </c>
    </row>
    <row r="229" spans="1:12">
      <c r="A229" s="146" t="s">
        <v>799</v>
      </c>
      <c r="B229" s="155">
        <v>9194888110</v>
      </c>
      <c r="C229" s="153">
        <v>37159</v>
      </c>
      <c r="D229" s="51">
        <f t="shared" ca="1" si="6"/>
        <v>15</v>
      </c>
      <c r="E229" s="152" t="str">
        <f t="shared" si="7"/>
        <v>September</v>
      </c>
      <c r="F229" s="146" t="s">
        <v>465</v>
      </c>
      <c r="G229" s="154">
        <v>559376297</v>
      </c>
      <c r="H229" s="146" t="s">
        <v>256</v>
      </c>
      <c r="I229" s="52" t="s">
        <v>257</v>
      </c>
      <c r="J229" s="156" t="s">
        <v>285</v>
      </c>
      <c r="K229" s="53">
        <v>42984</v>
      </c>
      <c r="L229" s="151">
        <v>2</v>
      </c>
    </row>
    <row r="230" spans="1:12">
      <c r="A230" s="146" t="s">
        <v>519</v>
      </c>
      <c r="B230" s="155">
        <v>9191806180</v>
      </c>
      <c r="C230" s="153">
        <v>36179</v>
      </c>
      <c r="D230" s="51">
        <f t="shared" ca="1" si="6"/>
        <v>17</v>
      </c>
      <c r="E230" s="152" t="str">
        <f t="shared" si="7"/>
        <v>January</v>
      </c>
      <c r="F230" s="146" t="s">
        <v>465</v>
      </c>
      <c r="G230" s="154">
        <v>616417564</v>
      </c>
      <c r="H230" s="146" t="s">
        <v>247</v>
      </c>
      <c r="I230" s="52"/>
      <c r="J230" s="156" t="s">
        <v>271</v>
      </c>
      <c r="K230" s="53">
        <v>50580</v>
      </c>
      <c r="L230" s="151">
        <v>5</v>
      </c>
    </row>
    <row r="231" spans="1:12">
      <c r="A231" s="146" t="s">
        <v>396</v>
      </c>
      <c r="B231" s="155">
        <v>9194361873</v>
      </c>
      <c r="C231" s="153">
        <v>34547</v>
      </c>
      <c r="D231" s="51">
        <f t="shared" ca="1" si="6"/>
        <v>22</v>
      </c>
      <c r="E231" s="152" t="str">
        <f t="shared" si="7"/>
        <v>August</v>
      </c>
      <c r="F231" s="146" t="s">
        <v>465</v>
      </c>
      <c r="G231" s="154">
        <v>910964196</v>
      </c>
      <c r="H231" s="146" t="s">
        <v>247</v>
      </c>
      <c r="I231" s="52"/>
      <c r="J231" s="156" t="s">
        <v>271</v>
      </c>
      <c r="K231" s="53">
        <v>59436</v>
      </c>
      <c r="L231" s="151">
        <v>2</v>
      </c>
    </row>
    <row r="232" spans="1:12">
      <c r="A232" s="146" t="s">
        <v>756</v>
      </c>
      <c r="B232" s="155">
        <v>9198253211</v>
      </c>
      <c r="C232" s="153">
        <v>36423</v>
      </c>
      <c r="D232" s="51">
        <f t="shared" ca="1" si="6"/>
        <v>17</v>
      </c>
      <c r="E232" s="152" t="str">
        <f t="shared" si="7"/>
        <v>September</v>
      </c>
      <c r="F232" s="146" t="s">
        <v>465</v>
      </c>
      <c r="G232" s="154">
        <v>676030562</v>
      </c>
      <c r="H232" s="146" t="s">
        <v>256</v>
      </c>
      <c r="I232" s="52" t="s">
        <v>257</v>
      </c>
      <c r="J232" s="156" t="s">
        <v>271</v>
      </c>
      <c r="K232" s="53">
        <v>72120</v>
      </c>
      <c r="L232" s="151">
        <v>1</v>
      </c>
    </row>
    <row r="233" spans="1:12">
      <c r="A233" s="146" t="s">
        <v>881</v>
      </c>
      <c r="B233" s="155">
        <v>9198426889</v>
      </c>
      <c r="C233" s="153">
        <v>40558</v>
      </c>
      <c r="D233" s="51">
        <f t="shared" ca="1" si="6"/>
        <v>5</v>
      </c>
      <c r="E233" s="152" t="str">
        <f t="shared" si="7"/>
        <v>January</v>
      </c>
      <c r="F233" s="146" t="s">
        <v>465</v>
      </c>
      <c r="G233" s="154">
        <v>159117255</v>
      </c>
      <c r="H233" s="146" t="s">
        <v>247</v>
      </c>
      <c r="I233" s="52"/>
      <c r="J233" s="156" t="s">
        <v>245</v>
      </c>
      <c r="K233" s="53">
        <v>94224</v>
      </c>
      <c r="L233" s="151">
        <v>4</v>
      </c>
    </row>
    <row r="234" spans="1:12">
      <c r="A234" s="146" t="s">
        <v>325</v>
      </c>
      <c r="B234" s="155">
        <v>2528155179</v>
      </c>
      <c r="C234" s="153">
        <v>36997</v>
      </c>
      <c r="D234" s="51">
        <f t="shared" ca="1" si="6"/>
        <v>15</v>
      </c>
      <c r="E234" s="152" t="str">
        <f t="shared" si="7"/>
        <v>April</v>
      </c>
      <c r="F234" s="146" t="s">
        <v>465</v>
      </c>
      <c r="G234" s="154">
        <v>984570981</v>
      </c>
      <c r="H234" s="146" t="s">
        <v>261</v>
      </c>
      <c r="I234" s="52" t="s">
        <v>283</v>
      </c>
      <c r="J234" s="156" t="s">
        <v>271</v>
      </c>
      <c r="K234" s="53">
        <v>57828</v>
      </c>
      <c r="L234" s="151">
        <v>1</v>
      </c>
    </row>
    <row r="235" spans="1:12">
      <c r="A235" s="146" t="s">
        <v>958</v>
      </c>
      <c r="B235" s="155">
        <v>2521408985</v>
      </c>
      <c r="C235" s="153">
        <v>40424</v>
      </c>
      <c r="D235" s="51">
        <f t="shared" ca="1" si="6"/>
        <v>6</v>
      </c>
      <c r="E235" s="152" t="str">
        <f t="shared" si="7"/>
        <v>September</v>
      </c>
      <c r="F235" s="146" t="s">
        <v>465</v>
      </c>
      <c r="G235" s="154">
        <v>415299442</v>
      </c>
      <c r="H235" s="146" t="s">
        <v>256</v>
      </c>
      <c r="I235" s="52" t="s">
        <v>257</v>
      </c>
      <c r="J235" s="156" t="s">
        <v>271</v>
      </c>
      <c r="K235" s="53">
        <v>83184</v>
      </c>
      <c r="L235" s="151">
        <v>3</v>
      </c>
    </row>
    <row r="236" spans="1:12">
      <c r="A236" s="146" t="s">
        <v>640</v>
      </c>
      <c r="B236" s="155">
        <v>9198294156</v>
      </c>
      <c r="C236" s="153">
        <v>35752</v>
      </c>
      <c r="D236" s="51">
        <f t="shared" ca="1" si="6"/>
        <v>18</v>
      </c>
      <c r="E236" s="152" t="str">
        <f t="shared" si="7"/>
        <v>November</v>
      </c>
      <c r="F236" s="146" t="s">
        <v>465</v>
      </c>
      <c r="G236" s="154">
        <v>561737107</v>
      </c>
      <c r="H236" s="146" t="s">
        <v>256</v>
      </c>
      <c r="I236" s="52" t="s">
        <v>283</v>
      </c>
      <c r="J236" s="156" t="s">
        <v>285</v>
      </c>
      <c r="K236" s="53">
        <v>87686</v>
      </c>
      <c r="L236" s="151">
        <v>5</v>
      </c>
    </row>
    <row r="237" spans="1:12">
      <c r="A237" s="146" t="s">
        <v>804</v>
      </c>
      <c r="B237" s="155">
        <v>9193708610</v>
      </c>
      <c r="C237" s="153">
        <v>36725</v>
      </c>
      <c r="D237" s="51">
        <f t="shared" ca="1" si="6"/>
        <v>16</v>
      </c>
      <c r="E237" s="152" t="str">
        <f t="shared" si="7"/>
        <v>July</v>
      </c>
      <c r="F237" s="146" t="s">
        <v>465</v>
      </c>
      <c r="G237" s="154">
        <v>542653222</v>
      </c>
      <c r="H237" s="146" t="s">
        <v>247</v>
      </c>
      <c r="I237" s="52"/>
      <c r="J237" s="156" t="s">
        <v>285</v>
      </c>
      <c r="K237" s="53">
        <v>87024</v>
      </c>
      <c r="L237" s="151">
        <v>3</v>
      </c>
    </row>
    <row r="238" spans="1:12">
      <c r="A238" s="146" t="s">
        <v>882</v>
      </c>
      <c r="B238" s="155">
        <v>2525918708</v>
      </c>
      <c r="C238" s="153">
        <v>36724</v>
      </c>
      <c r="D238" s="51">
        <f t="shared" ca="1" si="6"/>
        <v>16</v>
      </c>
      <c r="E238" s="152" t="str">
        <f t="shared" si="7"/>
        <v>July</v>
      </c>
      <c r="F238" s="146" t="s">
        <v>465</v>
      </c>
      <c r="G238" s="154">
        <v>280304785</v>
      </c>
      <c r="H238" s="146" t="s">
        <v>256</v>
      </c>
      <c r="I238" s="52" t="s">
        <v>257</v>
      </c>
      <c r="J238" s="156" t="s">
        <v>271</v>
      </c>
      <c r="K238" s="53">
        <v>48408</v>
      </c>
      <c r="L238" s="151">
        <v>2</v>
      </c>
    </row>
    <row r="239" spans="1:12">
      <c r="A239" s="146" t="s">
        <v>722</v>
      </c>
      <c r="B239" s="155">
        <v>9198082183</v>
      </c>
      <c r="C239" s="153">
        <v>36535</v>
      </c>
      <c r="D239" s="51">
        <f t="shared" ca="1" si="6"/>
        <v>16</v>
      </c>
      <c r="E239" s="152" t="str">
        <f t="shared" si="7"/>
        <v>January</v>
      </c>
      <c r="F239" s="146" t="s">
        <v>465</v>
      </c>
      <c r="G239" s="154">
        <v>100679868</v>
      </c>
      <c r="H239" s="146" t="s">
        <v>261</v>
      </c>
      <c r="I239" s="52" t="s">
        <v>257</v>
      </c>
      <c r="J239" s="156" t="s">
        <v>251</v>
      </c>
      <c r="K239" s="53">
        <v>58602</v>
      </c>
      <c r="L239" s="151">
        <v>5</v>
      </c>
    </row>
    <row r="240" spans="1:12">
      <c r="A240" s="146" t="s">
        <v>962</v>
      </c>
      <c r="B240" s="155">
        <v>2528652588</v>
      </c>
      <c r="C240" s="153">
        <v>37796</v>
      </c>
      <c r="D240" s="51">
        <f t="shared" ca="1" si="6"/>
        <v>13</v>
      </c>
      <c r="E240" s="152" t="str">
        <f t="shared" si="7"/>
        <v>June</v>
      </c>
      <c r="F240" s="146" t="s">
        <v>465</v>
      </c>
      <c r="G240" s="154">
        <v>894030119</v>
      </c>
      <c r="H240" s="146" t="s">
        <v>256</v>
      </c>
      <c r="I240" s="52" t="s">
        <v>262</v>
      </c>
      <c r="J240" s="156" t="s">
        <v>285</v>
      </c>
      <c r="K240" s="53">
        <v>79212</v>
      </c>
      <c r="L240" s="151">
        <v>5</v>
      </c>
    </row>
    <row r="241" spans="1:12">
      <c r="A241" s="146" t="s">
        <v>328</v>
      </c>
      <c r="B241" s="155">
        <v>9191449596</v>
      </c>
      <c r="C241" s="153">
        <v>38362</v>
      </c>
      <c r="D241" s="51">
        <f t="shared" ca="1" si="6"/>
        <v>11</v>
      </c>
      <c r="E241" s="152" t="str">
        <f t="shared" si="7"/>
        <v>January</v>
      </c>
      <c r="F241" s="146" t="s">
        <v>465</v>
      </c>
      <c r="G241" s="154">
        <v>948480407</v>
      </c>
      <c r="H241" s="146" t="s">
        <v>247</v>
      </c>
      <c r="I241" s="52"/>
      <c r="J241" s="156" t="s">
        <v>285</v>
      </c>
      <c r="K241" s="53">
        <v>73644</v>
      </c>
      <c r="L241" s="151">
        <v>3</v>
      </c>
    </row>
    <row r="242" spans="1:12">
      <c r="A242" s="146" t="s">
        <v>525</v>
      </c>
      <c r="B242" s="155">
        <v>2524442142</v>
      </c>
      <c r="C242" s="153">
        <v>34479</v>
      </c>
      <c r="D242" s="51">
        <f t="shared" ca="1" si="6"/>
        <v>22</v>
      </c>
      <c r="E242" s="152" t="str">
        <f t="shared" si="7"/>
        <v>May</v>
      </c>
      <c r="F242" s="146" t="s">
        <v>465</v>
      </c>
      <c r="G242" s="154">
        <v>466293520</v>
      </c>
      <c r="H242" s="146" t="s">
        <v>252</v>
      </c>
      <c r="I242" s="52"/>
      <c r="J242" s="156" t="s">
        <v>280</v>
      </c>
      <c r="K242" s="53">
        <v>26813</v>
      </c>
      <c r="L242" s="151">
        <v>4</v>
      </c>
    </row>
    <row r="243" spans="1:12">
      <c r="A243" s="146" t="s">
        <v>964</v>
      </c>
      <c r="B243" s="155">
        <v>2524785979</v>
      </c>
      <c r="C243" s="153">
        <v>35269</v>
      </c>
      <c r="D243" s="51">
        <f t="shared" ca="1" si="6"/>
        <v>20</v>
      </c>
      <c r="E243" s="152" t="str">
        <f t="shared" si="7"/>
        <v>July</v>
      </c>
      <c r="F243" s="146" t="s">
        <v>465</v>
      </c>
      <c r="G243" s="154">
        <v>865073824</v>
      </c>
      <c r="H243" s="146" t="s">
        <v>256</v>
      </c>
      <c r="I243" s="52" t="s">
        <v>276</v>
      </c>
      <c r="J243" s="156" t="s">
        <v>245</v>
      </c>
      <c r="K243" s="53">
        <v>41376</v>
      </c>
      <c r="L243" s="151">
        <v>3</v>
      </c>
    </row>
    <row r="244" spans="1:12">
      <c r="A244" s="146" t="s">
        <v>885</v>
      </c>
      <c r="B244" s="155">
        <v>2523909820</v>
      </c>
      <c r="C244" s="153">
        <v>37046</v>
      </c>
      <c r="D244" s="51">
        <f t="shared" ca="1" si="6"/>
        <v>15</v>
      </c>
      <c r="E244" s="152" t="str">
        <f t="shared" si="7"/>
        <v>June</v>
      </c>
      <c r="F244" s="146" t="s">
        <v>465</v>
      </c>
      <c r="G244" s="154">
        <v>475517002</v>
      </c>
      <c r="H244" s="146" t="s">
        <v>256</v>
      </c>
      <c r="I244" s="52" t="s">
        <v>283</v>
      </c>
      <c r="J244" s="156" t="s">
        <v>285</v>
      </c>
      <c r="K244" s="53">
        <v>82500</v>
      </c>
      <c r="L244" s="151">
        <v>1</v>
      </c>
    </row>
    <row r="245" spans="1:12">
      <c r="A245" s="146" t="s">
        <v>527</v>
      </c>
      <c r="B245" s="155">
        <v>9191308831</v>
      </c>
      <c r="C245" s="153">
        <v>36089</v>
      </c>
      <c r="D245" s="51">
        <f t="shared" ca="1" si="6"/>
        <v>18</v>
      </c>
      <c r="E245" s="152" t="str">
        <f t="shared" si="7"/>
        <v>October</v>
      </c>
      <c r="F245" s="146" t="s">
        <v>465</v>
      </c>
      <c r="G245" s="154">
        <v>523758324</v>
      </c>
      <c r="H245" s="146" t="s">
        <v>256</v>
      </c>
      <c r="I245" s="52" t="s">
        <v>257</v>
      </c>
      <c r="J245" s="156" t="s">
        <v>266</v>
      </c>
      <c r="K245" s="53">
        <v>71184</v>
      </c>
      <c r="L245" s="151">
        <v>4</v>
      </c>
    </row>
    <row r="246" spans="1:12">
      <c r="A246" s="146" t="s">
        <v>886</v>
      </c>
      <c r="B246" s="155">
        <v>9191591006</v>
      </c>
      <c r="C246" s="153">
        <v>35132</v>
      </c>
      <c r="D246" s="51">
        <f t="shared" ca="1" si="6"/>
        <v>20</v>
      </c>
      <c r="E246" s="152" t="str">
        <f t="shared" si="7"/>
        <v>March</v>
      </c>
      <c r="F246" s="146" t="s">
        <v>465</v>
      </c>
      <c r="G246" s="154">
        <v>775217609</v>
      </c>
      <c r="H246" s="146" t="s">
        <v>256</v>
      </c>
      <c r="I246" s="52" t="s">
        <v>283</v>
      </c>
      <c r="J246" s="156" t="s">
        <v>271</v>
      </c>
      <c r="K246" s="53">
        <v>29652</v>
      </c>
      <c r="L246" s="151">
        <v>2</v>
      </c>
    </row>
    <row r="247" spans="1:12">
      <c r="A247" s="146" t="s">
        <v>966</v>
      </c>
      <c r="B247" s="155">
        <v>9191847141</v>
      </c>
      <c r="C247" s="153">
        <v>39602</v>
      </c>
      <c r="D247" s="51">
        <f t="shared" ca="1" si="6"/>
        <v>8</v>
      </c>
      <c r="E247" s="152" t="str">
        <f t="shared" si="7"/>
        <v>June</v>
      </c>
      <c r="F247" s="146" t="s">
        <v>465</v>
      </c>
      <c r="G247" s="154">
        <v>725737456</v>
      </c>
      <c r="H247" s="146" t="s">
        <v>247</v>
      </c>
      <c r="I247" s="52"/>
      <c r="J247" s="156" t="s">
        <v>280</v>
      </c>
      <c r="K247" s="53">
        <v>71196</v>
      </c>
      <c r="L247" s="151">
        <v>4</v>
      </c>
    </row>
    <row r="248" spans="1:12">
      <c r="A248" s="146" t="s">
        <v>809</v>
      </c>
      <c r="B248" s="155">
        <v>2525185281</v>
      </c>
      <c r="C248" s="153">
        <v>34877</v>
      </c>
      <c r="D248" s="51">
        <f t="shared" ca="1" si="6"/>
        <v>21</v>
      </c>
      <c r="E248" s="152" t="str">
        <f t="shared" si="7"/>
        <v>June</v>
      </c>
      <c r="F248" s="146" t="s">
        <v>465</v>
      </c>
      <c r="G248" s="154">
        <v>220781349</v>
      </c>
      <c r="H248" s="146" t="s">
        <v>247</v>
      </c>
      <c r="I248" s="52"/>
      <c r="J248" s="156" t="s">
        <v>271</v>
      </c>
      <c r="K248" s="53">
        <v>54924</v>
      </c>
      <c r="L248" s="151">
        <v>5</v>
      </c>
    </row>
    <row r="249" spans="1:12">
      <c r="A249" s="146" t="s">
        <v>724</v>
      </c>
      <c r="B249" s="155">
        <v>2528159919</v>
      </c>
      <c r="C249" s="153">
        <v>37426</v>
      </c>
      <c r="D249" s="51">
        <f t="shared" ca="1" si="6"/>
        <v>14</v>
      </c>
      <c r="E249" s="152" t="str">
        <f t="shared" si="7"/>
        <v>June</v>
      </c>
      <c r="F249" s="146" t="s">
        <v>465</v>
      </c>
      <c r="G249" s="154">
        <v>353414196</v>
      </c>
      <c r="H249" s="146" t="s">
        <v>256</v>
      </c>
      <c r="I249" s="52" t="s">
        <v>267</v>
      </c>
      <c r="J249" s="156" t="s">
        <v>245</v>
      </c>
      <c r="K249" s="53">
        <v>28380</v>
      </c>
      <c r="L249" s="151">
        <v>1</v>
      </c>
    </row>
    <row r="250" spans="1:12">
      <c r="A250" s="157" t="s">
        <v>279</v>
      </c>
      <c r="B250" s="155">
        <v>9195043141</v>
      </c>
      <c r="C250" s="153">
        <v>36431</v>
      </c>
      <c r="D250" s="51">
        <f t="shared" ca="1" si="6"/>
        <v>17</v>
      </c>
      <c r="E250" s="152" t="str">
        <f t="shared" si="7"/>
        <v>September</v>
      </c>
      <c r="F250" s="146" t="s">
        <v>465</v>
      </c>
      <c r="G250" s="154">
        <v>597131266</v>
      </c>
      <c r="H250" s="146" t="s">
        <v>256</v>
      </c>
      <c r="I250" s="52" t="s">
        <v>262</v>
      </c>
      <c r="J250" s="156" t="s">
        <v>285</v>
      </c>
      <c r="K250" s="53">
        <v>79716</v>
      </c>
      <c r="L250" s="151">
        <v>2</v>
      </c>
    </row>
    <row r="251" spans="1:12">
      <c r="A251" s="146" t="s">
        <v>890</v>
      </c>
      <c r="B251" s="155">
        <v>9195089157</v>
      </c>
      <c r="C251" s="153">
        <v>36700</v>
      </c>
      <c r="D251" s="51">
        <f t="shared" ca="1" si="6"/>
        <v>16</v>
      </c>
      <c r="E251" s="152" t="str">
        <f t="shared" si="7"/>
        <v>June</v>
      </c>
      <c r="F251" s="146" t="s">
        <v>465</v>
      </c>
      <c r="G251" s="154">
        <v>725801036</v>
      </c>
      <c r="H251" s="146" t="s">
        <v>247</v>
      </c>
      <c r="I251" s="52"/>
      <c r="J251" s="156" t="s">
        <v>285</v>
      </c>
      <c r="K251" s="53">
        <v>86052</v>
      </c>
      <c r="L251" s="151">
        <v>5</v>
      </c>
    </row>
    <row r="252" spans="1:12">
      <c r="A252" s="146" t="s">
        <v>970</v>
      </c>
      <c r="B252" s="155">
        <v>2527061632</v>
      </c>
      <c r="C252" s="153">
        <v>36084</v>
      </c>
      <c r="D252" s="51">
        <f t="shared" ca="1" si="6"/>
        <v>18</v>
      </c>
      <c r="E252" s="152" t="str">
        <f t="shared" si="7"/>
        <v>October</v>
      </c>
      <c r="F252" s="146" t="s">
        <v>465</v>
      </c>
      <c r="G252" s="154">
        <v>371001908</v>
      </c>
      <c r="H252" s="146" t="s">
        <v>256</v>
      </c>
      <c r="I252" s="52" t="s">
        <v>262</v>
      </c>
      <c r="J252" s="156" t="s">
        <v>271</v>
      </c>
      <c r="K252" s="53">
        <v>54576</v>
      </c>
      <c r="L252" s="151">
        <v>4</v>
      </c>
    </row>
    <row r="253" spans="1:12">
      <c r="A253" s="146" t="s">
        <v>813</v>
      </c>
      <c r="B253" s="155">
        <v>9195592950</v>
      </c>
      <c r="C253" s="153">
        <v>38664</v>
      </c>
      <c r="D253" s="51">
        <f t="shared" ca="1" si="6"/>
        <v>11</v>
      </c>
      <c r="E253" s="152" t="str">
        <f t="shared" si="7"/>
        <v>November</v>
      </c>
      <c r="F253" s="146" t="s">
        <v>465</v>
      </c>
      <c r="G253" s="154">
        <v>135965371</v>
      </c>
      <c r="H253" s="146" t="s">
        <v>256</v>
      </c>
      <c r="I253" s="52" t="s">
        <v>283</v>
      </c>
      <c r="J253" s="156" t="s">
        <v>266</v>
      </c>
      <c r="K253" s="53">
        <v>37104</v>
      </c>
      <c r="L253" s="151">
        <v>5</v>
      </c>
    </row>
    <row r="254" spans="1:12">
      <c r="A254" s="146" t="s">
        <v>537</v>
      </c>
      <c r="B254" s="155">
        <v>9198038161</v>
      </c>
      <c r="C254" s="153">
        <v>34721</v>
      </c>
      <c r="D254" s="51">
        <f t="shared" ca="1" si="6"/>
        <v>21</v>
      </c>
      <c r="E254" s="152" t="str">
        <f t="shared" si="7"/>
        <v>January</v>
      </c>
      <c r="F254" s="146" t="s">
        <v>465</v>
      </c>
      <c r="G254" s="154">
        <v>505966230</v>
      </c>
      <c r="H254" s="146" t="s">
        <v>256</v>
      </c>
      <c r="I254" s="52" t="s">
        <v>283</v>
      </c>
      <c r="J254" s="156" t="s">
        <v>271</v>
      </c>
      <c r="K254" s="53">
        <v>54600</v>
      </c>
      <c r="L254" s="151">
        <v>3</v>
      </c>
    </row>
    <row r="255" spans="1:12">
      <c r="A255" s="146" t="s">
        <v>538</v>
      </c>
      <c r="B255" s="155">
        <v>9193392642</v>
      </c>
      <c r="C255" s="153">
        <v>34993</v>
      </c>
      <c r="D255" s="51">
        <f t="shared" ca="1" si="6"/>
        <v>21</v>
      </c>
      <c r="E255" s="152" t="str">
        <f t="shared" si="7"/>
        <v>October</v>
      </c>
      <c r="F255" s="146" t="s">
        <v>465</v>
      </c>
      <c r="G255" s="154">
        <v>647552282</v>
      </c>
      <c r="H255" s="146" t="s">
        <v>247</v>
      </c>
      <c r="I255" s="52"/>
      <c r="J255" s="156" t="s">
        <v>280</v>
      </c>
      <c r="K255" s="53">
        <v>42552</v>
      </c>
      <c r="L255" s="151">
        <v>3</v>
      </c>
    </row>
    <row r="256" spans="1:12">
      <c r="A256" s="146" t="s">
        <v>818</v>
      </c>
      <c r="B256" s="155">
        <v>9196422185</v>
      </c>
      <c r="C256" s="153">
        <v>39105</v>
      </c>
      <c r="D256" s="51">
        <f t="shared" ca="1" si="6"/>
        <v>9</v>
      </c>
      <c r="E256" s="152" t="str">
        <f t="shared" si="7"/>
        <v>January</v>
      </c>
      <c r="F256" s="146" t="s">
        <v>465</v>
      </c>
      <c r="G256" s="154">
        <v>620336005</v>
      </c>
      <c r="H256" s="146" t="s">
        <v>256</v>
      </c>
      <c r="I256" s="52" t="s">
        <v>257</v>
      </c>
      <c r="J256" s="156" t="s">
        <v>280</v>
      </c>
      <c r="K256" s="53">
        <v>49272</v>
      </c>
      <c r="L256" s="151">
        <v>3</v>
      </c>
    </row>
    <row r="257" spans="1:12">
      <c r="A257" s="146" t="s">
        <v>652</v>
      </c>
      <c r="B257" s="155">
        <v>9198979762</v>
      </c>
      <c r="C257" s="153">
        <v>38348</v>
      </c>
      <c r="D257" s="51">
        <f t="shared" ca="1" si="6"/>
        <v>11</v>
      </c>
      <c r="E257" s="152" t="str">
        <f t="shared" si="7"/>
        <v>December</v>
      </c>
      <c r="F257" s="146" t="s">
        <v>465</v>
      </c>
      <c r="G257" s="154">
        <v>488831244</v>
      </c>
      <c r="H257" s="146" t="s">
        <v>261</v>
      </c>
      <c r="I257" s="52" t="s">
        <v>257</v>
      </c>
      <c r="J257" s="156" t="s">
        <v>245</v>
      </c>
      <c r="K257" s="53">
        <v>29352</v>
      </c>
      <c r="L257" s="151">
        <v>1</v>
      </c>
    </row>
    <row r="258" spans="1:12">
      <c r="A258" s="146" t="s">
        <v>979</v>
      </c>
      <c r="B258" s="155">
        <v>2524627771</v>
      </c>
      <c r="C258" s="153">
        <v>40998</v>
      </c>
      <c r="D258" s="51">
        <f t="shared" ref="D258:D321" ca="1" si="8">DATEDIF(C258,TODAY(),"Y")</f>
        <v>4</v>
      </c>
      <c r="E258" s="152" t="str">
        <f t="shared" ref="E258:E321" si="9">CHOOSE(MONTH(C258),"January","February","March","April","May","June","July","August","September","October","November","December")</f>
        <v>March</v>
      </c>
      <c r="F258" s="146" t="s">
        <v>465</v>
      </c>
      <c r="G258" s="154">
        <v>527185620</v>
      </c>
      <c r="H258" s="146" t="s">
        <v>256</v>
      </c>
      <c r="I258" s="52" t="s">
        <v>283</v>
      </c>
      <c r="J258" s="156" t="s">
        <v>271</v>
      </c>
      <c r="K258" s="53">
        <v>42360</v>
      </c>
      <c r="L258" s="151">
        <v>5</v>
      </c>
    </row>
    <row r="259" spans="1:12">
      <c r="A259" s="146" t="s">
        <v>654</v>
      </c>
      <c r="B259" s="155">
        <v>9194897618</v>
      </c>
      <c r="C259" s="153">
        <v>39815</v>
      </c>
      <c r="D259" s="51">
        <f t="shared" ca="1" si="8"/>
        <v>7</v>
      </c>
      <c r="E259" s="152" t="str">
        <f t="shared" si="9"/>
        <v>January</v>
      </c>
      <c r="F259" s="146" t="s">
        <v>465</v>
      </c>
      <c r="G259" s="154">
        <v>328787467</v>
      </c>
      <c r="H259" s="146" t="s">
        <v>252</v>
      </c>
      <c r="I259" s="52"/>
      <c r="J259" s="156" t="s">
        <v>245</v>
      </c>
      <c r="K259" s="53">
        <v>17299</v>
      </c>
      <c r="L259" s="151">
        <v>4</v>
      </c>
    </row>
    <row r="260" spans="1:12">
      <c r="A260" s="146" t="s">
        <v>687</v>
      </c>
      <c r="B260" s="155">
        <v>9192474315</v>
      </c>
      <c r="C260" s="153">
        <v>37172</v>
      </c>
      <c r="D260" s="51">
        <f t="shared" ca="1" si="8"/>
        <v>15</v>
      </c>
      <c r="E260" s="152" t="str">
        <f t="shared" si="9"/>
        <v>October</v>
      </c>
      <c r="F260" s="146" t="s">
        <v>465</v>
      </c>
      <c r="G260" s="154">
        <v>772163640</v>
      </c>
      <c r="H260" s="146" t="s">
        <v>256</v>
      </c>
      <c r="I260" s="52" t="s">
        <v>257</v>
      </c>
      <c r="J260" s="156" t="s">
        <v>245</v>
      </c>
      <c r="K260" s="53">
        <v>80736</v>
      </c>
      <c r="L260" s="151">
        <v>3</v>
      </c>
    </row>
    <row r="261" spans="1:12">
      <c r="A261" s="146" t="s">
        <v>760</v>
      </c>
      <c r="B261" s="155">
        <v>9192053579</v>
      </c>
      <c r="C261" s="153">
        <v>39265</v>
      </c>
      <c r="D261" s="51">
        <f t="shared" ca="1" si="8"/>
        <v>9</v>
      </c>
      <c r="E261" s="152" t="str">
        <f t="shared" si="9"/>
        <v>July</v>
      </c>
      <c r="F261" s="146" t="s">
        <v>465</v>
      </c>
      <c r="G261" s="154">
        <v>470935648</v>
      </c>
      <c r="H261" s="146" t="s">
        <v>247</v>
      </c>
      <c r="I261" s="52"/>
      <c r="J261" s="156" t="s">
        <v>245</v>
      </c>
      <c r="K261" s="53">
        <v>47616</v>
      </c>
      <c r="L261" s="151">
        <v>1</v>
      </c>
    </row>
    <row r="262" spans="1:12">
      <c r="A262" s="146" t="s">
        <v>897</v>
      </c>
      <c r="B262" s="155">
        <v>9195057530</v>
      </c>
      <c r="C262" s="153">
        <v>37446</v>
      </c>
      <c r="D262" s="51">
        <f t="shared" ca="1" si="8"/>
        <v>14</v>
      </c>
      <c r="E262" s="152" t="str">
        <f t="shared" si="9"/>
        <v>July</v>
      </c>
      <c r="F262" s="146" t="s">
        <v>465</v>
      </c>
      <c r="G262" s="154">
        <v>130619578</v>
      </c>
      <c r="H262" s="146" t="s">
        <v>247</v>
      </c>
      <c r="I262" s="52"/>
      <c r="J262" s="156" t="s">
        <v>285</v>
      </c>
      <c r="K262" s="53">
        <v>107424</v>
      </c>
      <c r="L262" s="151">
        <v>5</v>
      </c>
    </row>
    <row r="263" spans="1:12">
      <c r="A263" s="146" t="s">
        <v>657</v>
      </c>
      <c r="B263" s="155">
        <v>2527038033</v>
      </c>
      <c r="C263" s="153">
        <v>35399</v>
      </c>
      <c r="D263" s="51">
        <f t="shared" ca="1" si="8"/>
        <v>19</v>
      </c>
      <c r="E263" s="152" t="str">
        <f t="shared" si="9"/>
        <v>November</v>
      </c>
      <c r="F263" s="146" t="s">
        <v>465</v>
      </c>
      <c r="G263" s="154">
        <v>165917010</v>
      </c>
      <c r="H263" s="146" t="s">
        <v>247</v>
      </c>
      <c r="I263" s="52"/>
      <c r="J263" s="156" t="s">
        <v>266</v>
      </c>
      <c r="K263" s="53">
        <v>96828</v>
      </c>
      <c r="L263" s="151">
        <v>3</v>
      </c>
    </row>
    <row r="264" spans="1:12">
      <c r="A264" s="146" t="s">
        <v>545</v>
      </c>
      <c r="B264" s="155">
        <v>9192672603</v>
      </c>
      <c r="C264" s="153">
        <v>34449</v>
      </c>
      <c r="D264" s="51">
        <f t="shared" ca="1" si="8"/>
        <v>22</v>
      </c>
      <c r="E264" s="152" t="str">
        <f t="shared" si="9"/>
        <v>April</v>
      </c>
      <c r="F264" s="146" t="s">
        <v>465</v>
      </c>
      <c r="G264" s="154">
        <v>854806695</v>
      </c>
      <c r="H264" s="146" t="s">
        <v>256</v>
      </c>
      <c r="I264" s="52" t="s">
        <v>283</v>
      </c>
      <c r="J264" s="156" t="s">
        <v>271</v>
      </c>
      <c r="K264" s="53">
        <v>31428</v>
      </c>
      <c r="L264" s="151">
        <v>5</v>
      </c>
    </row>
    <row r="265" spans="1:12">
      <c r="A265" s="146" t="s">
        <v>899</v>
      </c>
      <c r="B265" s="155">
        <v>2525035104</v>
      </c>
      <c r="C265" s="153">
        <v>41198</v>
      </c>
      <c r="D265" s="51">
        <f t="shared" ca="1" si="8"/>
        <v>4</v>
      </c>
      <c r="E265" s="152" t="str">
        <f t="shared" si="9"/>
        <v>October</v>
      </c>
      <c r="F265" s="146" t="s">
        <v>465</v>
      </c>
      <c r="G265" s="154">
        <v>995858336</v>
      </c>
      <c r="H265" s="146" t="s">
        <v>247</v>
      </c>
      <c r="I265" s="52"/>
      <c r="J265" s="156" t="s">
        <v>271</v>
      </c>
      <c r="K265" s="53">
        <v>45408</v>
      </c>
      <c r="L265" s="151">
        <v>1</v>
      </c>
    </row>
    <row r="266" spans="1:12">
      <c r="A266" s="146" t="s">
        <v>691</v>
      </c>
      <c r="B266" s="155">
        <v>2524249228</v>
      </c>
      <c r="C266" s="153">
        <v>37263</v>
      </c>
      <c r="D266" s="51">
        <f t="shared" ca="1" si="8"/>
        <v>14</v>
      </c>
      <c r="E266" s="152" t="str">
        <f t="shared" si="9"/>
        <v>January</v>
      </c>
      <c r="F266" s="146" t="s">
        <v>465</v>
      </c>
      <c r="G266" s="154">
        <v>914326052</v>
      </c>
      <c r="H266" s="146" t="s">
        <v>256</v>
      </c>
      <c r="I266" s="52" t="s">
        <v>257</v>
      </c>
      <c r="J266" s="156" t="s">
        <v>271</v>
      </c>
      <c r="K266" s="53">
        <v>91430</v>
      </c>
      <c r="L266" s="151">
        <v>4</v>
      </c>
    </row>
    <row r="267" spans="1:12">
      <c r="A267" s="146" t="s">
        <v>401</v>
      </c>
      <c r="B267" s="155">
        <v>9193498222</v>
      </c>
      <c r="C267" s="153">
        <v>39549</v>
      </c>
      <c r="D267" s="51">
        <f t="shared" ca="1" si="8"/>
        <v>8</v>
      </c>
      <c r="E267" s="152" t="str">
        <f t="shared" si="9"/>
        <v>April</v>
      </c>
      <c r="F267" s="146" t="s">
        <v>465</v>
      </c>
      <c r="G267" s="154">
        <v>914330398</v>
      </c>
      <c r="H267" s="146" t="s">
        <v>256</v>
      </c>
      <c r="I267" s="52" t="s">
        <v>283</v>
      </c>
      <c r="J267" s="156" t="s">
        <v>285</v>
      </c>
      <c r="K267" s="53">
        <v>78864</v>
      </c>
      <c r="L267" s="151">
        <v>1</v>
      </c>
    </row>
    <row r="268" spans="1:12">
      <c r="A268" s="146" t="s">
        <v>550</v>
      </c>
      <c r="B268" s="155">
        <v>9195250630</v>
      </c>
      <c r="C268" s="153">
        <v>36812</v>
      </c>
      <c r="D268" s="51">
        <f t="shared" ca="1" si="8"/>
        <v>16</v>
      </c>
      <c r="E268" s="152" t="str">
        <f t="shared" si="9"/>
        <v>October</v>
      </c>
      <c r="F268" s="146" t="s">
        <v>465</v>
      </c>
      <c r="G268" s="154">
        <v>504914685</v>
      </c>
      <c r="H268" s="146" t="s">
        <v>256</v>
      </c>
      <c r="I268" s="52" t="s">
        <v>257</v>
      </c>
      <c r="J268" s="156" t="s">
        <v>280</v>
      </c>
      <c r="K268" s="53">
        <v>39852</v>
      </c>
      <c r="L268" s="151">
        <v>4</v>
      </c>
    </row>
    <row r="269" spans="1:12">
      <c r="A269" s="146" t="s">
        <v>553</v>
      </c>
      <c r="B269" s="155">
        <v>9197046530</v>
      </c>
      <c r="C269" s="153">
        <v>38772</v>
      </c>
      <c r="D269" s="51">
        <f t="shared" ca="1" si="8"/>
        <v>10</v>
      </c>
      <c r="E269" s="152" t="str">
        <f t="shared" si="9"/>
        <v>February</v>
      </c>
      <c r="F269" s="146" t="s">
        <v>465</v>
      </c>
      <c r="G269" s="154">
        <v>337370590</v>
      </c>
      <c r="H269" s="146" t="s">
        <v>247</v>
      </c>
      <c r="I269" s="52"/>
      <c r="J269" s="156" t="s">
        <v>285</v>
      </c>
      <c r="K269" s="53">
        <v>68892</v>
      </c>
      <c r="L269" s="151">
        <v>2</v>
      </c>
    </row>
    <row r="270" spans="1:12">
      <c r="A270" s="146" t="s">
        <v>341</v>
      </c>
      <c r="B270" s="155">
        <v>2525085320</v>
      </c>
      <c r="C270" s="153">
        <v>40183</v>
      </c>
      <c r="D270" s="51">
        <f t="shared" ca="1" si="8"/>
        <v>6</v>
      </c>
      <c r="E270" s="152" t="str">
        <f t="shared" si="9"/>
        <v>January</v>
      </c>
      <c r="F270" s="146" t="s">
        <v>465</v>
      </c>
      <c r="G270" s="154">
        <v>292993080</v>
      </c>
      <c r="H270" s="146" t="s">
        <v>256</v>
      </c>
      <c r="I270" s="52" t="s">
        <v>283</v>
      </c>
      <c r="J270" s="156" t="s">
        <v>266</v>
      </c>
      <c r="K270" s="53">
        <v>71304</v>
      </c>
      <c r="L270" s="151">
        <v>4</v>
      </c>
    </row>
    <row r="271" spans="1:12">
      <c r="A271" s="146" t="s">
        <v>559</v>
      </c>
      <c r="B271" s="155">
        <v>9198999194</v>
      </c>
      <c r="C271" s="153">
        <v>34891</v>
      </c>
      <c r="D271" s="51">
        <f t="shared" ca="1" si="8"/>
        <v>21</v>
      </c>
      <c r="E271" s="152" t="str">
        <f t="shared" si="9"/>
        <v>July</v>
      </c>
      <c r="F271" s="146" t="s">
        <v>465</v>
      </c>
      <c r="G271" s="154">
        <v>427260216</v>
      </c>
      <c r="H271" s="146" t="s">
        <v>261</v>
      </c>
      <c r="I271" s="52" t="s">
        <v>262</v>
      </c>
      <c r="J271" s="156" t="s">
        <v>245</v>
      </c>
      <c r="K271" s="53">
        <v>22674</v>
      </c>
      <c r="L271" s="151">
        <v>4</v>
      </c>
    </row>
    <row r="272" spans="1:12">
      <c r="A272" s="146" t="s">
        <v>902</v>
      </c>
      <c r="B272" s="155">
        <v>2525790872</v>
      </c>
      <c r="C272" s="153">
        <v>39392</v>
      </c>
      <c r="D272" s="51">
        <f t="shared" ca="1" si="8"/>
        <v>9</v>
      </c>
      <c r="E272" s="152" t="str">
        <f t="shared" si="9"/>
        <v>November</v>
      </c>
      <c r="F272" s="146" t="s">
        <v>465</v>
      </c>
      <c r="G272" s="154">
        <v>249929042</v>
      </c>
      <c r="H272" s="146" t="s">
        <v>256</v>
      </c>
      <c r="I272" s="52" t="s">
        <v>257</v>
      </c>
      <c r="J272" s="156" t="s">
        <v>285</v>
      </c>
      <c r="K272" s="53">
        <v>73272</v>
      </c>
      <c r="L272" s="151">
        <v>5</v>
      </c>
    </row>
    <row r="273" spans="1:12">
      <c r="A273" s="146" t="s">
        <v>560</v>
      </c>
      <c r="B273" s="155">
        <v>9194555389</v>
      </c>
      <c r="C273" s="153">
        <v>34796</v>
      </c>
      <c r="D273" s="51">
        <f t="shared" ca="1" si="8"/>
        <v>21</v>
      </c>
      <c r="E273" s="152" t="str">
        <f t="shared" si="9"/>
        <v>April</v>
      </c>
      <c r="F273" s="146" t="s">
        <v>465</v>
      </c>
      <c r="G273" s="154">
        <v>487810878</v>
      </c>
      <c r="H273" s="146" t="s">
        <v>256</v>
      </c>
      <c r="I273" s="52" t="s">
        <v>283</v>
      </c>
      <c r="J273" s="156" t="s">
        <v>280</v>
      </c>
      <c r="K273" s="53">
        <v>27996</v>
      </c>
      <c r="L273" s="151">
        <v>4</v>
      </c>
    </row>
    <row r="274" spans="1:12">
      <c r="A274" s="146" t="s">
        <v>988</v>
      </c>
      <c r="B274" s="155">
        <v>9196633751</v>
      </c>
      <c r="C274" s="153">
        <v>39017</v>
      </c>
      <c r="D274" s="51">
        <f t="shared" ca="1" si="8"/>
        <v>10</v>
      </c>
      <c r="E274" s="152" t="str">
        <f t="shared" si="9"/>
        <v>October</v>
      </c>
      <c r="F274" s="146" t="s">
        <v>465</v>
      </c>
      <c r="G274" s="154">
        <v>361925033</v>
      </c>
      <c r="H274" s="146" t="s">
        <v>247</v>
      </c>
      <c r="I274" s="52"/>
      <c r="J274" s="156" t="s">
        <v>245</v>
      </c>
      <c r="K274" s="53">
        <v>86196</v>
      </c>
      <c r="L274" s="151">
        <v>3</v>
      </c>
    </row>
    <row r="275" spans="1:12">
      <c r="A275" s="146" t="s">
        <v>460</v>
      </c>
      <c r="B275" s="155">
        <v>9194733288</v>
      </c>
      <c r="C275" s="153">
        <v>38594</v>
      </c>
      <c r="D275" s="51">
        <f t="shared" ca="1" si="8"/>
        <v>11</v>
      </c>
      <c r="E275" s="152" t="str">
        <f t="shared" si="9"/>
        <v>August</v>
      </c>
      <c r="F275" s="146" t="s">
        <v>465</v>
      </c>
      <c r="G275" s="154">
        <v>903618594</v>
      </c>
      <c r="H275" s="146" t="s">
        <v>256</v>
      </c>
      <c r="I275" s="52" t="s">
        <v>262</v>
      </c>
      <c r="J275" s="156" t="s">
        <v>285</v>
      </c>
      <c r="K275" s="53">
        <v>65076</v>
      </c>
      <c r="L275" s="151">
        <v>5</v>
      </c>
    </row>
    <row r="276" spans="1:12">
      <c r="A276" s="146" t="s">
        <v>904</v>
      </c>
      <c r="B276" s="155">
        <v>2523162442</v>
      </c>
      <c r="C276" s="153">
        <v>35913</v>
      </c>
      <c r="D276" s="51">
        <f t="shared" ca="1" si="8"/>
        <v>18</v>
      </c>
      <c r="E276" s="152" t="str">
        <f t="shared" si="9"/>
        <v>April</v>
      </c>
      <c r="F276" s="146" t="s">
        <v>465</v>
      </c>
      <c r="G276" s="154">
        <v>920477476</v>
      </c>
      <c r="H276" s="146" t="s">
        <v>247</v>
      </c>
      <c r="I276" s="52"/>
      <c r="J276" s="156" t="s">
        <v>285</v>
      </c>
      <c r="K276" s="53">
        <v>29292</v>
      </c>
      <c r="L276" s="151">
        <v>3</v>
      </c>
    </row>
    <row r="277" spans="1:12">
      <c r="A277" s="146" t="s">
        <v>1028</v>
      </c>
      <c r="B277" s="155">
        <v>2525998691</v>
      </c>
      <c r="C277" s="153">
        <v>39235</v>
      </c>
      <c r="D277" s="51">
        <f t="shared" ca="1" si="8"/>
        <v>9</v>
      </c>
      <c r="E277" s="152" t="str">
        <f t="shared" si="9"/>
        <v>June</v>
      </c>
      <c r="F277" s="146" t="s">
        <v>465</v>
      </c>
      <c r="G277" s="154">
        <v>412611335</v>
      </c>
      <c r="H277" s="146" t="s">
        <v>247</v>
      </c>
      <c r="I277" s="52"/>
      <c r="J277" s="156" t="s">
        <v>285</v>
      </c>
      <c r="K277" s="53">
        <v>49128</v>
      </c>
      <c r="L277" s="151">
        <v>2</v>
      </c>
    </row>
    <row r="278" spans="1:12">
      <c r="A278" s="146" t="s">
        <v>730</v>
      </c>
      <c r="B278" s="155">
        <v>2521667727</v>
      </c>
      <c r="C278" s="153">
        <v>37332</v>
      </c>
      <c r="D278" s="51">
        <f t="shared" ca="1" si="8"/>
        <v>14</v>
      </c>
      <c r="E278" s="152" t="str">
        <f t="shared" si="9"/>
        <v>March</v>
      </c>
      <c r="F278" s="146" t="s">
        <v>465</v>
      </c>
      <c r="G278" s="154">
        <v>356242235</v>
      </c>
      <c r="H278" s="146" t="s">
        <v>261</v>
      </c>
      <c r="I278" s="52" t="s">
        <v>283</v>
      </c>
      <c r="J278" s="156" t="s">
        <v>285</v>
      </c>
      <c r="K278" s="53">
        <v>56052</v>
      </c>
      <c r="L278" s="151">
        <v>3</v>
      </c>
    </row>
    <row r="279" spans="1:12">
      <c r="A279" s="146" t="s">
        <v>825</v>
      </c>
      <c r="B279" s="155">
        <v>9193709408</v>
      </c>
      <c r="C279" s="153">
        <v>40266</v>
      </c>
      <c r="D279" s="51">
        <f t="shared" ca="1" si="8"/>
        <v>6</v>
      </c>
      <c r="E279" s="152" t="str">
        <f t="shared" si="9"/>
        <v>March</v>
      </c>
      <c r="F279" s="146" t="s">
        <v>465</v>
      </c>
      <c r="G279" s="154">
        <v>318068637</v>
      </c>
      <c r="H279" s="146" t="s">
        <v>247</v>
      </c>
      <c r="I279" s="52"/>
      <c r="J279" s="156" t="s">
        <v>245</v>
      </c>
      <c r="K279" s="53">
        <v>75336</v>
      </c>
      <c r="L279" s="151">
        <v>4</v>
      </c>
    </row>
    <row r="280" spans="1:12">
      <c r="A280" s="146" t="s">
        <v>731</v>
      </c>
      <c r="B280" s="155">
        <v>2523454032</v>
      </c>
      <c r="C280" s="153">
        <v>37060</v>
      </c>
      <c r="D280" s="51">
        <f t="shared" ca="1" si="8"/>
        <v>15</v>
      </c>
      <c r="E280" s="152" t="str">
        <f t="shared" si="9"/>
        <v>June</v>
      </c>
      <c r="F280" s="146" t="s">
        <v>465</v>
      </c>
      <c r="G280" s="154">
        <v>319449613</v>
      </c>
      <c r="H280" s="146" t="s">
        <v>256</v>
      </c>
      <c r="I280" s="52" t="s">
        <v>267</v>
      </c>
      <c r="J280" s="156" t="s">
        <v>285</v>
      </c>
      <c r="K280" s="53">
        <v>45312</v>
      </c>
      <c r="L280" s="151">
        <v>2</v>
      </c>
    </row>
    <row r="281" spans="1:12">
      <c r="A281" s="146" t="s">
        <v>906</v>
      </c>
      <c r="B281" s="155">
        <v>9192687844</v>
      </c>
      <c r="C281" s="153">
        <v>41408</v>
      </c>
      <c r="D281" s="51">
        <f t="shared" ca="1" si="8"/>
        <v>3</v>
      </c>
      <c r="E281" s="152" t="str">
        <f t="shared" si="9"/>
        <v>May</v>
      </c>
      <c r="F281" s="146" t="s">
        <v>465</v>
      </c>
      <c r="G281" s="154">
        <v>843064707</v>
      </c>
      <c r="H281" s="146" t="s">
        <v>247</v>
      </c>
      <c r="I281" s="52"/>
      <c r="J281" s="156" t="s">
        <v>271</v>
      </c>
      <c r="K281" s="53">
        <v>68532</v>
      </c>
      <c r="L281" s="151">
        <v>3</v>
      </c>
    </row>
    <row r="282" spans="1:12">
      <c r="A282" s="146" t="s">
        <v>992</v>
      </c>
      <c r="B282" s="155">
        <v>9196689962</v>
      </c>
      <c r="C282" s="153">
        <v>35884</v>
      </c>
      <c r="D282" s="51">
        <f t="shared" ca="1" si="8"/>
        <v>18</v>
      </c>
      <c r="E282" s="152" t="str">
        <f t="shared" si="9"/>
        <v>March</v>
      </c>
      <c r="F282" s="146" t="s">
        <v>465</v>
      </c>
      <c r="G282" s="154">
        <v>962553692</v>
      </c>
      <c r="H282" s="146" t="s">
        <v>256</v>
      </c>
      <c r="I282" s="52" t="s">
        <v>283</v>
      </c>
      <c r="J282" s="156" t="s">
        <v>271</v>
      </c>
      <c r="K282" s="53">
        <v>103512</v>
      </c>
      <c r="L282" s="151">
        <v>3</v>
      </c>
    </row>
    <row r="283" spans="1:12">
      <c r="A283" s="146" t="s">
        <v>564</v>
      </c>
      <c r="B283" s="155">
        <v>9196410575</v>
      </c>
      <c r="C283" s="153">
        <v>34502</v>
      </c>
      <c r="D283" s="51">
        <f t="shared" ca="1" si="8"/>
        <v>22</v>
      </c>
      <c r="E283" s="152" t="str">
        <f t="shared" si="9"/>
        <v>June</v>
      </c>
      <c r="F283" s="146" t="s">
        <v>465</v>
      </c>
      <c r="G283" s="154">
        <v>428024993</v>
      </c>
      <c r="H283" s="146" t="s">
        <v>247</v>
      </c>
      <c r="I283" s="52"/>
      <c r="J283" s="156" t="s">
        <v>285</v>
      </c>
      <c r="K283" s="53">
        <v>38628</v>
      </c>
      <c r="L283" s="151">
        <v>3</v>
      </c>
    </row>
    <row r="284" spans="1:12">
      <c r="A284" s="146" t="s">
        <v>346</v>
      </c>
      <c r="B284" s="155">
        <v>9198256039</v>
      </c>
      <c r="C284" s="153">
        <v>35153</v>
      </c>
      <c r="D284" s="51">
        <f t="shared" ca="1" si="8"/>
        <v>20</v>
      </c>
      <c r="E284" s="152" t="str">
        <f t="shared" si="9"/>
        <v>March</v>
      </c>
      <c r="F284" s="146" t="s">
        <v>465</v>
      </c>
      <c r="G284" s="154">
        <v>219245495</v>
      </c>
      <c r="H284" s="146" t="s">
        <v>247</v>
      </c>
      <c r="I284" s="52"/>
      <c r="J284" s="156" t="s">
        <v>271</v>
      </c>
      <c r="K284" s="53">
        <v>75972</v>
      </c>
      <c r="L284" s="151">
        <v>3</v>
      </c>
    </row>
    <row r="285" spans="1:12">
      <c r="A285" s="146" t="s">
        <v>440</v>
      </c>
      <c r="B285" s="155">
        <v>2524138160</v>
      </c>
      <c r="C285" s="153">
        <v>38059</v>
      </c>
      <c r="D285" s="51">
        <f t="shared" ca="1" si="8"/>
        <v>12</v>
      </c>
      <c r="E285" s="152" t="str">
        <f t="shared" si="9"/>
        <v>March</v>
      </c>
      <c r="F285" s="146" t="s">
        <v>465</v>
      </c>
      <c r="G285" s="154">
        <v>213584397</v>
      </c>
      <c r="H285" s="146" t="s">
        <v>256</v>
      </c>
      <c r="I285" s="52" t="s">
        <v>283</v>
      </c>
      <c r="J285" s="156" t="s">
        <v>271</v>
      </c>
      <c r="K285" s="53">
        <v>75300</v>
      </c>
      <c r="L285" s="151">
        <v>3</v>
      </c>
    </row>
    <row r="286" spans="1:12">
      <c r="A286" s="146" t="s">
        <v>695</v>
      </c>
      <c r="B286" s="155">
        <v>2522263363</v>
      </c>
      <c r="C286" s="153">
        <v>36710</v>
      </c>
      <c r="D286" s="51">
        <f t="shared" ca="1" si="8"/>
        <v>16</v>
      </c>
      <c r="E286" s="152" t="str">
        <f t="shared" si="9"/>
        <v>July</v>
      </c>
      <c r="F286" s="146" t="s">
        <v>465</v>
      </c>
      <c r="G286" s="154">
        <v>722630791</v>
      </c>
      <c r="H286" s="146" t="s">
        <v>252</v>
      </c>
      <c r="I286" s="52"/>
      <c r="J286" s="156" t="s">
        <v>285</v>
      </c>
      <c r="K286" s="53">
        <v>10685</v>
      </c>
      <c r="L286" s="151">
        <v>3</v>
      </c>
    </row>
    <row r="287" spans="1:12">
      <c r="A287" s="146" t="s">
        <v>735</v>
      </c>
      <c r="B287" s="155">
        <v>9194743535</v>
      </c>
      <c r="C287" s="153">
        <v>34879</v>
      </c>
      <c r="D287" s="51">
        <f t="shared" ca="1" si="8"/>
        <v>21</v>
      </c>
      <c r="E287" s="152" t="str">
        <f t="shared" si="9"/>
        <v>June</v>
      </c>
      <c r="F287" s="146" t="s">
        <v>465</v>
      </c>
      <c r="G287" s="154">
        <v>380653169</v>
      </c>
      <c r="H287" s="146" t="s">
        <v>256</v>
      </c>
      <c r="I287" s="52" t="s">
        <v>283</v>
      </c>
      <c r="J287" s="156" t="s">
        <v>271</v>
      </c>
      <c r="K287" s="53">
        <v>98376</v>
      </c>
      <c r="L287" s="151">
        <v>2</v>
      </c>
    </row>
    <row r="288" spans="1:12">
      <c r="A288" s="146" t="s">
        <v>377</v>
      </c>
      <c r="B288" s="155">
        <v>9195267252</v>
      </c>
      <c r="C288" s="153">
        <v>39560</v>
      </c>
      <c r="D288" s="51">
        <f t="shared" ca="1" si="8"/>
        <v>8</v>
      </c>
      <c r="E288" s="152" t="str">
        <f t="shared" si="9"/>
        <v>April</v>
      </c>
      <c r="F288" s="146" t="s">
        <v>465</v>
      </c>
      <c r="G288" s="154">
        <v>276980518</v>
      </c>
      <c r="H288" s="146" t="s">
        <v>256</v>
      </c>
      <c r="I288" s="52" t="s">
        <v>276</v>
      </c>
      <c r="J288" s="156" t="s">
        <v>285</v>
      </c>
      <c r="K288" s="53">
        <v>35304</v>
      </c>
      <c r="L288" s="151">
        <v>5</v>
      </c>
    </row>
    <row r="289" spans="1:12">
      <c r="A289" s="146" t="s">
        <v>1029</v>
      </c>
      <c r="B289" s="155">
        <v>9196705508</v>
      </c>
      <c r="C289" s="153">
        <v>38801</v>
      </c>
      <c r="D289" s="51">
        <f t="shared" ca="1" si="8"/>
        <v>10</v>
      </c>
      <c r="E289" s="152" t="str">
        <f t="shared" si="9"/>
        <v>March</v>
      </c>
      <c r="F289" s="146" t="s">
        <v>465</v>
      </c>
      <c r="G289" s="154">
        <v>378281658</v>
      </c>
      <c r="H289" s="146" t="s">
        <v>247</v>
      </c>
      <c r="I289" s="52"/>
      <c r="J289" s="156" t="s">
        <v>285</v>
      </c>
      <c r="K289" s="53">
        <v>47160</v>
      </c>
      <c r="L289" s="151">
        <v>2</v>
      </c>
    </row>
    <row r="290" spans="1:12">
      <c r="A290" s="146" t="s">
        <v>573</v>
      </c>
      <c r="B290" s="155">
        <v>2522126686</v>
      </c>
      <c r="C290" s="153">
        <v>35211</v>
      </c>
      <c r="D290" s="51">
        <f t="shared" ca="1" si="8"/>
        <v>20</v>
      </c>
      <c r="E290" s="152" t="str">
        <f t="shared" si="9"/>
        <v>May</v>
      </c>
      <c r="F290" s="146" t="s">
        <v>465</v>
      </c>
      <c r="G290" s="154">
        <v>720538680</v>
      </c>
      <c r="H290" s="146" t="s">
        <v>256</v>
      </c>
      <c r="I290" s="52" t="s">
        <v>257</v>
      </c>
      <c r="J290" s="156" t="s">
        <v>251</v>
      </c>
      <c r="K290" s="53">
        <v>97212</v>
      </c>
      <c r="L290" s="151">
        <v>4</v>
      </c>
    </row>
    <row r="291" spans="1:12">
      <c r="A291" s="146" t="s">
        <v>574</v>
      </c>
      <c r="B291" s="155">
        <v>2528973095</v>
      </c>
      <c r="C291" s="153">
        <v>37011</v>
      </c>
      <c r="D291" s="51">
        <f t="shared" ca="1" si="8"/>
        <v>15</v>
      </c>
      <c r="E291" s="152" t="str">
        <f t="shared" si="9"/>
        <v>April</v>
      </c>
      <c r="F291" s="146" t="s">
        <v>465</v>
      </c>
      <c r="G291" s="154">
        <v>969216994</v>
      </c>
      <c r="H291" s="146" t="s">
        <v>247</v>
      </c>
      <c r="I291" s="52"/>
      <c r="J291" s="156" t="s">
        <v>280</v>
      </c>
      <c r="K291" s="53">
        <v>30156</v>
      </c>
      <c r="L291" s="151">
        <v>5</v>
      </c>
    </row>
    <row r="292" spans="1:12">
      <c r="A292" s="146" t="s">
        <v>351</v>
      </c>
      <c r="B292" s="155">
        <v>2528669137</v>
      </c>
      <c r="C292" s="153">
        <v>36926</v>
      </c>
      <c r="D292" s="51">
        <f t="shared" ca="1" si="8"/>
        <v>15</v>
      </c>
      <c r="E292" s="152" t="str">
        <f t="shared" si="9"/>
        <v>February</v>
      </c>
      <c r="F292" s="146" t="s">
        <v>465</v>
      </c>
      <c r="G292" s="154">
        <v>923123594</v>
      </c>
      <c r="H292" s="146" t="s">
        <v>256</v>
      </c>
      <c r="I292" s="52" t="s">
        <v>276</v>
      </c>
      <c r="J292" s="156" t="s">
        <v>251</v>
      </c>
      <c r="K292" s="53">
        <v>97680</v>
      </c>
      <c r="L292" s="151">
        <v>2</v>
      </c>
    </row>
    <row r="293" spans="1:12">
      <c r="A293" s="146" t="s">
        <v>911</v>
      </c>
      <c r="B293" s="155">
        <v>9197819805</v>
      </c>
      <c r="C293" s="153">
        <v>40076</v>
      </c>
      <c r="D293" s="51">
        <f t="shared" ca="1" si="8"/>
        <v>7</v>
      </c>
      <c r="E293" s="152" t="str">
        <f t="shared" si="9"/>
        <v>September</v>
      </c>
      <c r="F293" s="146" t="s">
        <v>465</v>
      </c>
      <c r="G293" s="154">
        <v>575270646</v>
      </c>
      <c r="H293" s="146" t="s">
        <v>256</v>
      </c>
      <c r="I293" s="52" t="s">
        <v>257</v>
      </c>
      <c r="J293" s="156" t="s">
        <v>280</v>
      </c>
      <c r="K293" s="53">
        <v>55464</v>
      </c>
      <c r="L293" s="151">
        <v>2</v>
      </c>
    </row>
    <row r="294" spans="1:12">
      <c r="A294" s="146" t="s">
        <v>1000</v>
      </c>
      <c r="B294" s="155">
        <v>2525344270</v>
      </c>
      <c r="C294" s="153">
        <v>38237</v>
      </c>
      <c r="D294" s="51">
        <f t="shared" ca="1" si="8"/>
        <v>12</v>
      </c>
      <c r="E294" s="152" t="str">
        <f t="shared" si="9"/>
        <v>September</v>
      </c>
      <c r="F294" s="146" t="s">
        <v>465</v>
      </c>
      <c r="G294" s="154">
        <v>468053610</v>
      </c>
      <c r="H294" s="146" t="s">
        <v>256</v>
      </c>
      <c r="I294" s="52" t="s">
        <v>283</v>
      </c>
      <c r="J294" s="156" t="s">
        <v>271</v>
      </c>
      <c r="K294" s="53">
        <v>82896</v>
      </c>
      <c r="L294" s="151">
        <v>3</v>
      </c>
    </row>
    <row r="295" spans="1:12">
      <c r="A295" s="146" t="s">
        <v>662</v>
      </c>
      <c r="B295" s="155">
        <v>9192375580</v>
      </c>
      <c r="C295" s="153">
        <v>37150</v>
      </c>
      <c r="D295" s="51">
        <f t="shared" ca="1" si="8"/>
        <v>15</v>
      </c>
      <c r="E295" s="152" t="str">
        <f t="shared" si="9"/>
        <v>September</v>
      </c>
      <c r="F295" s="146" t="s">
        <v>465</v>
      </c>
      <c r="G295" s="154">
        <v>594680949</v>
      </c>
      <c r="H295" s="146" t="s">
        <v>261</v>
      </c>
      <c r="I295" s="52" t="s">
        <v>283</v>
      </c>
      <c r="J295" s="156" t="s">
        <v>285</v>
      </c>
      <c r="K295" s="53">
        <v>20724</v>
      </c>
      <c r="L295" s="151">
        <v>5</v>
      </c>
    </row>
    <row r="296" spans="1:12">
      <c r="A296" s="146" t="s">
        <v>663</v>
      </c>
      <c r="B296" s="155">
        <v>9192380636</v>
      </c>
      <c r="C296" s="153">
        <v>35917</v>
      </c>
      <c r="D296" s="51">
        <f t="shared" ca="1" si="8"/>
        <v>18</v>
      </c>
      <c r="E296" s="152" t="str">
        <f t="shared" si="9"/>
        <v>May</v>
      </c>
      <c r="F296" s="146" t="s">
        <v>465</v>
      </c>
      <c r="G296" s="154">
        <v>930282755</v>
      </c>
      <c r="H296" s="146" t="s">
        <v>261</v>
      </c>
      <c r="I296" s="52" t="s">
        <v>257</v>
      </c>
      <c r="J296" s="156" t="s">
        <v>285</v>
      </c>
      <c r="K296" s="53">
        <v>55542</v>
      </c>
      <c r="L296" s="151">
        <v>5</v>
      </c>
    </row>
    <row r="297" spans="1:12">
      <c r="A297" s="146" t="s">
        <v>665</v>
      </c>
      <c r="B297" s="155">
        <v>9195915044</v>
      </c>
      <c r="C297" s="153">
        <v>37141</v>
      </c>
      <c r="D297" s="51">
        <f t="shared" ca="1" si="8"/>
        <v>15</v>
      </c>
      <c r="E297" s="152" t="str">
        <f t="shared" si="9"/>
        <v>September</v>
      </c>
      <c r="F297" s="146" t="s">
        <v>465</v>
      </c>
      <c r="G297" s="154">
        <v>177332873</v>
      </c>
      <c r="H297" s="146" t="s">
        <v>256</v>
      </c>
      <c r="I297" s="52" t="s">
        <v>257</v>
      </c>
      <c r="J297" s="156" t="s">
        <v>280</v>
      </c>
      <c r="K297" s="53">
        <v>48072</v>
      </c>
      <c r="L297" s="151">
        <v>3</v>
      </c>
    </row>
    <row r="298" spans="1:12">
      <c r="A298" s="146" t="s">
        <v>585</v>
      </c>
      <c r="B298" s="155">
        <v>9195228292</v>
      </c>
      <c r="C298" s="153">
        <v>36239</v>
      </c>
      <c r="D298" s="51">
        <f t="shared" ca="1" si="8"/>
        <v>17</v>
      </c>
      <c r="E298" s="152" t="str">
        <f t="shared" si="9"/>
        <v>March</v>
      </c>
      <c r="F298" s="146" t="s">
        <v>465</v>
      </c>
      <c r="G298" s="154">
        <v>612295735</v>
      </c>
      <c r="H298" s="146" t="s">
        <v>256</v>
      </c>
      <c r="I298" s="52" t="s">
        <v>283</v>
      </c>
      <c r="J298" s="156" t="s">
        <v>245</v>
      </c>
      <c r="K298" s="53">
        <v>87773</v>
      </c>
      <c r="L298" s="151">
        <v>5</v>
      </c>
    </row>
    <row r="299" spans="1:12">
      <c r="A299" s="146" t="s">
        <v>738</v>
      </c>
      <c r="B299" s="155">
        <v>9192354572</v>
      </c>
      <c r="C299" s="153">
        <v>36558</v>
      </c>
      <c r="D299" s="51">
        <f t="shared" ca="1" si="8"/>
        <v>16</v>
      </c>
      <c r="E299" s="152" t="str">
        <f t="shared" si="9"/>
        <v>February</v>
      </c>
      <c r="F299" s="146" t="s">
        <v>465</v>
      </c>
      <c r="G299" s="154">
        <v>881975933</v>
      </c>
      <c r="H299" s="146" t="s">
        <v>256</v>
      </c>
      <c r="I299" s="52" t="s">
        <v>267</v>
      </c>
      <c r="J299" s="156" t="s">
        <v>266</v>
      </c>
      <c r="K299" s="53">
        <v>42552</v>
      </c>
      <c r="L299" s="151">
        <v>5</v>
      </c>
    </row>
    <row r="300" spans="1:12">
      <c r="A300" s="146" t="s">
        <v>587</v>
      </c>
      <c r="B300" s="155">
        <v>2526657361</v>
      </c>
      <c r="C300" s="153">
        <v>36850</v>
      </c>
      <c r="D300" s="51">
        <f t="shared" ca="1" si="8"/>
        <v>15</v>
      </c>
      <c r="E300" s="152" t="str">
        <f t="shared" si="9"/>
        <v>November</v>
      </c>
      <c r="F300" s="146" t="s">
        <v>465</v>
      </c>
      <c r="G300" s="154">
        <v>354619285</v>
      </c>
      <c r="H300" s="146" t="s">
        <v>256</v>
      </c>
      <c r="I300" s="52" t="s">
        <v>262</v>
      </c>
      <c r="J300" s="156" t="s">
        <v>245</v>
      </c>
      <c r="K300" s="53">
        <v>27192</v>
      </c>
      <c r="L300" s="151">
        <v>2</v>
      </c>
    </row>
    <row r="301" spans="1:12">
      <c r="A301" s="146" t="s">
        <v>588</v>
      </c>
      <c r="B301" s="155">
        <v>9193302808</v>
      </c>
      <c r="C301" s="153">
        <v>34376</v>
      </c>
      <c r="D301" s="51">
        <f t="shared" ca="1" si="8"/>
        <v>22</v>
      </c>
      <c r="E301" s="152" t="str">
        <f t="shared" si="9"/>
        <v>February</v>
      </c>
      <c r="F301" s="146" t="s">
        <v>465</v>
      </c>
      <c r="G301" s="154">
        <v>259573806</v>
      </c>
      <c r="H301" s="146" t="s">
        <v>256</v>
      </c>
      <c r="I301" s="52" t="s">
        <v>276</v>
      </c>
      <c r="J301" s="156" t="s">
        <v>271</v>
      </c>
      <c r="K301" s="53">
        <v>72456</v>
      </c>
      <c r="L301" s="151">
        <v>4</v>
      </c>
    </row>
    <row r="302" spans="1:12">
      <c r="A302" s="146" t="s">
        <v>912</v>
      </c>
      <c r="B302" s="155">
        <v>9192232339</v>
      </c>
      <c r="C302" s="153">
        <v>40931</v>
      </c>
      <c r="D302" s="51">
        <f t="shared" ca="1" si="8"/>
        <v>4</v>
      </c>
      <c r="E302" s="152" t="str">
        <f t="shared" si="9"/>
        <v>January</v>
      </c>
      <c r="F302" s="146" t="s">
        <v>465</v>
      </c>
      <c r="G302" s="154">
        <v>798466688</v>
      </c>
      <c r="H302" s="146" t="s">
        <v>256</v>
      </c>
      <c r="I302" s="52" t="s">
        <v>257</v>
      </c>
      <c r="J302" s="156" t="s">
        <v>285</v>
      </c>
      <c r="K302" s="53">
        <v>42720</v>
      </c>
      <c r="L302" s="151">
        <v>5</v>
      </c>
    </row>
    <row r="303" spans="1:12">
      <c r="A303" s="146" t="s">
        <v>1003</v>
      </c>
      <c r="B303" s="155">
        <v>9193695179</v>
      </c>
      <c r="C303" s="153">
        <v>36660</v>
      </c>
      <c r="D303" s="51">
        <f t="shared" ca="1" si="8"/>
        <v>16</v>
      </c>
      <c r="E303" s="152" t="str">
        <f t="shared" si="9"/>
        <v>May</v>
      </c>
      <c r="F303" s="146" t="s">
        <v>465</v>
      </c>
      <c r="G303" s="154">
        <v>618535019</v>
      </c>
      <c r="H303" s="146" t="s">
        <v>256</v>
      </c>
      <c r="I303" s="52" t="s">
        <v>283</v>
      </c>
      <c r="J303" s="156" t="s">
        <v>285</v>
      </c>
      <c r="K303" s="53">
        <v>107688</v>
      </c>
      <c r="L303" s="151">
        <v>5</v>
      </c>
    </row>
    <row r="304" spans="1:12">
      <c r="A304" s="146" t="s">
        <v>286</v>
      </c>
      <c r="B304" s="155">
        <v>2525228252</v>
      </c>
      <c r="C304" s="153">
        <v>36666</v>
      </c>
      <c r="D304" s="51">
        <f t="shared" ca="1" si="8"/>
        <v>16</v>
      </c>
      <c r="E304" s="152" t="str">
        <f t="shared" si="9"/>
        <v>May</v>
      </c>
      <c r="F304" s="146" t="s">
        <v>465</v>
      </c>
      <c r="G304" s="154">
        <v>416394493</v>
      </c>
      <c r="H304" s="146" t="s">
        <v>256</v>
      </c>
      <c r="I304" s="52" t="s">
        <v>267</v>
      </c>
      <c r="J304" s="156" t="s">
        <v>245</v>
      </c>
      <c r="K304" s="53">
        <v>66540</v>
      </c>
      <c r="L304" s="151">
        <v>5</v>
      </c>
    </row>
    <row r="305" spans="1:12">
      <c r="A305" s="146" t="s">
        <v>592</v>
      </c>
      <c r="B305" s="155">
        <v>9193204992</v>
      </c>
      <c r="C305" s="153">
        <v>37328</v>
      </c>
      <c r="D305" s="51">
        <f t="shared" ca="1" si="8"/>
        <v>14</v>
      </c>
      <c r="E305" s="152" t="str">
        <f t="shared" si="9"/>
        <v>March</v>
      </c>
      <c r="F305" s="146" t="s">
        <v>465</v>
      </c>
      <c r="G305" s="154">
        <v>396727504</v>
      </c>
      <c r="H305" s="146" t="s">
        <v>247</v>
      </c>
      <c r="I305" s="52"/>
      <c r="J305" s="156" t="s">
        <v>280</v>
      </c>
      <c r="K305" s="53">
        <v>50208</v>
      </c>
      <c r="L305" s="151">
        <v>2</v>
      </c>
    </row>
    <row r="306" spans="1:12">
      <c r="A306" s="146" t="s">
        <v>623</v>
      </c>
      <c r="B306" s="155">
        <v>9191765611</v>
      </c>
      <c r="C306" s="153">
        <v>41306</v>
      </c>
      <c r="D306" s="51">
        <f t="shared" ca="1" si="8"/>
        <v>3</v>
      </c>
      <c r="E306" s="152" t="str">
        <f t="shared" si="9"/>
        <v>February</v>
      </c>
      <c r="F306" s="146" t="s">
        <v>465</v>
      </c>
      <c r="G306" s="154">
        <v>466947318</v>
      </c>
      <c r="H306" s="146" t="s">
        <v>256</v>
      </c>
      <c r="I306" s="52" t="s">
        <v>257</v>
      </c>
      <c r="J306" s="156" t="s">
        <v>245</v>
      </c>
      <c r="K306" s="53">
        <v>52584</v>
      </c>
      <c r="L306" s="151">
        <v>2</v>
      </c>
    </row>
    <row r="307" spans="1:12">
      <c r="A307" s="146" t="s">
        <v>355</v>
      </c>
      <c r="B307" s="155">
        <v>2522140101</v>
      </c>
      <c r="C307" s="153">
        <v>34781</v>
      </c>
      <c r="D307" s="51">
        <f t="shared" ca="1" si="8"/>
        <v>21</v>
      </c>
      <c r="E307" s="152" t="str">
        <f t="shared" si="9"/>
        <v>March</v>
      </c>
      <c r="F307" s="146" t="s">
        <v>465</v>
      </c>
      <c r="G307" s="154">
        <v>138607245</v>
      </c>
      <c r="H307" s="146" t="s">
        <v>247</v>
      </c>
      <c r="I307" s="52"/>
      <c r="J307" s="156" t="s">
        <v>245</v>
      </c>
      <c r="K307" s="53">
        <v>95064</v>
      </c>
      <c r="L307" s="151">
        <v>4</v>
      </c>
    </row>
    <row r="308" spans="1:12">
      <c r="A308" s="146" t="s">
        <v>1470</v>
      </c>
      <c r="B308" s="155">
        <v>2527919826</v>
      </c>
      <c r="C308" s="153">
        <v>36088</v>
      </c>
      <c r="D308" s="51">
        <f t="shared" ca="1" si="8"/>
        <v>18</v>
      </c>
      <c r="E308" s="152" t="str">
        <f t="shared" si="9"/>
        <v>October</v>
      </c>
      <c r="F308" s="146" t="s">
        <v>465</v>
      </c>
      <c r="G308" s="154">
        <v>906321388</v>
      </c>
      <c r="H308" s="146" t="s">
        <v>247</v>
      </c>
      <c r="I308" s="52"/>
      <c r="J308" s="156" t="s">
        <v>266</v>
      </c>
      <c r="K308" s="53">
        <v>33912</v>
      </c>
      <c r="L308" s="151">
        <v>5</v>
      </c>
    </row>
    <row r="309" spans="1:12">
      <c r="A309" s="146" t="s">
        <v>593</v>
      </c>
      <c r="B309" s="155">
        <v>2527461285</v>
      </c>
      <c r="C309" s="153">
        <v>36905</v>
      </c>
      <c r="D309" s="51">
        <f t="shared" ca="1" si="8"/>
        <v>15</v>
      </c>
      <c r="E309" s="152" t="str">
        <f t="shared" si="9"/>
        <v>January</v>
      </c>
      <c r="F309" s="146" t="s">
        <v>465</v>
      </c>
      <c r="G309" s="154">
        <v>569701716</v>
      </c>
      <c r="H309" s="146" t="s">
        <v>261</v>
      </c>
      <c r="I309" s="52" t="s">
        <v>267</v>
      </c>
      <c r="J309" s="156" t="s">
        <v>271</v>
      </c>
      <c r="K309" s="53">
        <v>26004</v>
      </c>
      <c r="L309" s="151">
        <v>2</v>
      </c>
    </row>
    <row r="310" spans="1:12">
      <c r="A310" s="146" t="s">
        <v>837</v>
      </c>
      <c r="B310" s="155">
        <v>9195197037</v>
      </c>
      <c r="C310" s="153">
        <v>39049</v>
      </c>
      <c r="D310" s="51">
        <f t="shared" ca="1" si="8"/>
        <v>9</v>
      </c>
      <c r="E310" s="152" t="str">
        <f t="shared" si="9"/>
        <v>November</v>
      </c>
      <c r="F310" s="146" t="s">
        <v>465</v>
      </c>
      <c r="G310" s="154">
        <v>399060898</v>
      </c>
      <c r="H310" s="146" t="s">
        <v>247</v>
      </c>
      <c r="I310" s="52"/>
      <c r="J310" s="156" t="s">
        <v>285</v>
      </c>
      <c r="K310" s="53">
        <v>45576</v>
      </c>
      <c r="L310" s="151">
        <v>4</v>
      </c>
    </row>
    <row r="311" spans="1:12">
      <c r="A311" s="146" t="s">
        <v>1010</v>
      </c>
      <c r="B311" s="155">
        <v>2528405900</v>
      </c>
      <c r="C311" s="153">
        <v>36557</v>
      </c>
      <c r="D311" s="51">
        <f t="shared" ca="1" si="8"/>
        <v>16</v>
      </c>
      <c r="E311" s="152" t="str">
        <f t="shared" si="9"/>
        <v>February</v>
      </c>
      <c r="F311" s="146" t="s">
        <v>465</v>
      </c>
      <c r="G311" s="154">
        <v>661850671</v>
      </c>
      <c r="H311" s="146" t="s">
        <v>252</v>
      </c>
      <c r="I311" s="52"/>
      <c r="J311" s="156" t="s">
        <v>245</v>
      </c>
      <c r="K311" s="53">
        <v>35011</v>
      </c>
      <c r="L311" s="151">
        <v>3</v>
      </c>
    </row>
    <row r="312" spans="1:12">
      <c r="A312" s="146" t="s">
        <v>697</v>
      </c>
      <c r="B312" s="155">
        <v>2526213620</v>
      </c>
      <c r="C312" s="153">
        <v>34448</v>
      </c>
      <c r="D312" s="51">
        <f t="shared" ca="1" si="8"/>
        <v>22</v>
      </c>
      <c r="E312" s="152" t="str">
        <f t="shared" si="9"/>
        <v>April</v>
      </c>
      <c r="F312" s="146" t="s">
        <v>465</v>
      </c>
      <c r="G312" s="154">
        <v>467030396</v>
      </c>
      <c r="H312" s="146" t="s">
        <v>256</v>
      </c>
      <c r="I312" s="52" t="s">
        <v>283</v>
      </c>
      <c r="J312" s="156" t="s">
        <v>245</v>
      </c>
      <c r="K312" s="53">
        <v>70692</v>
      </c>
      <c r="L312" s="151">
        <v>1</v>
      </c>
    </row>
    <row r="313" spans="1:12">
      <c r="A313" s="146" t="s">
        <v>669</v>
      </c>
      <c r="B313" s="155">
        <v>2522889972</v>
      </c>
      <c r="C313" s="153">
        <v>35699</v>
      </c>
      <c r="D313" s="51">
        <f t="shared" ca="1" si="8"/>
        <v>19</v>
      </c>
      <c r="E313" s="152" t="str">
        <f t="shared" si="9"/>
        <v>September</v>
      </c>
      <c r="F313" s="146" t="s">
        <v>465</v>
      </c>
      <c r="G313" s="154">
        <v>565952209</v>
      </c>
      <c r="H313" s="146" t="s">
        <v>256</v>
      </c>
      <c r="I313" s="52" t="s">
        <v>283</v>
      </c>
      <c r="J313" s="156" t="s">
        <v>285</v>
      </c>
      <c r="K313" s="53">
        <v>80460</v>
      </c>
      <c r="L313" s="151">
        <v>4</v>
      </c>
    </row>
    <row r="314" spans="1:12">
      <c r="A314" s="146" t="s">
        <v>1012</v>
      </c>
      <c r="B314" s="155">
        <v>2522153322</v>
      </c>
      <c r="C314" s="153">
        <v>37705</v>
      </c>
      <c r="D314" s="51">
        <f t="shared" ca="1" si="8"/>
        <v>13</v>
      </c>
      <c r="E314" s="152" t="str">
        <f t="shared" si="9"/>
        <v>March</v>
      </c>
      <c r="F314" s="146" t="s">
        <v>465</v>
      </c>
      <c r="G314" s="154">
        <v>635767088</v>
      </c>
      <c r="H314" s="146" t="s">
        <v>247</v>
      </c>
      <c r="I314" s="52"/>
      <c r="J314" s="156" t="s">
        <v>285</v>
      </c>
      <c r="K314" s="53">
        <v>82212</v>
      </c>
      <c r="L314" s="151">
        <v>5</v>
      </c>
    </row>
    <row r="315" spans="1:12">
      <c r="A315" s="146" t="s">
        <v>742</v>
      </c>
      <c r="B315" s="155">
        <v>9195119214</v>
      </c>
      <c r="C315" s="153">
        <v>36442</v>
      </c>
      <c r="D315" s="51">
        <f t="shared" ca="1" si="8"/>
        <v>17</v>
      </c>
      <c r="E315" s="152" t="str">
        <f t="shared" si="9"/>
        <v>October</v>
      </c>
      <c r="F315" s="146" t="s">
        <v>465</v>
      </c>
      <c r="G315" s="154">
        <v>136620388</v>
      </c>
      <c r="H315" s="146" t="s">
        <v>256</v>
      </c>
      <c r="I315" s="52" t="s">
        <v>262</v>
      </c>
      <c r="J315" s="156" t="s">
        <v>245</v>
      </c>
      <c r="K315" s="53">
        <v>84024</v>
      </c>
      <c r="L315" s="151">
        <v>3</v>
      </c>
    </row>
    <row r="316" spans="1:12">
      <c r="A316" s="146" t="s">
        <v>1013</v>
      </c>
      <c r="B316" s="155">
        <v>9198857217</v>
      </c>
      <c r="C316" s="153">
        <v>41302</v>
      </c>
      <c r="D316" s="51">
        <f t="shared" ca="1" si="8"/>
        <v>3</v>
      </c>
      <c r="E316" s="152" t="str">
        <f t="shared" si="9"/>
        <v>January</v>
      </c>
      <c r="F316" s="146" t="s">
        <v>465</v>
      </c>
      <c r="G316" s="154">
        <v>665773893</v>
      </c>
      <c r="H316" s="146" t="s">
        <v>252</v>
      </c>
      <c r="I316" s="52"/>
      <c r="J316" s="156" t="s">
        <v>271</v>
      </c>
      <c r="K316" s="53">
        <v>34109</v>
      </c>
      <c r="L316" s="151">
        <v>4</v>
      </c>
    </row>
    <row r="317" spans="1:12">
      <c r="A317" s="146" t="s">
        <v>1014</v>
      </c>
      <c r="B317" s="155">
        <v>2524982487</v>
      </c>
      <c r="C317" s="153">
        <v>40273</v>
      </c>
      <c r="D317" s="51">
        <f t="shared" ca="1" si="8"/>
        <v>6</v>
      </c>
      <c r="E317" s="152" t="str">
        <f t="shared" si="9"/>
        <v>April</v>
      </c>
      <c r="F317" s="146" t="s">
        <v>465</v>
      </c>
      <c r="G317" s="154">
        <v>829216164</v>
      </c>
      <c r="H317" s="146" t="s">
        <v>247</v>
      </c>
      <c r="I317" s="52"/>
      <c r="J317" s="156" t="s">
        <v>271</v>
      </c>
      <c r="K317" s="53">
        <v>101004</v>
      </c>
      <c r="L317" s="151">
        <v>2</v>
      </c>
    </row>
    <row r="318" spans="1:12">
      <c r="A318" s="146" t="s">
        <v>603</v>
      </c>
      <c r="B318" s="155">
        <v>2526503334</v>
      </c>
      <c r="C318" s="153">
        <v>40700</v>
      </c>
      <c r="D318" s="51">
        <f t="shared" ca="1" si="8"/>
        <v>5</v>
      </c>
      <c r="E318" s="152" t="str">
        <f t="shared" si="9"/>
        <v>June</v>
      </c>
      <c r="F318" s="146" t="s">
        <v>465</v>
      </c>
      <c r="G318" s="154">
        <v>180095803</v>
      </c>
      <c r="H318" s="146" t="s">
        <v>256</v>
      </c>
      <c r="I318" s="52" t="s">
        <v>257</v>
      </c>
      <c r="J318" s="156" t="s">
        <v>280</v>
      </c>
      <c r="K318" s="53">
        <v>93804</v>
      </c>
      <c r="L318" s="151">
        <v>5</v>
      </c>
    </row>
    <row r="319" spans="1:12">
      <c r="A319" s="146" t="s">
        <v>604</v>
      </c>
      <c r="B319" s="155">
        <v>2526052545</v>
      </c>
      <c r="C319" s="153">
        <v>37231</v>
      </c>
      <c r="D319" s="51">
        <f t="shared" ca="1" si="8"/>
        <v>14</v>
      </c>
      <c r="E319" s="152" t="str">
        <f t="shared" si="9"/>
        <v>December</v>
      </c>
      <c r="F319" s="146" t="s">
        <v>465</v>
      </c>
      <c r="G319" s="154">
        <v>698869555</v>
      </c>
      <c r="H319" s="146" t="s">
        <v>261</v>
      </c>
      <c r="I319" s="52" t="s">
        <v>267</v>
      </c>
      <c r="J319" s="156" t="s">
        <v>271</v>
      </c>
      <c r="K319" s="53">
        <v>49938</v>
      </c>
      <c r="L319" s="151">
        <v>1</v>
      </c>
    </row>
    <row r="320" spans="1:12">
      <c r="A320" s="146" t="s">
        <v>303</v>
      </c>
      <c r="B320" s="155">
        <v>2521854525</v>
      </c>
      <c r="C320" s="153">
        <v>36039</v>
      </c>
      <c r="D320" s="51">
        <f t="shared" ca="1" si="8"/>
        <v>18</v>
      </c>
      <c r="E320" s="152" t="str">
        <f t="shared" si="9"/>
        <v>September</v>
      </c>
      <c r="F320" s="146" t="s">
        <v>465</v>
      </c>
      <c r="G320" s="154">
        <v>682907379</v>
      </c>
      <c r="H320" s="146" t="s">
        <v>256</v>
      </c>
      <c r="I320" s="52" t="s">
        <v>267</v>
      </c>
      <c r="J320" s="156" t="s">
        <v>251</v>
      </c>
      <c r="K320" s="53">
        <v>47424</v>
      </c>
      <c r="L320" s="151">
        <v>5</v>
      </c>
    </row>
    <row r="321" spans="1:12">
      <c r="A321" s="146" t="s">
        <v>674</v>
      </c>
      <c r="B321" s="155">
        <v>9197961953</v>
      </c>
      <c r="C321" s="153">
        <v>37957</v>
      </c>
      <c r="D321" s="51">
        <f t="shared" ca="1" si="8"/>
        <v>12</v>
      </c>
      <c r="E321" s="152" t="str">
        <f t="shared" si="9"/>
        <v>December</v>
      </c>
      <c r="F321" s="146" t="s">
        <v>465</v>
      </c>
      <c r="G321" s="154">
        <v>312019803</v>
      </c>
      <c r="H321" s="146" t="s">
        <v>256</v>
      </c>
      <c r="I321" s="52" t="s">
        <v>283</v>
      </c>
      <c r="J321" s="156" t="s">
        <v>280</v>
      </c>
      <c r="K321" s="53">
        <v>30372</v>
      </c>
      <c r="L321" s="151">
        <v>4</v>
      </c>
    </row>
    <row r="322" spans="1:12">
      <c r="A322" s="146" t="s">
        <v>450</v>
      </c>
      <c r="B322" s="155">
        <v>2523077504</v>
      </c>
      <c r="C322" s="153">
        <v>36071</v>
      </c>
      <c r="D322" s="51">
        <f t="shared" ref="D322:D385" ca="1" si="10">DATEDIF(C322,TODAY(),"Y")</f>
        <v>18</v>
      </c>
      <c r="E322" s="152" t="str">
        <f t="shared" ref="E322:E385" si="11">CHOOSE(MONTH(C322),"January","February","March","April","May","June","July","August","September","October","November","December")</f>
        <v>October</v>
      </c>
      <c r="F322" s="146" t="s">
        <v>465</v>
      </c>
      <c r="G322" s="154">
        <v>624234626</v>
      </c>
      <c r="H322" s="146" t="s">
        <v>261</v>
      </c>
      <c r="I322" s="52" t="s">
        <v>257</v>
      </c>
      <c r="J322" s="156" t="s">
        <v>251</v>
      </c>
      <c r="K322" s="53">
        <v>55974</v>
      </c>
      <c r="L322" s="151">
        <v>5</v>
      </c>
    </row>
    <row r="323" spans="1:12">
      <c r="A323" s="146" t="s">
        <v>608</v>
      </c>
      <c r="B323" s="155">
        <v>9195858234</v>
      </c>
      <c r="C323" s="153">
        <v>38164</v>
      </c>
      <c r="D323" s="51">
        <f t="shared" ca="1" si="10"/>
        <v>12</v>
      </c>
      <c r="E323" s="152" t="str">
        <f t="shared" si="11"/>
        <v>June</v>
      </c>
      <c r="F323" s="146" t="s">
        <v>465</v>
      </c>
      <c r="G323" s="154">
        <v>512405919</v>
      </c>
      <c r="H323" s="146" t="s">
        <v>256</v>
      </c>
      <c r="I323" s="52" t="s">
        <v>267</v>
      </c>
      <c r="J323" s="156" t="s">
        <v>271</v>
      </c>
      <c r="K323" s="53">
        <v>76956</v>
      </c>
      <c r="L323" s="151">
        <v>1</v>
      </c>
    </row>
    <row r="324" spans="1:12">
      <c r="A324" s="146" t="s">
        <v>845</v>
      </c>
      <c r="B324" s="155">
        <v>9198721709</v>
      </c>
      <c r="C324" s="153">
        <v>36739</v>
      </c>
      <c r="D324" s="51">
        <f t="shared" ca="1" si="10"/>
        <v>16</v>
      </c>
      <c r="E324" s="152" t="str">
        <f t="shared" si="11"/>
        <v>August</v>
      </c>
      <c r="F324" s="146" t="s">
        <v>465</v>
      </c>
      <c r="G324" s="154">
        <v>596008829</v>
      </c>
      <c r="H324" s="146" t="s">
        <v>247</v>
      </c>
      <c r="I324" s="52"/>
      <c r="J324" s="156" t="s">
        <v>280</v>
      </c>
      <c r="K324" s="53">
        <v>54060</v>
      </c>
      <c r="L324" s="151">
        <v>1</v>
      </c>
    </row>
    <row r="325" spans="1:12">
      <c r="A325" s="146" t="s">
        <v>304</v>
      </c>
      <c r="B325" s="155">
        <v>2521549933</v>
      </c>
      <c r="C325" s="153">
        <v>34893</v>
      </c>
      <c r="D325" s="51">
        <f t="shared" ca="1" si="10"/>
        <v>21</v>
      </c>
      <c r="E325" s="152" t="str">
        <f t="shared" si="11"/>
        <v>July</v>
      </c>
      <c r="F325" s="146" t="s">
        <v>465</v>
      </c>
      <c r="G325" s="154">
        <v>366740174</v>
      </c>
      <c r="H325" s="146" t="s">
        <v>252</v>
      </c>
      <c r="I325" s="52"/>
      <c r="J325" s="156" t="s">
        <v>280</v>
      </c>
      <c r="K325" s="53">
        <v>36499</v>
      </c>
      <c r="L325" s="151">
        <v>1</v>
      </c>
    </row>
    <row r="326" spans="1:12">
      <c r="A326" s="146" t="s">
        <v>1018</v>
      </c>
      <c r="B326" s="155">
        <v>2524694617</v>
      </c>
      <c r="C326" s="153">
        <v>39917</v>
      </c>
      <c r="D326" s="51">
        <f t="shared" ca="1" si="10"/>
        <v>7</v>
      </c>
      <c r="E326" s="152" t="str">
        <f t="shared" si="11"/>
        <v>April</v>
      </c>
      <c r="F326" s="146" t="s">
        <v>465</v>
      </c>
      <c r="G326" s="154">
        <v>114005397</v>
      </c>
      <c r="H326" s="146" t="s">
        <v>247</v>
      </c>
      <c r="I326" s="52"/>
      <c r="J326" s="156" t="s">
        <v>285</v>
      </c>
      <c r="K326" s="53">
        <v>76620</v>
      </c>
      <c r="L326" s="151">
        <v>2</v>
      </c>
    </row>
    <row r="327" spans="1:12">
      <c r="A327" s="146" t="s">
        <v>1019</v>
      </c>
      <c r="B327" s="155">
        <v>9198912054</v>
      </c>
      <c r="C327" s="153">
        <v>39640</v>
      </c>
      <c r="D327" s="51">
        <f t="shared" ca="1" si="10"/>
        <v>8</v>
      </c>
      <c r="E327" s="152" t="str">
        <f t="shared" si="11"/>
        <v>July</v>
      </c>
      <c r="F327" s="146" t="s">
        <v>465</v>
      </c>
      <c r="G327" s="154">
        <v>240272873</v>
      </c>
      <c r="H327" s="146" t="s">
        <v>247</v>
      </c>
      <c r="I327" s="52"/>
      <c r="J327" s="156" t="s">
        <v>251</v>
      </c>
      <c r="K327" s="53">
        <v>96396</v>
      </c>
      <c r="L327" s="151">
        <v>4</v>
      </c>
    </row>
    <row r="328" spans="1:12">
      <c r="A328" s="146" t="s">
        <v>293</v>
      </c>
      <c r="B328" s="155">
        <v>9192520526</v>
      </c>
      <c r="C328" s="153">
        <v>38671</v>
      </c>
      <c r="D328" s="51">
        <f t="shared" ca="1" si="10"/>
        <v>10</v>
      </c>
      <c r="E328" s="152" t="str">
        <f t="shared" si="11"/>
        <v>November</v>
      </c>
      <c r="F328" s="146" t="s">
        <v>465</v>
      </c>
      <c r="G328" s="154">
        <v>708108747</v>
      </c>
      <c r="H328" s="146" t="s">
        <v>256</v>
      </c>
      <c r="I328" s="52" t="s">
        <v>257</v>
      </c>
      <c r="J328" s="156" t="s">
        <v>271</v>
      </c>
      <c r="K328" s="53">
        <v>90211</v>
      </c>
      <c r="L328" s="151">
        <v>3</v>
      </c>
    </row>
    <row r="329" spans="1:12">
      <c r="A329" s="146" t="s">
        <v>614</v>
      </c>
      <c r="B329" s="155">
        <v>2528560698</v>
      </c>
      <c r="C329" s="153">
        <v>36248</v>
      </c>
      <c r="D329" s="51">
        <f t="shared" ca="1" si="10"/>
        <v>17</v>
      </c>
      <c r="E329" s="152" t="str">
        <f t="shared" si="11"/>
        <v>March</v>
      </c>
      <c r="F329" s="146" t="s">
        <v>465</v>
      </c>
      <c r="G329" s="154">
        <v>501523688</v>
      </c>
      <c r="H329" s="146" t="s">
        <v>256</v>
      </c>
      <c r="I329" s="52" t="s">
        <v>257</v>
      </c>
      <c r="J329" s="156" t="s">
        <v>271</v>
      </c>
      <c r="K329" s="53">
        <v>95676</v>
      </c>
      <c r="L329" s="151">
        <v>2</v>
      </c>
    </row>
    <row r="330" spans="1:12">
      <c r="A330" s="146" t="s">
        <v>615</v>
      </c>
      <c r="B330" s="155">
        <v>2528801464</v>
      </c>
      <c r="C330" s="153">
        <v>34359</v>
      </c>
      <c r="D330" s="51">
        <f t="shared" ca="1" si="10"/>
        <v>22</v>
      </c>
      <c r="E330" s="152" t="str">
        <f t="shared" si="11"/>
        <v>January</v>
      </c>
      <c r="F330" s="146" t="s">
        <v>465</v>
      </c>
      <c r="G330" s="154">
        <v>806508287</v>
      </c>
      <c r="H330" s="146" t="s">
        <v>256</v>
      </c>
      <c r="I330" s="52" t="s">
        <v>257</v>
      </c>
      <c r="J330" s="156" t="s">
        <v>271</v>
      </c>
      <c r="K330" s="53">
        <v>63528</v>
      </c>
      <c r="L330" s="151">
        <v>4</v>
      </c>
    </row>
    <row r="331" spans="1:12">
      <c r="A331" s="146" t="s">
        <v>294</v>
      </c>
      <c r="B331" s="155">
        <v>2522888726</v>
      </c>
      <c r="C331" s="153">
        <v>38874</v>
      </c>
      <c r="D331" s="51">
        <f t="shared" ca="1" si="10"/>
        <v>10</v>
      </c>
      <c r="E331" s="152" t="str">
        <f t="shared" si="11"/>
        <v>June</v>
      </c>
      <c r="F331" s="146" t="s">
        <v>465</v>
      </c>
      <c r="G331" s="154">
        <v>684054281</v>
      </c>
      <c r="H331" s="146" t="s">
        <v>256</v>
      </c>
      <c r="I331" s="52" t="s">
        <v>257</v>
      </c>
      <c r="J331" s="156" t="s">
        <v>245</v>
      </c>
      <c r="K331" s="53">
        <v>56808</v>
      </c>
      <c r="L331" s="151">
        <v>2</v>
      </c>
    </row>
    <row r="332" spans="1:12">
      <c r="A332" s="146" t="s">
        <v>854</v>
      </c>
      <c r="B332" s="155">
        <v>2527237007</v>
      </c>
      <c r="C332" s="153">
        <v>38458</v>
      </c>
      <c r="D332" s="51">
        <f t="shared" ca="1" si="10"/>
        <v>11</v>
      </c>
      <c r="E332" s="152" t="str">
        <f t="shared" si="11"/>
        <v>April</v>
      </c>
      <c r="F332" s="146" t="s">
        <v>465</v>
      </c>
      <c r="G332" s="154">
        <v>167058119</v>
      </c>
      <c r="H332" s="146" t="s">
        <v>252</v>
      </c>
      <c r="I332" s="52"/>
      <c r="J332" s="156" t="s">
        <v>285</v>
      </c>
      <c r="K332" s="53">
        <v>10670</v>
      </c>
      <c r="L332" s="151">
        <v>1</v>
      </c>
    </row>
    <row r="333" spans="1:12">
      <c r="A333" s="146" t="s">
        <v>616</v>
      </c>
      <c r="B333" s="155">
        <v>2525871924</v>
      </c>
      <c r="C333" s="153">
        <v>40550</v>
      </c>
      <c r="D333" s="51">
        <f t="shared" ca="1" si="10"/>
        <v>5</v>
      </c>
      <c r="E333" s="152" t="str">
        <f t="shared" si="11"/>
        <v>January</v>
      </c>
      <c r="F333" s="146" t="s">
        <v>465</v>
      </c>
      <c r="G333" s="154">
        <v>436778229</v>
      </c>
      <c r="H333" s="146" t="s">
        <v>247</v>
      </c>
      <c r="I333" s="52"/>
      <c r="J333" s="156" t="s">
        <v>245</v>
      </c>
      <c r="K333" s="53">
        <v>72048</v>
      </c>
      <c r="L333" s="151">
        <v>5</v>
      </c>
    </row>
    <row r="334" spans="1:12">
      <c r="A334" s="146" t="s">
        <v>748</v>
      </c>
      <c r="B334" s="155">
        <v>2521777060</v>
      </c>
      <c r="C334" s="153">
        <v>39461</v>
      </c>
      <c r="D334" s="51">
        <f t="shared" ca="1" si="10"/>
        <v>8</v>
      </c>
      <c r="E334" s="152" t="str">
        <f t="shared" si="11"/>
        <v>January</v>
      </c>
      <c r="F334" s="146" t="s">
        <v>465</v>
      </c>
      <c r="G334" s="154">
        <v>405396173</v>
      </c>
      <c r="H334" s="146" t="s">
        <v>256</v>
      </c>
      <c r="I334" s="52" t="s">
        <v>276</v>
      </c>
      <c r="J334" s="156" t="s">
        <v>245</v>
      </c>
      <c r="K334" s="53">
        <v>82452</v>
      </c>
      <c r="L334" s="151">
        <v>4</v>
      </c>
    </row>
    <row r="335" spans="1:12">
      <c r="A335" s="146" t="s">
        <v>505</v>
      </c>
      <c r="B335" s="155">
        <v>9191375297</v>
      </c>
      <c r="C335" s="153">
        <v>41041</v>
      </c>
      <c r="D335" s="51">
        <f t="shared" ca="1" si="10"/>
        <v>4</v>
      </c>
      <c r="E335" s="152" t="str">
        <f t="shared" si="11"/>
        <v>May</v>
      </c>
      <c r="F335" s="146" t="s">
        <v>618</v>
      </c>
      <c r="G335" s="154">
        <v>723930767</v>
      </c>
      <c r="H335" s="146" t="s">
        <v>256</v>
      </c>
      <c r="I335" s="52" t="s">
        <v>283</v>
      </c>
      <c r="J335" s="156" t="s">
        <v>266</v>
      </c>
      <c r="K335" s="53">
        <v>32700</v>
      </c>
      <c r="L335" s="151">
        <v>5</v>
      </c>
    </row>
    <row r="336" spans="1:12">
      <c r="A336" s="146" t="s">
        <v>530</v>
      </c>
      <c r="B336" s="155">
        <v>9197077326</v>
      </c>
      <c r="C336" s="153">
        <v>34560</v>
      </c>
      <c r="D336" s="51">
        <f t="shared" ca="1" si="10"/>
        <v>22</v>
      </c>
      <c r="E336" s="152" t="str">
        <f t="shared" si="11"/>
        <v>August</v>
      </c>
      <c r="F336" s="146" t="s">
        <v>618</v>
      </c>
      <c r="G336" s="154">
        <v>742946482</v>
      </c>
      <c r="H336" s="146" t="s">
        <v>256</v>
      </c>
      <c r="I336" s="52" t="s">
        <v>257</v>
      </c>
      <c r="J336" s="156" t="s">
        <v>280</v>
      </c>
      <c r="K336" s="53">
        <v>46992</v>
      </c>
      <c r="L336" s="151">
        <v>3</v>
      </c>
    </row>
    <row r="337" spans="1:12">
      <c r="A337" s="146" t="s">
        <v>889</v>
      </c>
      <c r="B337" s="155">
        <v>9197045091</v>
      </c>
      <c r="C337" s="153">
        <v>37493</v>
      </c>
      <c r="D337" s="51">
        <f t="shared" ca="1" si="10"/>
        <v>14</v>
      </c>
      <c r="E337" s="152" t="str">
        <f t="shared" si="11"/>
        <v>August</v>
      </c>
      <c r="F337" s="146" t="s">
        <v>618</v>
      </c>
      <c r="G337" s="154">
        <v>292006053</v>
      </c>
      <c r="H337" s="146" t="s">
        <v>247</v>
      </c>
      <c r="I337" s="52"/>
      <c r="J337" s="156" t="s">
        <v>245</v>
      </c>
      <c r="K337" s="53">
        <v>89400</v>
      </c>
      <c r="L337" s="151">
        <v>4</v>
      </c>
    </row>
    <row r="338" spans="1:12">
      <c r="A338" s="157" t="s">
        <v>281</v>
      </c>
      <c r="B338" s="155">
        <v>2521535362</v>
      </c>
      <c r="C338" s="153">
        <v>38135</v>
      </c>
      <c r="D338" s="51">
        <f t="shared" ca="1" si="10"/>
        <v>12</v>
      </c>
      <c r="E338" s="152" t="str">
        <f t="shared" si="11"/>
        <v>May</v>
      </c>
      <c r="F338" s="146" t="s">
        <v>618</v>
      </c>
      <c r="G338" s="154">
        <v>370608224</v>
      </c>
      <c r="H338" s="146" t="s">
        <v>256</v>
      </c>
      <c r="I338" s="52" t="s">
        <v>257</v>
      </c>
      <c r="J338" s="156" t="s">
        <v>251</v>
      </c>
      <c r="K338" s="53">
        <v>70968</v>
      </c>
      <c r="L338" s="151">
        <v>5</v>
      </c>
    </row>
    <row r="339" spans="1:12">
      <c r="A339" s="146" t="s">
        <v>920</v>
      </c>
      <c r="B339" s="155">
        <v>2528908079</v>
      </c>
      <c r="C339" s="153">
        <v>38664</v>
      </c>
      <c r="D339" s="51">
        <f t="shared" ca="1" si="10"/>
        <v>11</v>
      </c>
      <c r="E339" s="152" t="str">
        <f t="shared" si="11"/>
        <v>November</v>
      </c>
      <c r="F339" s="146" t="s">
        <v>618</v>
      </c>
      <c r="G339" s="154">
        <v>214234804</v>
      </c>
      <c r="H339" s="146" t="s">
        <v>256</v>
      </c>
      <c r="I339" s="52" t="s">
        <v>283</v>
      </c>
      <c r="J339" s="156" t="s">
        <v>285</v>
      </c>
      <c r="K339" s="53">
        <v>64644</v>
      </c>
      <c r="L339" s="151">
        <v>2</v>
      </c>
    </row>
    <row r="340" spans="1:12">
      <c r="A340" s="146" t="s">
        <v>612</v>
      </c>
      <c r="B340" s="155">
        <v>9191264013</v>
      </c>
      <c r="C340" s="153">
        <v>39766</v>
      </c>
      <c r="D340" s="51">
        <f t="shared" ca="1" si="10"/>
        <v>7</v>
      </c>
      <c r="E340" s="152" t="str">
        <f t="shared" si="11"/>
        <v>November</v>
      </c>
      <c r="F340" s="146" t="s">
        <v>618</v>
      </c>
      <c r="G340" s="154">
        <v>620072502</v>
      </c>
      <c r="H340" s="146" t="s">
        <v>256</v>
      </c>
      <c r="I340" s="52" t="s">
        <v>276</v>
      </c>
      <c r="J340" s="156" t="s">
        <v>245</v>
      </c>
      <c r="K340" s="53">
        <v>85680</v>
      </c>
      <c r="L340" s="151">
        <v>4</v>
      </c>
    </row>
    <row r="341" spans="1:12">
      <c r="A341" s="146" t="s">
        <v>368</v>
      </c>
      <c r="B341" s="155">
        <v>2523906310</v>
      </c>
      <c r="C341" s="153">
        <v>41020</v>
      </c>
      <c r="D341" s="51">
        <f t="shared" ca="1" si="10"/>
        <v>4</v>
      </c>
      <c r="E341" s="152" t="str">
        <f t="shared" si="11"/>
        <v>April</v>
      </c>
      <c r="F341" s="146" t="s">
        <v>618</v>
      </c>
      <c r="G341" s="154">
        <v>380343690</v>
      </c>
      <c r="H341" s="146" t="s">
        <v>247</v>
      </c>
      <c r="I341" s="52"/>
      <c r="J341" s="156" t="s">
        <v>266</v>
      </c>
      <c r="K341" s="53">
        <v>74268</v>
      </c>
      <c r="L341" s="151">
        <v>2</v>
      </c>
    </row>
    <row r="342" spans="1:12">
      <c r="A342" s="146" t="s">
        <v>466</v>
      </c>
      <c r="B342" s="155">
        <v>2524272773</v>
      </c>
      <c r="C342" s="153">
        <v>36584</v>
      </c>
      <c r="D342" s="51">
        <f t="shared" ca="1" si="10"/>
        <v>16</v>
      </c>
      <c r="E342" s="152" t="str">
        <f t="shared" si="11"/>
        <v>February</v>
      </c>
      <c r="F342" s="146" t="s">
        <v>626</v>
      </c>
      <c r="G342" s="154">
        <v>261920277</v>
      </c>
      <c r="H342" s="146" t="s">
        <v>256</v>
      </c>
      <c r="I342" s="52" t="s">
        <v>276</v>
      </c>
      <c r="J342" s="156" t="s">
        <v>245</v>
      </c>
      <c r="K342" s="53">
        <v>104196</v>
      </c>
      <c r="L342" s="151">
        <v>3</v>
      </c>
    </row>
    <row r="343" spans="1:12">
      <c r="A343" s="146" t="s">
        <v>392</v>
      </c>
      <c r="B343" s="155">
        <v>2523383207</v>
      </c>
      <c r="C343" s="153">
        <v>39885</v>
      </c>
      <c r="D343" s="51">
        <f t="shared" ca="1" si="10"/>
        <v>7</v>
      </c>
      <c r="E343" s="152" t="str">
        <f t="shared" si="11"/>
        <v>March</v>
      </c>
      <c r="F343" s="146" t="s">
        <v>626</v>
      </c>
      <c r="G343" s="154">
        <v>895408697</v>
      </c>
      <c r="H343" s="146" t="s">
        <v>256</v>
      </c>
      <c r="I343" s="52" t="s">
        <v>283</v>
      </c>
      <c r="J343" s="156" t="s">
        <v>245</v>
      </c>
      <c r="K343" s="53">
        <v>57132</v>
      </c>
      <c r="L343" s="151">
        <v>4</v>
      </c>
    </row>
    <row r="344" spans="1:12">
      <c r="A344" s="146" t="s">
        <v>468</v>
      </c>
      <c r="B344" s="155">
        <v>9191682521</v>
      </c>
      <c r="C344" s="153">
        <v>39224</v>
      </c>
      <c r="D344" s="51">
        <f t="shared" ca="1" si="10"/>
        <v>9</v>
      </c>
      <c r="E344" s="152" t="str">
        <f t="shared" si="11"/>
        <v>May</v>
      </c>
      <c r="F344" s="146" t="s">
        <v>626</v>
      </c>
      <c r="G344" s="154">
        <v>788451186</v>
      </c>
      <c r="H344" s="146" t="s">
        <v>247</v>
      </c>
      <c r="I344" s="52"/>
      <c r="J344" s="156" t="s">
        <v>251</v>
      </c>
      <c r="K344" s="53">
        <v>69024</v>
      </c>
      <c r="L344" s="151">
        <v>3</v>
      </c>
    </row>
    <row r="345" spans="1:12">
      <c r="A345" s="146" t="s">
        <v>470</v>
      </c>
      <c r="B345" s="155">
        <v>2526971022</v>
      </c>
      <c r="C345" s="153">
        <v>36504</v>
      </c>
      <c r="D345" s="51">
        <f t="shared" ca="1" si="10"/>
        <v>16</v>
      </c>
      <c r="E345" s="152" t="str">
        <f t="shared" si="11"/>
        <v>December</v>
      </c>
      <c r="F345" s="146" t="s">
        <v>626</v>
      </c>
      <c r="G345" s="154">
        <v>626767704</v>
      </c>
      <c r="H345" s="146" t="s">
        <v>247</v>
      </c>
      <c r="I345" s="52"/>
      <c r="J345" s="156" t="s">
        <v>271</v>
      </c>
      <c r="K345" s="53">
        <v>93516</v>
      </c>
      <c r="L345" s="151">
        <v>5</v>
      </c>
    </row>
    <row r="346" spans="1:12">
      <c r="A346" s="146" t="s">
        <v>934</v>
      </c>
      <c r="B346" s="155">
        <v>2526565171</v>
      </c>
      <c r="C346" s="153">
        <v>34047</v>
      </c>
      <c r="D346" s="51">
        <f t="shared" ca="1" si="10"/>
        <v>23</v>
      </c>
      <c r="E346" s="152" t="str">
        <f t="shared" si="11"/>
        <v>March</v>
      </c>
      <c r="F346" s="146" t="s">
        <v>626</v>
      </c>
      <c r="G346" s="154">
        <v>555025137</v>
      </c>
      <c r="H346" s="146" t="s">
        <v>261</v>
      </c>
      <c r="I346" s="52" t="s">
        <v>267</v>
      </c>
      <c r="J346" s="156" t="s">
        <v>271</v>
      </c>
      <c r="K346" s="53">
        <v>15708</v>
      </c>
      <c r="L346" s="151">
        <v>4</v>
      </c>
    </row>
    <row r="347" spans="1:12">
      <c r="A347" s="146" t="s">
        <v>629</v>
      </c>
      <c r="B347" s="155">
        <v>2523986051</v>
      </c>
      <c r="C347" s="153">
        <v>37191</v>
      </c>
      <c r="D347" s="51">
        <f t="shared" ca="1" si="10"/>
        <v>15</v>
      </c>
      <c r="E347" s="152" t="str">
        <f t="shared" si="11"/>
        <v>October</v>
      </c>
      <c r="F347" s="146" t="s">
        <v>626</v>
      </c>
      <c r="G347" s="154">
        <v>424800509</v>
      </c>
      <c r="H347" s="146" t="s">
        <v>256</v>
      </c>
      <c r="I347" s="52" t="s">
        <v>257</v>
      </c>
      <c r="J347" s="156" t="s">
        <v>285</v>
      </c>
      <c r="K347" s="53">
        <v>53064</v>
      </c>
      <c r="L347" s="151">
        <v>3</v>
      </c>
    </row>
    <row r="348" spans="1:12">
      <c r="A348" s="146" t="s">
        <v>485</v>
      </c>
      <c r="B348" s="155">
        <v>9198211050</v>
      </c>
      <c r="C348" s="153">
        <v>37866</v>
      </c>
      <c r="D348" s="51">
        <f t="shared" ca="1" si="10"/>
        <v>13</v>
      </c>
      <c r="E348" s="152" t="str">
        <f t="shared" si="11"/>
        <v>September</v>
      </c>
      <c r="F348" s="146" t="s">
        <v>626</v>
      </c>
      <c r="G348" s="154">
        <v>372693786</v>
      </c>
      <c r="H348" s="146" t="s">
        <v>261</v>
      </c>
      <c r="I348" s="52" t="s">
        <v>262</v>
      </c>
      <c r="J348" s="156" t="s">
        <v>245</v>
      </c>
      <c r="K348" s="53">
        <v>37332</v>
      </c>
      <c r="L348" s="151">
        <v>1</v>
      </c>
    </row>
    <row r="349" spans="1:12">
      <c r="A349" s="146" t="s">
        <v>683</v>
      </c>
      <c r="B349" s="155">
        <v>2521201242</v>
      </c>
      <c r="C349" s="153">
        <v>36822</v>
      </c>
      <c r="D349" s="51">
        <f t="shared" ca="1" si="10"/>
        <v>16</v>
      </c>
      <c r="E349" s="152" t="str">
        <f t="shared" si="11"/>
        <v>October</v>
      </c>
      <c r="F349" s="146" t="s">
        <v>626</v>
      </c>
      <c r="G349" s="154">
        <v>294161481</v>
      </c>
      <c r="H349" s="146" t="s">
        <v>261</v>
      </c>
      <c r="I349" s="52" t="s">
        <v>257</v>
      </c>
      <c r="J349" s="156" t="s">
        <v>285</v>
      </c>
      <c r="K349" s="53">
        <v>57462</v>
      </c>
      <c r="L349" s="151">
        <v>1</v>
      </c>
    </row>
    <row r="350" spans="1:12">
      <c r="A350" s="146" t="s">
        <v>783</v>
      </c>
      <c r="B350" s="155">
        <v>2527687161</v>
      </c>
      <c r="C350" s="153">
        <v>34430</v>
      </c>
      <c r="D350" s="51">
        <f t="shared" ca="1" si="10"/>
        <v>22</v>
      </c>
      <c r="E350" s="152" t="str">
        <f t="shared" si="11"/>
        <v>April</v>
      </c>
      <c r="F350" s="146" t="s">
        <v>626</v>
      </c>
      <c r="G350" s="154">
        <v>948189231</v>
      </c>
      <c r="H350" s="146" t="s">
        <v>256</v>
      </c>
      <c r="I350" s="52" t="s">
        <v>257</v>
      </c>
      <c r="J350" s="156" t="s">
        <v>245</v>
      </c>
      <c r="K350" s="53">
        <v>44424</v>
      </c>
      <c r="L350" s="151">
        <v>2</v>
      </c>
    </row>
    <row r="351" spans="1:12">
      <c r="A351" s="146" t="s">
        <v>712</v>
      </c>
      <c r="B351" s="155">
        <v>9194221208</v>
      </c>
      <c r="C351" s="153">
        <v>34493</v>
      </c>
      <c r="D351" s="51">
        <f t="shared" ca="1" si="10"/>
        <v>22</v>
      </c>
      <c r="E351" s="152" t="str">
        <f t="shared" si="11"/>
        <v>June</v>
      </c>
      <c r="F351" s="146" t="s">
        <v>626</v>
      </c>
      <c r="G351" s="154">
        <v>159415552</v>
      </c>
      <c r="H351" s="146" t="s">
        <v>256</v>
      </c>
      <c r="I351" s="52" t="s">
        <v>262</v>
      </c>
      <c r="J351" s="156" t="s">
        <v>251</v>
      </c>
      <c r="K351" s="53">
        <v>88716</v>
      </c>
      <c r="L351" s="151">
        <v>1</v>
      </c>
    </row>
    <row r="352" spans="1:12">
      <c r="A352" s="146" t="s">
        <v>494</v>
      </c>
      <c r="B352" s="155">
        <v>9196798743</v>
      </c>
      <c r="C352" s="153">
        <v>40011</v>
      </c>
      <c r="D352" s="51">
        <f t="shared" ca="1" si="10"/>
        <v>7</v>
      </c>
      <c r="E352" s="152" t="str">
        <f t="shared" si="11"/>
        <v>July</v>
      </c>
      <c r="F352" s="146" t="s">
        <v>626</v>
      </c>
      <c r="G352" s="154">
        <v>400260342</v>
      </c>
      <c r="H352" s="146" t="s">
        <v>247</v>
      </c>
      <c r="I352" s="52"/>
      <c r="J352" s="156" t="s">
        <v>271</v>
      </c>
      <c r="K352" s="53">
        <v>89364</v>
      </c>
      <c r="L352" s="151">
        <v>3</v>
      </c>
    </row>
    <row r="353" spans="1:12">
      <c r="A353" s="146" t="s">
        <v>503</v>
      </c>
      <c r="B353" s="155">
        <v>9191517218</v>
      </c>
      <c r="C353" s="153">
        <v>39826</v>
      </c>
      <c r="D353" s="51">
        <f t="shared" ca="1" si="10"/>
        <v>7</v>
      </c>
      <c r="E353" s="152" t="str">
        <f t="shared" si="11"/>
        <v>January</v>
      </c>
      <c r="F353" s="146" t="s">
        <v>626</v>
      </c>
      <c r="G353" s="154">
        <v>980960186</v>
      </c>
      <c r="H353" s="146" t="s">
        <v>261</v>
      </c>
      <c r="I353" s="52" t="s">
        <v>283</v>
      </c>
      <c r="J353" s="156" t="s">
        <v>245</v>
      </c>
      <c r="K353" s="53">
        <v>57246</v>
      </c>
      <c r="L353" s="151">
        <v>5</v>
      </c>
    </row>
    <row r="354" spans="1:12">
      <c r="A354" s="146" t="s">
        <v>322</v>
      </c>
      <c r="B354" s="155">
        <v>9193613417</v>
      </c>
      <c r="C354" s="153">
        <v>40811</v>
      </c>
      <c r="D354" s="51">
        <f t="shared" ca="1" si="10"/>
        <v>5</v>
      </c>
      <c r="E354" s="152" t="str">
        <f t="shared" si="11"/>
        <v>September</v>
      </c>
      <c r="F354" s="146" t="s">
        <v>626</v>
      </c>
      <c r="G354" s="154">
        <v>506165137</v>
      </c>
      <c r="H354" s="146" t="s">
        <v>256</v>
      </c>
      <c r="I354" s="52" t="s">
        <v>283</v>
      </c>
      <c r="J354" s="156" t="s">
        <v>266</v>
      </c>
      <c r="K354" s="53">
        <v>52980</v>
      </c>
      <c r="L354" s="151">
        <v>4</v>
      </c>
    </row>
    <row r="355" spans="1:12">
      <c r="A355" s="146" t="s">
        <v>382</v>
      </c>
      <c r="B355" s="155">
        <v>9195299873</v>
      </c>
      <c r="C355" s="153">
        <v>41079</v>
      </c>
      <c r="D355" s="51">
        <f t="shared" ca="1" si="10"/>
        <v>4</v>
      </c>
      <c r="E355" s="152" t="str">
        <f t="shared" si="11"/>
        <v>June</v>
      </c>
      <c r="F355" s="146" t="s">
        <v>626</v>
      </c>
      <c r="G355" s="154">
        <v>247406371</v>
      </c>
      <c r="H355" s="146" t="s">
        <v>261</v>
      </c>
      <c r="I355" s="52" t="s">
        <v>283</v>
      </c>
      <c r="J355" s="156" t="s">
        <v>271</v>
      </c>
      <c r="K355" s="53">
        <v>24048</v>
      </c>
      <c r="L355" s="151">
        <v>3</v>
      </c>
    </row>
    <row r="356" spans="1:12">
      <c r="A356" s="146" t="s">
        <v>794</v>
      </c>
      <c r="B356" s="155">
        <v>2521575684</v>
      </c>
      <c r="C356" s="153">
        <v>34135</v>
      </c>
      <c r="D356" s="51">
        <f t="shared" ca="1" si="10"/>
        <v>23</v>
      </c>
      <c r="E356" s="152" t="str">
        <f t="shared" si="11"/>
        <v>June</v>
      </c>
      <c r="F356" s="146" t="s">
        <v>626</v>
      </c>
      <c r="G356" s="154">
        <v>154984918</v>
      </c>
      <c r="H356" s="146" t="s">
        <v>256</v>
      </c>
      <c r="I356" s="52" t="s">
        <v>257</v>
      </c>
      <c r="J356" s="156" t="s">
        <v>251</v>
      </c>
      <c r="K356" s="53">
        <v>27480</v>
      </c>
      <c r="L356" s="151">
        <v>1</v>
      </c>
    </row>
    <row r="357" spans="1:12">
      <c r="A357" s="146" t="s">
        <v>518</v>
      </c>
      <c r="B357" s="158">
        <v>9196844371</v>
      </c>
      <c r="C357" s="153">
        <v>33975</v>
      </c>
      <c r="D357" s="51">
        <f t="shared" ca="1" si="10"/>
        <v>23</v>
      </c>
      <c r="E357" s="152" t="str">
        <f t="shared" si="11"/>
        <v>January</v>
      </c>
      <c r="F357" s="146" t="s">
        <v>626</v>
      </c>
      <c r="G357" s="154">
        <v>279097202</v>
      </c>
      <c r="H357" s="146" t="s">
        <v>256</v>
      </c>
      <c r="I357" s="52" t="s">
        <v>257</v>
      </c>
      <c r="J357" s="156" t="s">
        <v>280</v>
      </c>
      <c r="K357" s="53">
        <v>75288</v>
      </c>
      <c r="L357" s="151">
        <v>4</v>
      </c>
    </row>
    <row r="358" spans="1:12">
      <c r="A358" s="146" t="s">
        <v>798</v>
      </c>
      <c r="B358" s="155">
        <v>2521401774</v>
      </c>
      <c r="C358" s="153">
        <v>41175</v>
      </c>
      <c r="D358" s="51">
        <f t="shared" ca="1" si="10"/>
        <v>4</v>
      </c>
      <c r="E358" s="152" t="str">
        <f t="shared" si="11"/>
        <v>September</v>
      </c>
      <c r="F358" s="146" t="s">
        <v>626</v>
      </c>
      <c r="G358" s="154">
        <v>999156829</v>
      </c>
      <c r="H358" s="146" t="s">
        <v>256</v>
      </c>
      <c r="I358" s="52" t="s">
        <v>257</v>
      </c>
      <c r="J358" s="156" t="s">
        <v>271</v>
      </c>
      <c r="K358" s="53">
        <v>40764</v>
      </c>
      <c r="L358" s="151">
        <v>4</v>
      </c>
    </row>
    <row r="359" spans="1:12">
      <c r="A359" s="146" t="s">
        <v>801</v>
      </c>
      <c r="B359" s="155">
        <v>2526040465</v>
      </c>
      <c r="C359" s="153">
        <v>37120</v>
      </c>
      <c r="D359" s="51">
        <f t="shared" ca="1" si="10"/>
        <v>15</v>
      </c>
      <c r="E359" s="152" t="str">
        <f t="shared" si="11"/>
        <v>August</v>
      </c>
      <c r="F359" s="146" t="s">
        <v>626</v>
      </c>
      <c r="G359" s="154">
        <v>662974752</v>
      </c>
      <c r="H359" s="146" t="s">
        <v>256</v>
      </c>
      <c r="I359" s="52" t="s">
        <v>283</v>
      </c>
      <c r="J359" s="156" t="s">
        <v>251</v>
      </c>
      <c r="K359" s="53">
        <v>61692</v>
      </c>
      <c r="L359" s="151">
        <v>4</v>
      </c>
    </row>
    <row r="360" spans="1:12">
      <c r="A360" s="146" t="s">
        <v>383</v>
      </c>
      <c r="B360" s="155">
        <v>2527660273</v>
      </c>
      <c r="C360" s="153">
        <v>37099</v>
      </c>
      <c r="D360" s="51">
        <f t="shared" ca="1" si="10"/>
        <v>15</v>
      </c>
      <c r="E360" s="152" t="str">
        <f t="shared" si="11"/>
        <v>July</v>
      </c>
      <c r="F360" s="146" t="s">
        <v>626</v>
      </c>
      <c r="G360" s="154">
        <v>357081517</v>
      </c>
      <c r="H360" s="146" t="s">
        <v>261</v>
      </c>
      <c r="I360" s="52" t="s">
        <v>283</v>
      </c>
      <c r="J360" s="156" t="s">
        <v>280</v>
      </c>
      <c r="K360" s="53">
        <v>32148</v>
      </c>
      <c r="L360" s="151">
        <v>2</v>
      </c>
    </row>
    <row r="361" spans="1:12">
      <c r="A361" s="146" t="s">
        <v>327</v>
      </c>
      <c r="B361" s="155">
        <v>2525478716</v>
      </c>
      <c r="C361" s="153">
        <v>37025</v>
      </c>
      <c r="D361" s="51">
        <f t="shared" ca="1" si="10"/>
        <v>15</v>
      </c>
      <c r="E361" s="152" t="str">
        <f t="shared" si="11"/>
        <v>May</v>
      </c>
      <c r="F361" s="146" t="s">
        <v>626</v>
      </c>
      <c r="G361" s="154">
        <v>355985853</v>
      </c>
      <c r="H361" s="146" t="s">
        <v>256</v>
      </c>
      <c r="I361" s="52" t="s">
        <v>257</v>
      </c>
      <c r="J361" s="156" t="s">
        <v>266</v>
      </c>
      <c r="K361" s="53">
        <v>55236</v>
      </c>
      <c r="L361" s="151">
        <v>2</v>
      </c>
    </row>
    <row r="362" spans="1:12">
      <c r="A362" s="146" t="s">
        <v>524</v>
      </c>
      <c r="B362" s="155">
        <v>9196201509</v>
      </c>
      <c r="C362" s="153">
        <v>36585</v>
      </c>
      <c r="D362" s="51">
        <f t="shared" ca="1" si="10"/>
        <v>16</v>
      </c>
      <c r="E362" s="152" t="str">
        <f t="shared" si="11"/>
        <v>February</v>
      </c>
      <c r="F362" s="146" t="s">
        <v>626</v>
      </c>
      <c r="G362" s="154">
        <v>597641409</v>
      </c>
      <c r="H362" s="146" t="s">
        <v>256</v>
      </c>
      <c r="I362" s="52" t="s">
        <v>283</v>
      </c>
      <c r="J362" s="156" t="s">
        <v>271</v>
      </c>
      <c r="K362" s="53">
        <v>98532</v>
      </c>
      <c r="L362" s="151">
        <v>3</v>
      </c>
    </row>
    <row r="363" spans="1:12">
      <c r="A363" s="146" t="s">
        <v>807</v>
      </c>
      <c r="B363" s="155">
        <v>2525368383</v>
      </c>
      <c r="C363" s="153">
        <v>36410</v>
      </c>
      <c r="D363" s="51">
        <f t="shared" ca="1" si="10"/>
        <v>17</v>
      </c>
      <c r="E363" s="152" t="str">
        <f t="shared" si="11"/>
        <v>September</v>
      </c>
      <c r="F363" s="146" t="s">
        <v>626</v>
      </c>
      <c r="G363" s="154">
        <v>479081328</v>
      </c>
      <c r="H363" s="146" t="s">
        <v>247</v>
      </c>
      <c r="I363" s="52"/>
      <c r="J363" s="156" t="s">
        <v>285</v>
      </c>
      <c r="K363" s="53">
        <v>76620</v>
      </c>
      <c r="L363" s="151">
        <v>2</v>
      </c>
    </row>
    <row r="364" spans="1:12">
      <c r="A364" s="146" t="s">
        <v>723</v>
      </c>
      <c r="B364" s="155">
        <v>9191487375</v>
      </c>
      <c r="C364" s="153">
        <v>37390</v>
      </c>
      <c r="D364" s="51">
        <f t="shared" ca="1" si="10"/>
        <v>14</v>
      </c>
      <c r="E364" s="152" t="str">
        <f t="shared" si="11"/>
        <v>May</v>
      </c>
      <c r="F364" s="146" t="s">
        <v>626</v>
      </c>
      <c r="G364" s="154">
        <v>422929693</v>
      </c>
      <c r="H364" s="146" t="s">
        <v>256</v>
      </c>
      <c r="I364" s="52" t="s">
        <v>283</v>
      </c>
      <c r="J364" s="156" t="s">
        <v>245</v>
      </c>
      <c r="K364" s="53">
        <v>62988</v>
      </c>
      <c r="L364" s="151">
        <v>4</v>
      </c>
    </row>
    <row r="365" spans="1:12">
      <c r="A365" s="146" t="s">
        <v>891</v>
      </c>
      <c r="B365" s="155">
        <v>9194402150</v>
      </c>
      <c r="C365" s="153">
        <v>35948</v>
      </c>
      <c r="D365" s="51">
        <f t="shared" ca="1" si="10"/>
        <v>18</v>
      </c>
      <c r="E365" s="152" t="str">
        <f t="shared" si="11"/>
        <v>June</v>
      </c>
      <c r="F365" s="146" t="s">
        <v>626</v>
      </c>
      <c r="G365" s="154">
        <v>917714039</v>
      </c>
      <c r="H365" s="146" t="s">
        <v>256</v>
      </c>
      <c r="I365" s="52" t="s">
        <v>267</v>
      </c>
      <c r="J365" s="156" t="s">
        <v>245</v>
      </c>
      <c r="K365" s="53">
        <v>84576</v>
      </c>
      <c r="L365" s="151">
        <v>4</v>
      </c>
    </row>
    <row r="366" spans="1:12">
      <c r="A366" s="146" t="s">
        <v>333</v>
      </c>
      <c r="B366" s="155">
        <v>9194161772</v>
      </c>
      <c r="C366" s="153">
        <v>41089</v>
      </c>
      <c r="D366" s="51">
        <f t="shared" ca="1" si="10"/>
        <v>4</v>
      </c>
      <c r="E366" s="152" t="str">
        <f t="shared" si="11"/>
        <v>June</v>
      </c>
      <c r="F366" s="146" t="s">
        <v>626</v>
      </c>
      <c r="G366" s="154">
        <v>168791562</v>
      </c>
      <c r="H366" s="146" t="s">
        <v>256</v>
      </c>
      <c r="I366" s="52" t="s">
        <v>267</v>
      </c>
      <c r="J366" s="156" t="s">
        <v>271</v>
      </c>
      <c r="K366" s="53">
        <v>90936</v>
      </c>
      <c r="L366" s="151">
        <v>2</v>
      </c>
    </row>
    <row r="367" spans="1:12">
      <c r="A367" s="146" t="s">
        <v>649</v>
      </c>
      <c r="B367" s="155">
        <v>2527469217</v>
      </c>
      <c r="C367" s="153">
        <v>37184</v>
      </c>
      <c r="D367" s="51">
        <f t="shared" ca="1" si="10"/>
        <v>15</v>
      </c>
      <c r="E367" s="152" t="str">
        <f t="shared" si="11"/>
        <v>October</v>
      </c>
      <c r="F367" s="146" t="s">
        <v>626</v>
      </c>
      <c r="G367" s="154">
        <v>796685092</v>
      </c>
      <c r="H367" s="146" t="s">
        <v>256</v>
      </c>
      <c r="I367" s="52" t="s">
        <v>283</v>
      </c>
      <c r="J367" s="156" t="s">
        <v>271</v>
      </c>
      <c r="K367" s="53">
        <v>52152</v>
      </c>
      <c r="L367" s="151">
        <v>5</v>
      </c>
    </row>
    <row r="368" spans="1:12">
      <c r="A368" s="146" t="s">
        <v>431</v>
      </c>
      <c r="B368" s="155">
        <v>9195085809</v>
      </c>
      <c r="C368" s="153">
        <v>34795</v>
      </c>
      <c r="D368" s="51">
        <f t="shared" ca="1" si="10"/>
        <v>21</v>
      </c>
      <c r="E368" s="152" t="str">
        <f t="shared" si="11"/>
        <v>April</v>
      </c>
      <c r="F368" s="146" t="s">
        <v>626</v>
      </c>
      <c r="G368" s="154">
        <v>443476169</v>
      </c>
      <c r="H368" s="146" t="s">
        <v>256</v>
      </c>
      <c r="I368" s="52" t="s">
        <v>267</v>
      </c>
      <c r="J368" s="156" t="s">
        <v>285</v>
      </c>
      <c r="K368" s="53">
        <v>103848</v>
      </c>
      <c r="L368" s="151">
        <v>4</v>
      </c>
    </row>
    <row r="369" spans="1:12">
      <c r="A369" s="146" t="s">
        <v>686</v>
      </c>
      <c r="B369" s="155">
        <v>9197803578</v>
      </c>
      <c r="C369" s="153">
        <v>34762</v>
      </c>
      <c r="D369" s="51">
        <f t="shared" ca="1" si="10"/>
        <v>21</v>
      </c>
      <c r="E369" s="152" t="str">
        <f t="shared" si="11"/>
        <v>March</v>
      </c>
      <c r="F369" s="146" t="s">
        <v>626</v>
      </c>
      <c r="G369" s="154">
        <v>254201611</v>
      </c>
      <c r="H369" s="146" t="s">
        <v>256</v>
      </c>
      <c r="I369" s="52" t="s">
        <v>267</v>
      </c>
      <c r="J369" s="156" t="s">
        <v>285</v>
      </c>
      <c r="K369" s="53">
        <v>54216</v>
      </c>
      <c r="L369" s="151">
        <v>5</v>
      </c>
    </row>
    <row r="370" spans="1:12">
      <c r="A370" s="146" t="s">
        <v>336</v>
      </c>
      <c r="B370" s="155">
        <v>2525268508</v>
      </c>
      <c r="C370" s="153">
        <v>37894</v>
      </c>
      <c r="D370" s="51">
        <f t="shared" ca="1" si="10"/>
        <v>13</v>
      </c>
      <c r="E370" s="152" t="str">
        <f t="shared" si="11"/>
        <v>September</v>
      </c>
      <c r="F370" s="146" t="s">
        <v>626</v>
      </c>
      <c r="G370" s="154">
        <v>393290045</v>
      </c>
      <c r="H370" s="146" t="s">
        <v>261</v>
      </c>
      <c r="I370" s="52" t="s">
        <v>262</v>
      </c>
      <c r="J370" s="156" t="s">
        <v>271</v>
      </c>
      <c r="K370" s="53">
        <v>56754</v>
      </c>
      <c r="L370" s="151">
        <v>4</v>
      </c>
    </row>
    <row r="371" spans="1:12">
      <c r="A371" s="146" t="s">
        <v>656</v>
      </c>
      <c r="B371" s="155">
        <v>9193262077</v>
      </c>
      <c r="C371" s="153">
        <v>37431</v>
      </c>
      <c r="D371" s="51">
        <f t="shared" ca="1" si="10"/>
        <v>14</v>
      </c>
      <c r="E371" s="152" t="str">
        <f t="shared" si="11"/>
        <v>June</v>
      </c>
      <c r="F371" s="146" t="s">
        <v>626</v>
      </c>
      <c r="G371" s="154">
        <v>157257652</v>
      </c>
      <c r="H371" s="146" t="s">
        <v>247</v>
      </c>
      <c r="I371" s="52"/>
      <c r="J371" s="156" t="s">
        <v>285</v>
      </c>
      <c r="K371" s="53">
        <v>60240</v>
      </c>
      <c r="L371" s="151">
        <v>4</v>
      </c>
    </row>
    <row r="372" spans="1:12">
      <c r="A372" s="146" t="s">
        <v>727</v>
      </c>
      <c r="B372" s="155">
        <v>2521588597</v>
      </c>
      <c r="C372" s="153">
        <v>40937</v>
      </c>
      <c r="D372" s="51">
        <f t="shared" ca="1" si="10"/>
        <v>4</v>
      </c>
      <c r="E372" s="152" t="str">
        <f t="shared" si="11"/>
        <v>January</v>
      </c>
      <c r="F372" s="146" t="s">
        <v>626</v>
      </c>
      <c r="G372" s="154">
        <v>649234799</v>
      </c>
      <c r="H372" s="146" t="s">
        <v>256</v>
      </c>
      <c r="I372" s="52" t="s">
        <v>283</v>
      </c>
      <c r="J372" s="156" t="s">
        <v>271</v>
      </c>
      <c r="K372" s="53">
        <v>54312</v>
      </c>
      <c r="L372" s="151">
        <v>4</v>
      </c>
    </row>
    <row r="373" spans="1:12">
      <c r="A373" s="146" t="s">
        <v>823</v>
      </c>
      <c r="B373" s="155">
        <v>9194900864</v>
      </c>
      <c r="C373" s="153">
        <v>36010</v>
      </c>
      <c r="D373" s="51">
        <f t="shared" ca="1" si="10"/>
        <v>18</v>
      </c>
      <c r="E373" s="152" t="str">
        <f t="shared" si="11"/>
        <v>August</v>
      </c>
      <c r="F373" s="146" t="s">
        <v>626</v>
      </c>
      <c r="G373" s="154">
        <v>634954970</v>
      </c>
      <c r="H373" s="146" t="s">
        <v>256</v>
      </c>
      <c r="I373" s="52" t="s">
        <v>257</v>
      </c>
      <c r="J373" s="156" t="s">
        <v>251</v>
      </c>
      <c r="K373" s="53">
        <v>69072</v>
      </c>
      <c r="L373" s="151">
        <v>4</v>
      </c>
    </row>
    <row r="374" spans="1:12">
      <c r="A374" s="146" t="s">
        <v>338</v>
      </c>
      <c r="B374" s="155">
        <v>9194713628</v>
      </c>
      <c r="C374" s="153">
        <v>34334</v>
      </c>
      <c r="D374" s="51">
        <f t="shared" ca="1" si="10"/>
        <v>22</v>
      </c>
      <c r="E374" s="152" t="str">
        <f t="shared" si="11"/>
        <v>December</v>
      </c>
      <c r="F374" s="146" t="s">
        <v>626</v>
      </c>
      <c r="G374" s="154">
        <v>751878224</v>
      </c>
      <c r="H374" s="146" t="s">
        <v>256</v>
      </c>
      <c r="I374" s="52" t="s">
        <v>262</v>
      </c>
      <c r="J374" s="156" t="s">
        <v>285</v>
      </c>
      <c r="K374" s="53">
        <v>104544</v>
      </c>
      <c r="L374" s="151">
        <v>3</v>
      </c>
    </row>
    <row r="375" spans="1:12">
      <c r="A375" s="146" t="s">
        <v>987</v>
      </c>
      <c r="B375" s="155">
        <v>9195252544</v>
      </c>
      <c r="C375" s="153">
        <v>36920</v>
      </c>
      <c r="D375" s="51">
        <f t="shared" ca="1" si="10"/>
        <v>15</v>
      </c>
      <c r="E375" s="152" t="str">
        <f t="shared" si="11"/>
        <v>January</v>
      </c>
      <c r="F375" s="146" t="s">
        <v>626</v>
      </c>
      <c r="G375" s="154">
        <v>259330447</v>
      </c>
      <c r="H375" s="146" t="s">
        <v>247</v>
      </c>
      <c r="I375" s="52"/>
      <c r="J375" s="156" t="s">
        <v>245</v>
      </c>
      <c r="K375" s="53">
        <v>57144</v>
      </c>
      <c r="L375" s="151">
        <v>5</v>
      </c>
    </row>
    <row r="376" spans="1:12">
      <c r="A376" s="146" t="s">
        <v>658</v>
      </c>
      <c r="B376" s="155">
        <v>2527451745</v>
      </c>
      <c r="C376" s="153">
        <v>35603</v>
      </c>
      <c r="D376" s="51">
        <f t="shared" ca="1" si="10"/>
        <v>19</v>
      </c>
      <c r="E376" s="152" t="str">
        <f t="shared" si="11"/>
        <v>June</v>
      </c>
      <c r="F376" s="146" t="s">
        <v>626</v>
      </c>
      <c r="G376" s="154">
        <v>385074661</v>
      </c>
      <c r="H376" s="146" t="s">
        <v>256</v>
      </c>
      <c r="I376" s="52" t="s">
        <v>276</v>
      </c>
      <c r="J376" s="156" t="s">
        <v>285</v>
      </c>
      <c r="K376" s="53">
        <v>80304</v>
      </c>
      <c r="L376" s="151">
        <v>2</v>
      </c>
    </row>
    <row r="377" spans="1:12">
      <c r="A377" s="146" t="s">
        <v>555</v>
      </c>
      <c r="B377" s="155">
        <v>9196530760</v>
      </c>
      <c r="C377" s="153">
        <v>37869</v>
      </c>
      <c r="D377" s="51">
        <f t="shared" ca="1" si="10"/>
        <v>13</v>
      </c>
      <c r="E377" s="152" t="str">
        <f t="shared" si="11"/>
        <v>September</v>
      </c>
      <c r="F377" s="146" t="s">
        <v>626</v>
      </c>
      <c r="G377" s="154">
        <v>168147877</v>
      </c>
      <c r="H377" s="146" t="s">
        <v>261</v>
      </c>
      <c r="I377" s="52" t="s">
        <v>276</v>
      </c>
      <c r="J377" s="156" t="s">
        <v>280</v>
      </c>
      <c r="K377" s="53">
        <v>19092</v>
      </c>
      <c r="L377" s="151">
        <v>3</v>
      </c>
    </row>
    <row r="378" spans="1:12">
      <c r="A378" s="146" t="s">
        <v>903</v>
      </c>
      <c r="B378" s="155">
        <v>9195978858</v>
      </c>
      <c r="C378" s="153">
        <v>36849</v>
      </c>
      <c r="D378" s="51">
        <f t="shared" ca="1" si="10"/>
        <v>15</v>
      </c>
      <c r="E378" s="152" t="str">
        <f t="shared" si="11"/>
        <v>November</v>
      </c>
      <c r="F378" s="146" t="s">
        <v>626</v>
      </c>
      <c r="G378" s="154">
        <v>499124019</v>
      </c>
      <c r="H378" s="146" t="s">
        <v>261</v>
      </c>
      <c r="I378" s="52" t="s">
        <v>283</v>
      </c>
      <c r="J378" s="156" t="s">
        <v>245</v>
      </c>
      <c r="K378" s="53">
        <v>34656</v>
      </c>
      <c r="L378" s="151">
        <v>3</v>
      </c>
    </row>
    <row r="379" spans="1:12">
      <c r="A379" s="146" t="s">
        <v>826</v>
      </c>
      <c r="B379" s="155">
        <v>2527722509</v>
      </c>
      <c r="C379" s="153">
        <v>39090</v>
      </c>
      <c r="D379" s="51">
        <f t="shared" ca="1" si="10"/>
        <v>9</v>
      </c>
      <c r="E379" s="152" t="str">
        <f t="shared" si="11"/>
        <v>January</v>
      </c>
      <c r="F379" s="146" t="s">
        <v>626</v>
      </c>
      <c r="G379" s="154">
        <v>364404060</v>
      </c>
      <c r="H379" s="146" t="s">
        <v>261</v>
      </c>
      <c r="I379" s="52" t="s">
        <v>257</v>
      </c>
      <c r="J379" s="156" t="s">
        <v>285</v>
      </c>
      <c r="K379" s="53">
        <v>37506</v>
      </c>
      <c r="L379" s="151">
        <v>5</v>
      </c>
    </row>
    <row r="380" spans="1:12">
      <c r="A380" s="146" t="s">
        <v>345</v>
      </c>
      <c r="B380" s="155">
        <v>9194331646</v>
      </c>
      <c r="C380" s="153">
        <v>33951</v>
      </c>
      <c r="D380" s="51">
        <f t="shared" ca="1" si="10"/>
        <v>23</v>
      </c>
      <c r="E380" s="152" t="str">
        <f t="shared" si="11"/>
        <v>December</v>
      </c>
      <c r="F380" s="146" t="s">
        <v>626</v>
      </c>
      <c r="G380" s="154">
        <v>738946277</v>
      </c>
      <c r="H380" s="146" t="s">
        <v>256</v>
      </c>
      <c r="I380" s="52" t="s">
        <v>262</v>
      </c>
      <c r="J380" s="156" t="s">
        <v>245</v>
      </c>
      <c r="K380" s="53">
        <v>37512</v>
      </c>
      <c r="L380" s="151">
        <v>5</v>
      </c>
    </row>
    <row r="381" spans="1:12">
      <c r="A381" s="146" t="s">
        <v>347</v>
      </c>
      <c r="B381" s="155">
        <v>9192490678</v>
      </c>
      <c r="C381" s="153">
        <v>35675</v>
      </c>
      <c r="D381" s="51">
        <f t="shared" ca="1" si="10"/>
        <v>19</v>
      </c>
      <c r="E381" s="152" t="str">
        <f t="shared" si="11"/>
        <v>September</v>
      </c>
      <c r="F381" s="146" t="s">
        <v>626</v>
      </c>
      <c r="G381" s="154">
        <v>991764142</v>
      </c>
      <c r="H381" s="146" t="s">
        <v>247</v>
      </c>
      <c r="I381" s="52"/>
      <c r="J381" s="156" t="s">
        <v>280</v>
      </c>
      <c r="K381" s="53">
        <v>98316</v>
      </c>
      <c r="L381" s="151">
        <v>5</v>
      </c>
    </row>
    <row r="382" spans="1:12">
      <c r="A382" s="146" t="s">
        <v>565</v>
      </c>
      <c r="B382" s="155">
        <v>2522256131</v>
      </c>
      <c r="C382" s="153">
        <v>34033</v>
      </c>
      <c r="D382" s="51">
        <f t="shared" ca="1" si="10"/>
        <v>23</v>
      </c>
      <c r="E382" s="152" t="str">
        <f t="shared" si="11"/>
        <v>March</v>
      </c>
      <c r="F382" s="146" t="s">
        <v>626</v>
      </c>
      <c r="G382" s="154">
        <v>643272576</v>
      </c>
      <c r="H382" s="146" t="s">
        <v>252</v>
      </c>
      <c r="I382" s="52"/>
      <c r="J382" s="156" t="s">
        <v>285</v>
      </c>
      <c r="K382" s="53">
        <v>44213</v>
      </c>
      <c r="L382" s="151">
        <v>4</v>
      </c>
    </row>
    <row r="383" spans="1:12">
      <c r="A383" s="146" t="s">
        <v>761</v>
      </c>
      <c r="B383" s="155">
        <v>2526674988</v>
      </c>
      <c r="C383" s="153">
        <v>35982</v>
      </c>
      <c r="D383" s="51">
        <f t="shared" ca="1" si="10"/>
        <v>18</v>
      </c>
      <c r="E383" s="152" t="str">
        <f t="shared" si="11"/>
        <v>July</v>
      </c>
      <c r="F383" s="146" t="s">
        <v>626</v>
      </c>
      <c r="G383" s="154">
        <v>343897392</v>
      </c>
      <c r="H383" s="146" t="s">
        <v>256</v>
      </c>
      <c r="I383" s="52" t="s">
        <v>257</v>
      </c>
      <c r="J383" s="156" t="s">
        <v>245</v>
      </c>
      <c r="K383" s="53">
        <v>58560</v>
      </c>
      <c r="L383" s="151">
        <v>4</v>
      </c>
    </row>
    <row r="384" spans="1:12">
      <c r="A384" s="146" t="s">
        <v>407</v>
      </c>
      <c r="B384" s="155">
        <v>9191462245</v>
      </c>
      <c r="C384" s="153">
        <v>36275</v>
      </c>
      <c r="D384" s="51">
        <f t="shared" ca="1" si="10"/>
        <v>17</v>
      </c>
      <c r="E384" s="152" t="str">
        <f t="shared" si="11"/>
        <v>April</v>
      </c>
      <c r="F384" s="146" t="s">
        <v>626</v>
      </c>
      <c r="G384" s="154">
        <v>983891302</v>
      </c>
      <c r="H384" s="146" t="s">
        <v>256</v>
      </c>
      <c r="I384" s="52" t="s">
        <v>257</v>
      </c>
      <c r="J384" s="156" t="s">
        <v>285</v>
      </c>
      <c r="K384" s="53">
        <v>97968</v>
      </c>
      <c r="L384" s="151">
        <v>4</v>
      </c>
    </row>
    <row r="385" spans="1:12">
      <c r="A385" s="146" t="s">
        <v>915</v>
      </c>
      <c r="B385" s="155">
        <v>9195594427</v>
      </c>
      <c r="C385" s="153">
        <v>36927</v>
      </c>
      <c r="D385" s="51">
        <f t="shared" ca="1" si="10"/>
        <v>15</v>
      </c>
      <c r="E385" s="152" t="str">
        <f t="shared" si="11"/>
        <v>February</v>
      </c>
      <c r="F385" s="146" t="s">
        <v>626</v>
      </c>
      <c r="G385" s="154">
        <v>345817459</v>
      </c>
      <c r="H385" s="146" t="s">
        <v>247</v>
      </c>
      <c r="I385" s="52"/>
      <c r="J385" s="156" t="s">
        <v>251</v>
      </c>
      <c r="K385" s="53">
        <v>37524</v>
      </c>
      <c r="L385" s="151">
        <v>5</v>
      </c>
    </row>
    <row r="386" spans="1:12">
      <c r="A386" s="146" t="s">
        <v>1009</v>
      </c>
      <c r="B386" s="155">
        <v>2524273090</v>
      </c>
      <c r="C386" s="153">
        <v>34905</v>
      </c>
      <c r="D386" s="51">
        <f t="shared" ref="D386:D449" ca="1" si="12">DATEDIF(C386,TODAY(),"Y")</f>
        <v>21</v>
      </c>
      <c r="E386" s="152" t="str">
        <f t="shared" ref="E386:E449" si="13">CHOOSE(MONTH(C386),"January","February","March","April","May","June","July","August","September","October","November","December")</f>
        <v>July</v>
      </c>
      <c r="F386" s="146" t="s">
        <v>626</v>
      </c>
      <c r="G386" s="154">
        <v>422957475</v>
      </c>
      <c r="H386" s="146" t="s">
        <v>256</v>
      </c>
      <c r="I386" s="52" t="s">
        <v>283</v>
      </c>
      <c r="J386" s="156" t="s">
        <v>285</v>
      </c>
      <c r="K386" s="53">
        <v>78300</v>
      </c>
      <c r="L386" s="151">
        <v>2</v>
      </c>
    </row>
    <row r="387" spans="1:12">
      <c r="A387" s="146" t="s">
        <v>594</v>
      </c>
      <c r="B387" s="155">
        <v>2527726916</v>
      </c>
      <c r="C387" s="153">
        <v>40599</v>
      </c>
      <c r="D387" s="51">
        <f t="shared" ca="1" si="12"/>
        <v>5</v>
      </c>
      <c r="E387" s="152" t="str">
        <f t="shared" si="13"/>
        <v>February</v>
      </c>
      <c r="F387" s="146" t="s">
        <v>626</v>
      </c>
      <c r="G387" s="154">
        <v>132016163</v>
      </c>
      <c r="H387" s="146" t="s">
        <v>261</v>
      </c>
      <c r="I387" s="52" t="s">
        <v>267</v>
      </c>
      <c r="J387" s="156" t="s">
        <v>245</v>
      </c>
      <c r="K387" s="53">
        <v>46290</v>
      </c>
      <c r="L387" s="151">
        <v>2</v>
      </c>
    </row>
    <row r="388" spans="1:12">
      <c r="A388" s="146" t="s">
        <v>672</v>
      </c>
      <c r="B388" s="155">
        <v>9194679864</v>
      </c>
      <c r="C388" s="153">
        <v>36246</v>
      </c>
      <c r="D388" s="51">
        <f t="shared" ca="1" si="12"/>
        <v>17</v>
      </c>
      <c r="E388" s="152" t="str">
        <f t="shared" si="13"/>
        <v>March</v>
      </c>
      <c r="F388" s="146" t="s">
        <v>626</v>
      </c>
      <c r="G388" s="154">
        <v>650784238</v>
      </c>
      <c r="H388" s="146" t="s">
        <v>247</v>
      </c>
      <c r="I388" s="52"/>
      <c r="J388" s="156" t="s">
        <v>266</v>
      </c>
      <c r="K388" s="53">
        <v>64644</v>
      </c>
      <c r="L388" s="151">
        <v>2</v>
      </c>
    </row>
    <row r="389" spans="1:12">
      <c r="A389" s="146" t="s">
        <v>842</v>
      </c>
      <c r="B389" s="155">
        <v>2521683770</v>
      </c>
      <c r="C389" s="153">
        <v>36844</v>
      </c>
      <c r="D389" s="51">
        <f t="shared" ca="1" si="12"/>
        <v>15</v>
      </c>
      <c r="E389" s="152" t="str">
        <f t="shared" si="13"/>
        <v>November</v>
      </c>
      <c r="F389" s="146" t="s">
        <v>626</v>
      </c>
      <c r="G389" s="154">
        <v>567266382</v>
      </c>
      <c r="H389" s="146" t="s">
        <v>256</v>
      </c>
      <c r="I389" s="52" t="s">
        <v>276</v>
      </c>
      <c r="J389" s="156" t="s">
        <v>285</v>
      </c>
      <c r="K389" s="53">
        <v>59724</v>
      </c>
      <c r="L389" s="151">
        <v>1</v>
      </c>
    </row>
    <row r="390" spans="1:12">
      <c r="A390" s="146" t="s">
        <v>926</v>
      </c>
      <c r="B390" s="155">
        <v>2521620909</v>
      </c>
      <c r="C390" s="153">
        <v>34423</v>
      </c>
      <c r="D390" s="51">
        <f t="shared" ca="1" si="12"/>
        <v>22</v>
      </c>
      <c r="E390" s="152" t="str">
        <f t="shared" si="13"/>
        <v>March</v>
      </c>
      <c r="F390" s="146" t="s">
        <v>626</v>
      </c>
      <c r="G390" s="154">
        <v>275102740</v>
      </c>
      <c r="H390" s="146" t="s">
        <v>256</v>
      </c>
      <c r="I390" s="52" t="s">
        <v>262</v>
      </c>
      <c r="J390" s="156" t="s">
        <v>285</v>
      </c>
      <c r="K390" s="53">
        <v>72672</v>
      </c>
      <c r="L390" s="151">
        <v>4</v>
      </c>
    </row>
    <row r="391" spans="1:12">
      <c r="A391" s="146" t="s">
        <v>675</v>
      </c>
      <c r="B391" s="155">
        <v>9194378387</v>
      </c>
      <c r="C391" s="153">
        <v>37668</v>
      </c>
      <c r="D391" s="51">
        <f t="shared" ca="1" si="12"/>
        <v>13</v>
      </c>
      <c r="E391" s="152" t="str">
        <f t="shared" si="13"/>
        <v>February</v>
      </c>
      <c r="F391" s="146" t="s">
        <v>626</v>
      </c>
      <c r="G391" s="154">
        <v>662247915</v>
      </c>
      <c r="H391" s="146" t="s">
        <v>256</v>
      </c>
      <c r="I391" s="52" t="s">
        <v>257</v>
      </c>
      <c r="J391" s="156" t="s">
        <v>245</v>
      </c>
      <c r="K391" s="53">
        <v>58788</v>
      </c>
      <c r="L391" s="151">
        <v>5</v>
      </c>
    </row>
    <row r="392" spans="1:12">
      <c r="A392" s="146" t="s">
        <v>764</v>
      </c>
      <c r="B392" s="155">
        <v>2524652136</v>
      </c>
      <c r="C392" s="153">
        <v>34782</v>
      </c>
      <c r="D392" s="51">
        <f t="shared" ca="1" si="12"/>
        <v>21</v>
      </c>
      <c r="E392" s="152" t="str">
        <f t="shared" si="13"/>
        <v>March</v>
      </c>
      <c r="F392" s="146" t="s">
        <v>626</v>
      </c>
      <c r="G392" s="154">
        <v>466400098</v>
      </c>
      <c r="H392" s="146" t="s">
        <v>247</v>
      </c>
      <c r="I392" s="52"/>
      <c r="J392" s="156" t="s">
        <v>266</v>
      </c>
      <c r="K392" s="53">
        <v>34800</v>
      </c>
      <c r="L392" s="151">
        <v>5</v>
      </c>
    </row>
    <row r="393" spans="1:12">
      <c r="A393" s="146" t="s">
        <v>473</v>
      </c>
      <c r="B393" s="155">
        <v>9197494648</v>
      </c>
      <c r="C393" s="153">
        <v>37194</v>
      </c>
      <c r="D393" s="51">
        <f t="shared" ca="1" si="12"/>
        <v>15</v>
      </c>
      <c r="E393" s="152" t="str">
        <f t="shared" si="13"/>
        <v>October</v>
      </c>
      <c r="F393" s="146" t="s">
        <v>678</v>
      </c>
      <c r="G393" s="154">
        <v>113377726</v>
      </c>
      <c r="H393" s="146" t="s">
        <v>256</v>
      </c>
      <c r="I393" s="52" t="s">
        <v>283</v>
      </c>
      <c r="J393" s="156" t="s">
        <v>266</v>
      </c>
      <c r="K393" s="53">
        <v>82092</v>
      </c>
      <c r="L393" s="151">
        <v>5</v>
      </c>
    </row>
    <row r="394" spans="1:12">
      <c r="A394" s="146" t="s">
        <v>637</v>
      </c>
      <c r="B394" s="155">
        <v>2521919147</v>
      </c>
      <c r="C394" s="153">
        <v>36109</v>
      </c>
      <c r="D394" s="51">
        <f t="shared" ca="1" si="12"/>
        <v>18</v>
      </c>
      <c r="E394" s="152" t="str">
        <f t="shared" si="13"/>
        <v>November</v>
      </c>
      <c r="F394" s="146" t="s">
        <v>678</v>
      </c>
      <c r="G394" s="154">
        <v>788832967</v>
      </c>
      <c r="H394" s="146" t="s">
        <v>252</v>
      </c>
      <c r="I394" s="52"/>
      <c r="J394" s="156" t="s">
        <v>271</v>
      </c>
      <c r="K394" s="53">
        <v>42374</v>
      </c>
      <c r="L394" s="151">
        <v>3</v>
      </c>
    </row>
    <row r="395" spans="1:12">
      <c r="A395" s="146" t="s">
        <v>299</v>
      </c>
      <c r="B395" s="155">
        <v>2523820613</v>
      </c>
      <c r="C395" s="153">
        <v>36812</v>
      </c>
      <c r="D395" s="51">
        <f t="shared" ca="1" si="12"/>
        <v>16</v>
      </c>
      <c r="E395" s="152" t="str">
        <f t="shared" si="13"/>
        <v>October</v>
      </c>
      <c r="F395" s="146" t="s">
        <v>678</v>
      </c>
      <c r="G395" s="154">
        <v>797431044</v>
      </c>
      <c r="H395" s="146" t="s">
        <v>252</v>
      </c>
      <c r="I395" s="52"/>
      <c r="J395" s="156" t="s">
        <v>271</v>
      </c>
      <c r="K395" s="53">
        <v>26002</v>
      </c>
      <c r="L395" s="151">
        <v>4</v>
      </c>
    </row>
    <row r="396" spans="1:12">
      <c r="A396" s="146" t="s">
        <v>326</v>
      </c>
      <c r="B396" s="155">
        <v>2524373324</v>
      </c>
      <c r="C396" s="153">
        <v>41061</v>
      </c>
      <c r="D396" s="51">
        <f t="shared" ca="1" si="12"/>
        <v>4</v>
      </c>
      <c r="E396" s="152" t="str">
        <f t="shared" si="13"/>
        <v>June</v>
      </c>
      <c r="F396" s="146" t="s">
        <v>678</v>
      </c>
      <c r="G396" s="154">
        <v>755945415</v>
      </c>
      <c r="H396" s="146" t="s">
        <v>247</v>
      </c>
      <c r="I396" s="52"/>
      <c r="J396" s="156" t="s">
        <v>251</v>
      </c>
      <c r="K396" s="53">
        <v>88824</v>
      </c>
      <c r="L396" s="151">
        <v>2</v>
      </c>
    </row>
    <row r="397" spans="1:12">
      <c r="A397" s="146" t="s">
        <v>720</v>
      </c>
      <c r="B397" s="155">
        <v>9193820411</v>
      </c>
      <c r="C397" s="153">
        <v>35849</v>
      </c>
      <c r="D397" s="51">
        <f t="shared" ca="1" si="12"/>
        <v>18</v>
      </c>
      <c r="E397" s="152" t="str">
        <f t="shared" si="13"/>
        <v>February</v>
      </c>
      <c r="F397" s="146" t="s">
        <v>678</v>
      </c>
      <c r="G397" s="154">
        <v>414905182</v>
      </c>
      <c r="H397" s="146" t="s">
        <v>256</v>
      </c>
      <c r="I397" s="52" t="s">
        <v>283</v>
      </c>
      <c r="J397" s="156" t="s">
        <v>285</v>
      </c>
      <c r="K397" s="53">
        <v>27432</v>
      </c>
      <c r="L397" s="151">
        <v>5</v>
      </c>
    </row>
    <row r="398" spans="1:12">
      <c r="A398" s="146" t="s">
        <v>967</v>
      </c>
      <c r="B398" s="155">
        <v>9192126707</v>
      </c>
      <c r="C398" s="153">
        <v>34469</v>
      </c>
      <c r="D398" s="51">
        <f t="shared" ca="1" si="12"/>
        <v>22</v>
      </c>
      <c r="E398" s="152" t="str">
        <f t="shared" si="13"/>
        <v>May</v>
      </c>
      <c r="F398" s="146" t="s">
        <v>678</v>
      </c>
      <c r="G398" s="154">
        <v>468953266</v>
      </c>
      <c r="H398" s="146" t="s">
        <v>256</v>
      </c>
      <c r="I398" s="52" t="s">
        <v>257</v>
      </c>
      <c r="J398" s="156" t="s">
        <v>285</v>
      </c>
      <c r="K398" s="53">
        <v>58260</v>
      </c>
      <c r="L398" s="151">
        <v>5</v>
      </c>
    </row>
    <row r="399" spans="1:12">
      <c r="A399" s="146" t="s">
        <v>644</v>
      </c>
      <c r="B399" s="155">
        <v>2528183445</v>
      </c>
      <c r="C399" s="153">
        <v>34345</v>
      </c>
      <c r="D399" s="51">
        <f t="shared" ca="1" si="12"/>
        <v>22</v>
      </c>
      <c r="E399" s="152" t="str">
        <f t="shared" si="13"/>
        <v>January</v>
      </c>
      <c r="F399" s="146" t="s">
        <v>678</v>
      </c>
      <c r="G399" s="154">
        <v>247555666</v>
      </c>
      <c r="H399" s="146" t="s">
        <v>256</v>
      </c>
      <c r="I399" s="52" t="s">
        <v>257</v>
      </c>
      <c r="J399" s="156" t="s">
        <v>280</v>
      </c>
      <c r="K399" s="53">
        <v>46932</v>
      </c>
      <c r="L399" s="151">
        <v>5</v>
      </c>
    </row>
    <row r="400" spans="1:12">
      <c r="A400" s="146" t="s">
        <v>814</v>
      </c>
      <c r="B400" s="155">
        <v>9192529195</v>
      </c>
      <c r="C400" s="153">
        <v>36775</v>
      </c>
      <c r="D400" s="51">
        <f t="shared" ca="1" si="12"/>
        <v>16</v>
      </c>
      <c r="E400" s="152" t="str">
        <f t="shared" si="13"/>
        <v>September</v>
      </c>
      <c r="F400" s="146" t="s">
        <v>678</v>
      </c>
      <c r="G400" s="154">
        <v>550291321</v>
      </c>
      <c r="H400" s="146" t="s">
        <v>247</v>
      </c>
      <c r="I400" s="52"/>
      <c r="J400" s="156" t="s">
        <v>245</v>
      </c>
      <c r="K400" s="53">
        <v>86976</v>
      </c>
      <c r="L400" s="151">
        <v>2</v>
      </c>
    </row>
    <row r="401" spans="1:12">
      <c r="A401" s="146" t="s">
        <v>387</v>
      </c>
      <c r="B401" s="155">
        <v>9194605984</v>
      </c>
      <c r="C401" s="153">
        <v>38555</v>
      </c>
      <c r="D401" s="51">
        <f t="shared" ca="1" si="12"/>
        <v>11</v>
      </c>
      <c r="E401" s="152" t="str">
        <f t="shared" si="13"/>
        <v>July</v>
      </c>
      <c r="F401" s="146" t="s">
        <v>678</v>
      </c>
      <c r="G401" s="154">
        <v>917195248</v>
      </c>
      <c r="H401" s="146" t="s">
        <v>252</v>
      </c>
      <c r="I401" s="52"/>
      <c r="J401" s="156" t="s">
        <v>266</v>
      </c>
      <c r="K401" s="53">
        <v>13253</v>
      </c>
      <c r="L401" s="151">
        <v>2</v>
      </c>
    </row>
    <row r="402" spans="1:12">
      <c r="A402" s="146" t="s">
        <v>542</v>
      </c>
      <c r="B402" s="155">
        <v>9196109756</v>
      </c>
      <c r="C402" s="153">
        <v>36903</v>
      </c>
      <c r="D402" s="51">
        <f t="shared" ca="1" si="12"/>
        <v>15</v>
      </c>
      <c r="E402" s="152" t="str">
        <f t="shared" si="13"/>
        <v>January</v>
      </c>
      <c r="F402" s="146" t="s">
        <v>678</v>
      </c>
      <c r="G402" s="154">
        <v>332302868</v>
      </c>
      <c r="H402" s="146" t="s">
        <v>256</v>
      </c>
      <c r="I402" s="52" t="s">
        <v>283</v>
      </c>
      <c r="J402" s="156" t="s">
        <v>271</v>
      </c>
      <c r="K402" s="53">
        <v>28224</v>
      </c>
      <c r="L402" s="151">
        <v>2</v>
      </c>
    </row>
    <row r="403" spans="1:12">
      <c r="A403" s="146" t="s">
        <v>337</v>
      </c>
      <c r="B403" s="155">
        <v>9196753698</v>
      </c>
      <c r="C403" s="153">
        <v>35878</v>
      </c>
      <c r="D403" s="51">
        <f t="shared" ca="1" si="12"/>
        <v>18</v>
      </c>
      <c r="E403" s="152" t="str">
        <f t="shared" si="13"/>
        <v>March</v>
      </c>
      <c r="F403" s="146" t="s">
        <v>678</v>
      </c>
      <c r="G403" s="154">
        <v>303641529</v>
      </c>
      <c r="H403" s="146" t="s">
        <v>261</v>
      </c>
      <c r="I403" s="52" t="s">
        <v>257</v>
      </c>
      <c r="J403" s="156" t="s">
        <v>280</v>
      </c>
      <c r="K403" s="53">
        <v>59286</v>
      </c>
      <c r="L403" s="151">
        <v>4</v>
      </c>
    </row>
    <row r="404" spans="1:12">
      <c r="A404" s="146" t="s">
        <v>728</v>
      </c>
      <c r="B404" s="155">
        <v>2522523567</v>
      </c>
      <c r="C404" s="153">
        <v>37964</v>
      </c>
      <c r="D404" s="51">
        <f t="shared" ca="1" si="12"/>
        <v>12</v>
      </c>
      <c r="E404" s="152" t="str">
        <f t="shared" si="13"/>
        <v>December</v>
      </c>
      <c r="F404" s="146" t="s">
        <v>678</v>
      </c>
      <c r="G404" s="154">
        <v>261486180</v>
      </c>
      <c r="H404" s="146" t="s">
        <v>247</v>
      </c>
      <c r="I404" s="52"/>
      <c r="J404" s="156" t="s">
        <v>245</v>
      </c>
      <c r="K404" s="53">
        <v>35448</v>
      </c>
      <c r="L404" s="151">
        <v>3</v>
      </c>
    </row>
    <row r="405" spans="1:12">
      <c r="A405" s="146" t="s">
        <v>551</v>
      </c>
      <c r="B405" s="155">
        <v>2521389906</v>
      </c>
      <c r="C405" s="153">
        <v>37626</v>
      </c>
      <c r="D405" s="51">
        <f t="shared" ca="1" si="12"/>
        <v>13</v>
      </c>
      <c r="E405" s="152" t="str">
        <f t="shared" si="13"/>
        <v>January</v>
      </c>
      <c r="F405" s="146" t="s">
        <v>678</v>
      </c>
      <c r="G405" s="154">
        <v>221364716</v>
      </c>
      <c r="H405" s="146" t="s">
        <v>256</v>
      </c>
      <c r="I405" s="52" t="s">
        <v>257</v>
      </c>
      <c r="J405" s="156" t="s">
        <v>271</v>
      </c>
      <c r="K405" s="53">
        <v>86184</v>
      </c>
      <c r="L405" s="151">
        <v>2</v>
      </c>
    </row>
    <row r="406" spans="1:12">
      <c r="A406" s="146" t="s">
        <v>300</v>
      </c>
      <c r="B406" s="155">
        <v>9197187041</v>
      </c>
      <c r="C406" s="153">
        <v>38531</v>
      </c>
      <c r="D406" s="51">
        <f t="shared" ca="1" si="12"/>
        <v>11</v>
      </c>
      <c r="E406" s="152" t="str">
        <f t="shared" si="13"/>
        <v>June</v>
      </c>
      <c r="F406" s="146" t="s">
        <v>678</v>
      </c>
      <c r="G406" s="154">
        <v>167646549</v>
      </c>
      <c r="H406" s="146" t="s">
        <v>247</v>
      </c>
      <c r="I406" s="52"/>
      <c r="J406" s="156" t="s">
        <v>285</v>
      </c>
      <c r="K406" s="53">
        <v>93720</v>
      </c>
      <c r="L406" s="151">
        <v>3</v>
      </c>
    </row>
    <row r="407" spans="1:12">
      <c r="A407" s="146" t="s">
        <v>441</v>
      </c>
      <c r="B407" s="155">
        <v>9191617913</v>
      </c>
      <c r="C407" s="153">
        <v>36452</v>
      </c>
      <c r="D407" s="51">
        <f t="shared" ca="1" si="12"/>
        <v>17</v>
      </c>
      <c r="E407" s="152" t="str">
        <f t="shared" si="13"/>
        <v>October</v>
      </c>
      <c r="F407" s="146" t="s">
        <v>678</v>
      </c>
      <c r="G407" s="154">
        <v>859204644</v>
      </c>
      <c r="H407" s="146" t="s">
        <v>247</v>
      </c>
      <c r="I407" s="52"/>
      <c r="J407" s="156" t="s">
        <v>251</v>
      </c>
      <c r="K407" s="53">
        <v>103764</v>
      </c>
      <c r="L407" s="151">
        <v>4</v>
      </c>
    </row>
    <row r="408" spans="1:12">
      <c r="A408" s="146" t="s">
        <v>909</v>
      </c>
      <c r="B408" s="155">
        <v>9193891189</v>
      </c>
      <c r="C408" s="153">
        <v>41261</v>
      </c>
      <c r="D408" s="51">
        <f t="shared" ca="1" si="12"/>
        <v>3</v>
      </c>
      <c r="E408" s="152" t="str">
        <f t="shared" si="13"/>
        <v>December</v>
      </c>
      <c r="F408" s="146" t="s">
        <v>678</v>
      </c>
      <c r="G408" s="154">
        <v>478004556</v>
      </c>
      <c r="H408" s="146" t="s">
        <v>256</v>
      </c>
      <c r="I408" s="52" t="s">
        <v>276</v>
      </c>
      <c r="J408" s="156" t="s">
        <v>280</v>
      </c>
      <c r="K408" s="53">
        <v>74616</v>
      </c>
      <c r="L408" s="151">
        <v>2</v>
      </c>
    </row>
    <row r="409" spans="1:12">
      <c r="A409" s="146" t="s">
        <v>353</v>
      </c>
      <c r="B409" s="155">
        <v>2526525807</v>
      </c>
      <c r="C409" s="153">
        <v>36689</v>
      </c>
      <c r="D409" s="51">
        <f t="shared" ca="1" si="12"/>
        <v>16</v>
      </c>
      <c r="E409" s="152" t="str">
        <f t="shared" si="13"/>
        <v>June</v>
      </c>
      <c r="F409" s="146" t="s">
        <v>678</v>
      </c>
      <c r="G409" s="154">
        <v>122440839</v>
      </c>
      <c r="H409" s="146" t="s">
        <v>261</v>
      </c>
      <c r="I409" s="52" t="s">
        <v>257</v>
      </c>
      <c r="J409" s="156" t="s">
        <v>271</v>
      </c>
      <c r="K409" s="53">
        <v>24600</v>
      </c>
      <c r="L409" s="151">
        <v>3</v>
      </c>
    </row>
    <row r="410" spans="1:12">
      <c r="A410" s="146" t="s">
        <v>622</v>
      </c>
      <c r="B410" s="155">
        <v>9196795200</v>
      </c>
      <c r="C410" s="153">
        <v>41100</v>
      </c>
      <c r="D410" s="51">
        <f t="shared" ca="1" si="12"/>
        <v>4</v>
      </c>
      <c r="E410" s="152" t="str">
        <f t="shared" si="13"/>
        <v>July</v>
      </c>
      <c r="F410" s="146" t="s">
        <v>678</v>
      </c>
      <c r="G410" s="154">
        <v>397835298</v>
      </c>
      <c r="H410" s="146" t="s">
        <v>247</v>
      </c>
      <c r="I410" s="52"/>
      <c r="J410" s="156" t="s">
        <v>271</v>
      </c>
      <c r="K410" s="53">
        <v>90120</v>
      </c>
      <c r="L410" s="151">
        <v>4</v>
      </c>
    </row>
    <row r="411" spans="1:12">
      <c r="A411" s="146" t="s">
        <v>922</v>
      </c>
      <c r="B411" s="155">
        <v>2524264889</v>
      </c>
      <c r="C411" s="153">
        <v>34632</v>
      </c>
      <c r="D411" s="51">
        <f t="shared" ca="1" si="12"/>
        <v>22</v>
      </c>
      <c r="E411" s="152" t="str">
        <f t="shared" si="13"/>
        <v>October</v>
      </c>
      <c r="F411" s="146" t="s">
        <v>678</v>
      </c>
      <c r="G411" s="154">
        <v>802700229</v>
      </c>
      <c r="H411" s="146" t="s">
        <v>256</v>
      </c>
      <c r="I411" s="52" t="s">
        <v>262</v>
      </c>
      <c r="J411" s="156" t="s">
        <v>285</v>
      </c>
      <c r="K411" s="53">
        <v>105576</v>
      </c>
      <c r="L411" s="151">
        <v>1</v>
      </c>
    </row>
    <row r="412" spans="1:12">
      <c r="A412" s="146" t="s">
        <v>852</v>
      </c>
      <c r="B412" s="155">
        <v>9192783818</v>
      </c>
      <c r="C412" s="153">
        <v>36175</v>
      </c>
      <c r="D412" s="51">
        <f t="shared" ca="1" si="12"/>
        <v>17</v>
      </c>
      <c r="E412" s="152" t="str">
        <f t="shared" si="13"/>
        <v>January</v>
      </c>
      <c r="F412" s="146" t="s">
        <v>678</v>
      </c>
      <c r="G412" s="154">
        <v>557568959</v>
      </c>
      <c r="H412" s="146" t="s">
        <v>247</v>
      </c>
      <c r="I412" s="52"/>
      <c r="J412" s="156" t="s">
        <v>285</v>
      </c>
      <c r="K412" s="53">
        <v>65028</v>
      </c>
      <c r="L412" s="151">
        <v>4</v>
      </c>
    </row>
    <row r="413" spans="1:12">
      <c r="A413" s="146" t="s">
        <v>409</v>
      </c>
      <c r="B413" s="155">
        <v>2525555817</v>
      </c>
      <c r="C413" s="153">
        <v>37295</v>
      </c>
      <c r="D413" s="51">
        <f t="shared" ca="1" si="12"/>
        <v>14</v>
      </c>
      <c r="E413" s="152" t="str">
        <f t="shared" si="13"/>
        <v>February</v>
      </c>
      <c r="F413" s="146" t="s">
        <v>678</v>
      </c>
      <c r="G413" s="154">
        <v>665006199</v>
      </c>
      <c r="H413" s="146" t="s">
        <v>256</v>
      </c>
      <c r="I413" s="52" t="s">
        <v>276</v>
      </c>
      <c r="J413" s="156" t="s">
        <v>280</v>
      </c>
      <c r="K413" s="53">
        <v>54540</v>
      </c>
      <c r="L413" s="151">
        <v>5</v>
      </c>
    </row>
    <row r="414" spans="1:12">
      <c r="A414" s="146" t="s">
        <v>464</v>
      </c>
      <c r="B414" s="155">
        <v>2522911046</v>
      </c>
      <c r="C414" s="153">
        <v>35136</v>
      </c>
      <c r="D414" s="51">
        <f t="shared" ca="1" si="12"/>
        <v>20</v>
      </c>
      <c r="E414" s="152" t="str">
        <f t="shared" si="13"/>
        <v>March</v>
      </c>
      <c r="F414" s="146" t="s">
        <v>700</v>
      </c>
      <c r="G414" s="154">
        <v>425943144</v>
      </c>
      <c r="H414" s="146" t="s">
        <v>247</v>
      </c>
      <c r="I414" s="52"/>
      <c r="J414" s="156" t="s">
        <v>245</v>
      </c>
      <c r="K414" s="53">
        <v>86040</v>
      </c>
      <c r="L414" s="151">
        <v>2</v>
      </c>
    </row>
    <row r="415" spans="1:12">
      <c r="A415" s="146" t="s">
        <v>554</v>
      </c>
      <c r="B415" s="155">
        <v>9197764351</v>
      </c>
      <c r="C415" s="153">
        <v>36179</v>
      </c>
      <c r="D415" s="51">
        <f t="shared" ca="1" si="12"/>
        <v>17</v>
      </c>
      <c r="E415" s="152" t="str">
        <f t="shared" si="13"/>
        <v>January</v>
      </c>
      <c r="F415" s="146" t="s">
        <v>700</v>
      </c>
      <c r="G415" s="154">
        <v>252582122</v>
      </c>
      <c r="H415" s="146" t="s">
        <v>247</v>
      </c>
      <c r="I415" s="52"/>
      <c r="J415" s="156" t="s">
        <v>245</v>
      </c>
      <c r="K415" s="53">
        <v>30144</v>
      </c>
      <c r="L415" s="151">
        <v>2</v>
      </c>
    </row>
    <row r="416" spans="1:12">
      <c r="A416" s="146" t="s">
        <v>834</v>
      </c>
      <c r="B416" s="155">
        <v>9194794769</v>
      </c>
      <c r="C416" s="153">
        <v>36295</v>
      </c>
      <c r="D416" s="51">
        <f t="shared" ca="1" si="12"/>
        <v>17</v>
      </c>
      <c r="E416" s="152" t="str">
        <f t="shared" si="13"/>
        <v>May</v>
      </c>
      <c r="F416" s="146" t="s">
        <v>700</v>
      </c>
      <c r="G416" s="154">
        <v>121688720</v>
      </c>
      <c r="H416" s="146" t="s">
        <v>247</v>
      </c>
      <c r="I416" s="52"/>
      <c r="J416" s="156" t="s">
        <v>271</v>
      </c>
      <c r="K416" s="53">
        <v>53784</v>
      </c>
      <c r="L416" s="151">
        <v>4</v>
      </c>
    </row>
    <row r="417" spans="1:12">
      <c r="A417" s="146" t="s">
        <v>291</v>
      </c>
      <c r="B417" s="155">
        <v>9192601200</v>
      </c>
      <c r="C417" s="153">
        <v>35542</v>
      </c>
      <c r="D417" s="51">
        <f t="shared" ca="1" si="12"/>
        <v>19</v>
      </c>
      <c r="E417" s="152" t="str">
        <f t="shared" si="13"/>
        <v>April</v>
      </c>
      <c r="F417" s="146" t="s">
        <v>700</v>
      </c>
      <c r="G417" s="154">
        <v>974912089</v>
      </c>
      <c r="H417" s="146" t="s">
        <v>256</v>
      </c>
      <c r="I417" s="52" t="s">
        <v>257</v>
      </c>
      <c r="J417" s="156" t="s">
        <v>285</v>
      </c>
      <c r="K417" s="53">
        <v>75828</v>
      </c>
      <c r="L417" s="151">
        <v>1</v>
      </c>
    </row>
    <row r="418" spans="1:12">
      <c r="A418" s="146" t="s">
        <v>706</v>
      </c>
      <c r="B418" s="155">
        <v>9194471952</v>
      </c>
      <c r="C418" s="153">
        <v>35629</v>
      </c>
      <c r="D418" s="51">
        <f t="shared" ca="1" si="12"/>
        <v>19</v>
      </c>
      <c r="E418" s="152" t="str">
        <f t="shared" si="13"/>
        <v>July</v>
      </c>
      <c r="F418" s="146" t="s">
        <v>705</v>
      </c>
      <c r="G418" s="154">
        <v>931977751</v>
      </c>
      <c r="H418" s="146" t="s">
        <v>256</v>
      </c>
      <c r="I418" s="52" t="s">
        <v>257</v>
      </c>
      <c r="J418" s="156" t="s">
        <v>271</v>
      </c>
      <c r="K418" s="53">
        <v>30996</v>
      </c>
      <c r="L418" s="151">
        <v>5</v>
      </c>
    </row>
    <row r="419" spans="1:12">
      <c r="A419" s="146" t="s">
        <v>627</v>
      </c>
      <c r="B419" s="155">
        <v>2527345539</v>
      </c>
      <c r="C419" s="153">
        <v>38872</v>
      </c>
      <c r="D419" s="51">
        <f t="shared" ca="1" si="12"/>
        <v>10</v>
      </c>
      <c r="E419" s="152" t="str">
        <f t="shared" si="13"/>
        <v>June</v>
      </c>
      <c r="F419" s="146" t="s">
        <v>705</v>
      </c>
      <c r="G419" s="154">
        <v>842774592</v>
      </c>
      <c r="H419" s="146" t="s">
        <v>252</v>
      </c>
      <c r="I419" s="52"/>
      <c r="J419" s="156" t="s">
        <v>285</v>
      </c>
      <c r="K419" s="53">
        <v>40214</v>
      </c>
      <c r="L419" s="151">
        <v>4</v>
      </c>
    </row>
    <row r="420" spans="1:12">
      <c r="A420" s="146" t="s">
        <v>475</v>
      </c>
      <c r="B420" s="155">
        <v>9195750692</v>
      </c>
      <c r="C420" s="153">
        <v>41196</v>
      </c>
      <c r="D420" s="51">
        <f t="shared" ca="1" si="12"/>
        <v>4</v>
      </c>
      <c r="E420" s="152" t="str">
        <f t="shared" si="13"/>
        <v>October</v>
      </c>
      <c r="F420" s="146" t="s">
        <v>705</v>
      </c>
      <c r="G420" s="154">
        <v>719165738</v>
      </c>
      <c r="H420" s="146" t="s">
        <v>247</v>
      </c>
      <c r="I420" s="52"/>
      <c r="J420" s="156" t="s">
        <v>251</v>
      </c>
      <c r="K420" s="53">
        <v>47328</v>
      </c>
      <c r="L420" s="151">
        <v>4</v>
      </c>
    </row>
    <row r="421" spans="1:12">
      <c r="A421" s="146" t="s">
        <v>476</v>
      </c>
      <c r="B421" s="155">
        <v>9194694995</v>
      </c>
      <c r="C421" s="153">
        <v>37351</v>
      </c>
      <c r="D421" s="51">
        <f t="shared" ca="1" si="12"/>
        <v>14</v>
      </c>
      <c r="E421" s="152" t="str">
        <f t="shared" si="13"/>
        <v>April</v>
      </c>
      <c r="F421" s="146" t="s">
        <v>705</v>
      </c>
      <c r="G421" s="154">
        <v>960967007</v>
      </c>
      <c r="H421" s="146" t="s">
        <v>247</v>
      </c>
      <c r="I421" s="52"/>
      <c r="J421" s="156" t="s">
        <v>271</v>
      </c>
      <c r="K421" s="53">
        <v>36360</v>
      </c>
      <c r="L421" s="151">
        <v>1</v>
      </c>
    </row>
    <row r="422" spans="1:12">
      <c r="A422" s="146" t="s">
        <v>486</v>
      </c>
      <c r="B422" s="155">
        <v>9193967339</v>
      </c>
      <c r="C422" s="153">
        <v>35230</v>
      </c>
      <c r="D422" s="51">
        <f t="shared" ca="1" si="12"/>
        <v>20</v>
      </c>
      <c r="E422" s="152" t="str">
        <f t="shared" si="13"/>
        <v>June</v>
      </c>
      <c r="F422" s="146" t="s">
        <v>705</v>
      </c>
      <c r="G422" s="154">
        <v>761337848</v>
      </c>
      <c r="H422" s="146" t="s">
        <v>247</v>
      </c>
      <c r="I422" s="52"/>
      <c r="J422" s="156" t="s">
        <v>251</v>
      </c>
      <c r="K422" s="53">
        <v>80052</v>
      </c>
      <c r="L422" s="151">
        <v>2</v>
      </c>
    </row>
    <row r="423" spans="1:12">
      <c r="A423" s="146" t="s">
        <v>419</v>
      </c>
      <c r="B423" s="155">
        <v>9194518022</v>
      </c>
      <c r="C423" s="153">
        <v>34230</v>
      </c>
      <c r="D423" s="51">
        <f t="shared" ca="1" si="12"/>
        <v>23</v>
      </c>
      <c r="E423" s="152" t="str">
        <f t="shared" si="13"/>
        <v>September</v>
      </c>
      <c r="F423" s="146" t="s">
        <v>705</v>
      </c>
      <c r="G423" s="154">
        <v>290385638</v>
      </c>
      <c r="H423" s="146" t="s">
        <v>261</v>
      </c>
      <c r="I423" s="52" t="s">
        <v>262</v>
      </c>
      <c r="J423" s="156" t="s">
        <v>271</v>
      </c>
      <c r="K423" s="53">
        <v>42054</v>
      </c>
      <c r="L423" s="151">
        <v>4</v>
      </c>
    </row>
    <row r="424" spans="1:12">
      <c r="A424" s="146" t="s">
        <v>380</v>
      </c>
      <c r="B424" s="155">
        <v>9194744493</v>
      </c>
      <c r="C424" s="153">
        <v>34185</v>
      </c>
      <c r="D424" s="51">
        <f t="shared" ca="1" si="12"/>
        <v>23</v>
      </c>
      <c r="E424" s="152" t="str">
        <f t="shared" si="13"/>
        <v>August</v>
      </c>
      <c r="F424" s="146" t="s">
        <v>705</v>
      </c>
      <c r="G424" s="154">
        <v>959568761</v>
      </c>
      <c r="H424" s="146" t="s">
        <v>256</v>
      </c>
      <c r="I424" s="52" t="s">
        <v>267</v>
      </c>
      <c r="J424" s="156" t="s">
        <v>285</v>
      </c>
      <c r="K424" s="53">
        <v>73764</v>
      </c>
      <c r="L424" s="151">
        <v>5</v>
      </c>
    </row>
    <row r="425" spans="1:12">
      <c r="A425" s="146" t="s">
        <v>684</v>
      </c>
      <c r="B425" s="155">
        <v>9196335284</v>
      </c>
      <c r="C425" s="153">
        <v>36107</v>
      </c>
      <c r="D425" s="51">
        <f t="shared" ca="1" si="12"/>
        <v>18</v>
      </c>
      <c r="E425" s="152" t="str">
        <f t="shared" si="13"/>
        <v>November</v>
      </c>
      <c r="F425" s="146" t="s">
        <v>705</v>
      </c>
      <c r="G425" s="154">
        <v>824046378</v>
      </c>
      <c r="H425" s="146" t="s">
        <v>256</v>
      </c>
      <c r="I425" s="52" t="s">
        <v>276</v>
      </c>
      <c r="J425" s="156" t="s">
        <v>285</v>
      </c>
      <c r="K425" s="53">
        <v>80676</v>
      </c>
      <c r="L425" s="151">
        <v>4</v>
      </c>
    </row>
    <row r="426" spans="1:12">
      <c r="A426" s="146" t="s">
        <v>947</v>
      </c>
      <c r="B426" s="155">
        <v>9191162663</v>
      </c>
      <c r="C426" s="153">
        <v>38439</v>
      </c>
      <c r="D426" s="51">
        <f t="shared" ca="1" si="12"/>
        <v>11</v>
      </c>
      <c r="E426" s="152" t="str">
        <f t="shared" si="13"/>
        <v>March</v>
      </c>
      <c r="F426" s="146" t="s">
        <v>705</v>
      </c>
      <c r="G426" s="154">
        <v>272714784</v>
      </c>
      <c r="H426" s="146" t="s">
        <v>252</v>
      </c>
      <c r="I426" s="52"/>
      <c r="J426" s="156" t="s">
        <v>271</v>
      </c>
      <c r="K426" s="53">
        <v>25978</v>
      </c>
      <c r="L426" s="151">
        <v>2</v>
      </c>
    </row>
    <row r="427" spans="1:12">
      <c r="A427" s="146" t="s">
        <v>874</v>
      </c>
      <c r="B427" s="155">
        <v>9196069116</v>
      </c>
      <c r="C427" s="153">
        <v>40027</v>
      </c>
      <c r="D427" s="51">
        <f t="shared" ca="1" si="12"/>
        <v>7</v>
      </c>
      <c r="E427" s="152" t="str">
        <f t="shared" si="13"/>
        <v>August</v>
      </c>
      <c r="F427" s="146" t="s">
        <v>705</v>
      </c>
      <c r="G427" s="154">
        <v>120479503</v>
      </c>
      <c r="H427" s="146" t="s">
        <v>261</v>
      </c>
      <c r="I427" s="52" t="s">
        <v>276</v>
      </c>
      <c r="J427" s="156" t="s">
        <v>251</v>
      </c>
      <c r="K427" s="53">
        <v>57312</v>
      </c>
      <c r="L427" s="151">
        <v>3</v>
      </c>
    </row>
    <row r="428" spans="1:12">
      <c r="A428" s="146" t="s">
        <v>791</v>
      </c>
      <c r="B428" s="155">
        <v>9193744359</v>
      </c>
      <c r="C428" s="153">
        <v>34364</v>
      </c>
      <c r="D428" s="51">
        <f t="shared" ca="1" si="12"/>
        <v>22</v>
      </c>
      <c r="E428" s="152" t="str">
        <f t="shared" si="13"/>
        <v>January</v>
      </c>
      <c r="F428" s="146" t="s">
        <v>705</v>
      </c>
      <c r="G428" s="154">
        <v>294130565</v>
      </c>
      <c r="H428" s="146" t="s">
        <v>256</v>
      </c>
      <c r="I428" s="52" t="s">
        <v>257</v>
      </c>
      <c r="J428" s="156" t="s">
        <v>245</v>
      </c>
      <c r="K428" s="53">
        <v>31632</v>
      </c>
      <c r="L428" s="151">
        <v>1</v>
      </c>
    </row>
    <row r="429" spans="1:12">
      <c r="A429" s="146" t="s">
        <v>425</v>
      </c>
      <c r="B429" s="155">
        <v>2526345909</v>
      </c>
      <c r="C429" s="153">
        <v>34306</v>
      </c>
      <c r="D429" s="51">
        <f t="shared" ca="1" si="12"/>
        <v>22</v>
      </c>
      <c r="E429" s="152" t="str">
        <f t="shared" si="13"/>
        <v>December</v>
      </c>
      <c r="F429" s="146" t="s">
        <v>705</v>
      </c>
      <c r="G429" s="154">
        <v>617795992</v>
      </c>
      <c r="H429" s="146" t="s">
        <v>256</v>
      </c>
      <c r="I429" s="52" t="s">
        <v>257</v>
      </c>
      <c r="J429" s="156" t="s">
        <v>271</v>
      </c>
      <c r="K429" s="53">
        <v>52296</v>
      </c>
      <c r="L429" s="151">
        <v>5</v>
      </c>
    </row>
    <row r="430" spans="1:12">
      <c r="A430" s="146" t="s">
        <v>513</v>
      </c>
      <c r="B430" s="155">
        <v>9193199265</v>
      </c>
      <c r="C430" s="153">
        <v>35861</v>
      </c>
      <c r="D430" s="51">
        <f t="shared" ca="1" si="12"/>
        <v>18</v>
      </c>
      <c r="E430" s="152" t="str">
        <f t="shared" si="13"/>
        <v>March</v>
      </c>
      <c r="F430" s="146" t="s">
        <v>705</v>
      </c>
      <c r="G430" s="154">
        <v>577239513</v>
      </c>
      <c r="H430" s="146" t="s">
        <v>256</v>
      </c>
      <c r="I430" s="52" t="s">
        <v>283</v>
      </c>
      <c r="J430" s="156" t="s">
        <v>280</v>
      </c>
      <c r="K430" s="53">
        <v>75696</v>
      </c>
      <c r="L430" s="151">
        <v>5</v>
      </c>
    </row>
    <row r="431" spans="1:12">
      <c r="A431" s="146" t="s">
        <v>950</v>
      </c>
      <c r="B431" s="155">
        <v>2528627048</v>
      </c>
      <c r="C431" s="153">
        <v>34348</v>
      </c>
      <c r="D431" s="51">
        <f t="shared" ca="1" si="12"/>
        <v>22</v>
      </c>
      <c r="E431" s="152" t="str">
        <f t="shared" si="13"/>
        <v>January</v>
      </c>
      <c r="F431" s="146" t="s">
        <v>705</v>
      </c>
      <c r="G431" s="154">
        <v>724193735</v>
      </c>
      <c r="H431" s="146" t="s">
        <v>256</v>
      </c>
      <c r="I431" s="52" t="s">
        <v>283</v>
      </c>
      <c r="J431" s="156" t="s">
        <v>245</v>
      </c>
      <c r="K431" s="53">
        <v>51828</v>
      </c>
      <c r="L431" s="151">
        <v>2</v>
      </c>
    </row>
    <row r="432" spans="1:12">
      <c r="A432" s="146" t="s">
        <v>952</v>
      </c>
      <c r="B432" s="155">
        <v>9197312659</v>
      </c>
      <c r="C432" s="153">
        <v>35468</v>
      </c>
      <c r="D432" s="51">
        <f t="shared" ca="1" si="12"/>
        <v>19</v>
      </c>
      <c r="E432" s="152" t="str">
        <f t="shared" si="13"/>
        <v>February</v>
      </c>
      <c r="F432" s="146" t="s">
        <v>705</v>
      </c>
      <c r="G432" s="154">
        <v>297806507</v>
      </c>
      <c r="H432" s="146" t="s">
        <v>256</v>
      </c>
      <c r="I432" s="52" t="s">
        <v>267</v>
      </c>
      <c r="J432" s="156" t="s">
        <v>266</v>
      </c>
      <c r="K432" s="53">
        <v>93408</v>
      </c>
      <c r="L432" s="151">
        <v>2</v>
      </c>
    </row>
    <row r="433" spans="1:12">
      <c r="A433" s="146" t="s">
        <v>384</v>
      </c>
      <c r="B433" s="155">
        <v>9195512521</v>
      </c>
      <c r="C433" s="153">
        <v>36697</v>
      </c>
      <c r="D433" s="51">
        <f t="shared" ca="1" si="12"/>
        <v>16</v>
      </c>
      <c r="E433" s="152" t="str">
        <f t="shared" si="13"/>
        <v>June</v>
      </c>
      <c r="F433" s="146" t="s">
        <v>705</v>
      </c>
      <c r="G433" s="154">
        <v>839899522</v>
      </c>
      <c r="H433" s="146" t="s">
        <v>256</v>
      </c>
      <c r="I433" s="52" t="s">
        <v>257</v>
      </c>
      <c r="J433" s="156" t="s">
        <v>271</v>
      </c>
      <c r="K433" s="53">
        <v>89436</v>
      </c>
      <c r="L433" s="151">
        <v>5</v>
      </c>
    </row>
    <row r="434" spans="1:12">
      <c r="A434" s="146" t="s">
        <v>806</v>
      </c>
      <c r="B434" s="155">
        <v>2521658481</v>
      </c>
      <c r="C434" s="153">
        <v>37423</v>
      </c>
      <c r="D434" s="51">
        <f t="shared" ca="1" si="12"/>
        <v>14</v>
      </c>
      <c r="E434" s="152" t="str">
        <f t="shared" si="13"/>
        <v>June</v>
      </c>
      <c r="F434" s="146" t="s">
        <v>705</v>
      </c>
      <c r="G434" s="154">
        <v>489013842</v>
      </c>
      <c r="H434" s="146" t="s">
        <v>261</v>
      </c>
      <c r="I434" s="52" t="s">
        <v>283</v>
      </c>
      <c r="J434" s="156" t="s">
        <v>285</v>
      </c>
      <c r="K434" s="53">
        <v>34806</v>
      </c>
      <c r="L434" s="151">
        <v>1</v>
      </c>
    </row>
    <row r="435" spans="1:12">
      <c r="A435" s="146" t="s">
        <v>529</v>
      </c>
      <c r="B435" s="155">
        <v>2521780498</v>
      </c>
      <c r="C435" s="153">
        <v>36649</v>
      </c>
      <c r="D435" s="51">
        <f t="shared" ca="1" si="12"/>
        <v>16</v>
      </c>
      <c r="E435" s="152" t="str">
        <f t="shared" si="13"/>
        <v>May</v>
      </c>
      <c r="F435" s="146" t="s">
        <v>705</v>
      </c>
      <c r="G435" s="154">
        <v>213741822</v>
      </c>
      <c r="H435" s="146" t="s">
        <v>247</v>
      </c>
      <c r="I435" s="52"/>
      <c r="J435" s="156" t="s">
        <v>280</v>
      </c>
      <c r="K435" s="53">
        <v>75996</v>
      </c>
      <c r="L435" s="151">
        <v>4</v>
      </c>
    </row>
    <row r="436" spans="1:12">
      <c r="A436" s="146" t="s">
        <v>888</v>
      </c>
      <c r="B436" s="155">
        <v>2525236892</v>
      </c>
      <c r="C436" s="153">
        <v>38198</v>
      </c>
      <c r="D436" s="51">
        <f t="shared" ca="1" si="12"/>
        <v>12</v>
      </c>
      <c r="E436" s="152" t="str">
        <f t="shared" si="13"/>
        <v>July</v>
      </c>
      <c r="F436" s="146" t="s">
        <v>705</v>
      </c>
      <c r="G436" s="154">
        <v>972791650</v>
      </c>
      <c r="H436" s="146" t="s">
        <v>261</v>
      </c>
      <c r="I436" s="52" t="s">
        <v>257</v>
      </c>
      <c r="J436" s="156" t="s">
        <v>245</v>
      </c>
      <c r="K436" s="53">
        <v>40572</v>
      </c>
      <c r="L436" s="151">
        <v>5</v>
      </c>
    </row>
    <row r="437" spans="1:12">
      <c r="A437" s="146" t="s">
        <v>331</v>
      </c>
      <c r="B437" s="155">
        <v>2525796953</v>
      </c>
      <c r="C437" s="153">
        <v>41098</v>
      </c>
      <c r="D437" s="51">
        <f t="shared" ca="1" si="12"/>
        <v>4</v>
      </c>
      <c r="E437" s="152" t="str">
        <f t="shared" si="13"/>
        <v>July</v>
      </c>
      <c r="F437" s="146" t="s">
        <v>705</v>
      </c>
      <c r="G437" s="154">
        <v>551132018</v>
      </c>
      <c r="H437" s="146" t="s">
        <v>256</v>
      </c>
      <c r="I437" s="52" t="s">
        <v>257</v>
      </c>
      <c r="J437" s="156" t="s">
        <v>251</v>
      </c>
      <c r="K437" s="53">
        <v>80208</v>
      </c>
      <c r="L437" s="151">
        <v>4</v>
      </c>
    </row>
    <row r="438" spans="1:12">
      <c r="A438" s="146" t="s">
        <v>892</v>
      </c>
      <c r="B438" s="155">
        <v>2525048978</v>
      </c>
      <c r="C438" s="153">
        <v>34606</v>
      </c>
      <c r="D438" s="51">
        <f t="shared" ca="1" si="12"/>
        <v>22</v>
      </c>
      <c r="E438" s="152" t="str">
        <f t="shared" si="13"/>
        <v>September</v>
      </c>
      <c r="F438" s="146" t="s">
        <v>705</v>
      </c>
      <c r="G438" s="154">
        <v>868128171</v>
      </c>
      <c r="H438" s="146" t="s">
        <v>256</v>
      </c>
      <c r="I438" s="52" t="s">
        <v>276</v>
      </c>
      <c r="J438" s="156" t="s">
        <v>285</v>
      </c>
      <c r="K438" s="53">
        <v>90444</v>
      </c>
      <c r="L438" s="151">
        <v>2</v>
      </c>
    </row>
    <row r="439" spans="1:12">
      <c r="A439" s="146" t="s">
        <v>535</v>
      </c>
      <c r="B439" s="155">
        <v>9198624601</v>
      </c>
      <c r="C439" s="153">
        <v>40406</v>
      </c>
      <c r="D439" s="51">
        <f t="shared" ca="1" si="12"/>
        <v>6</v>
      </c>
      <c r="E439" s="152" t="str">
        <f t="shared" si="13"/>
        <v>August</v>
      </c>
      <c r="F439" s="146" t="s">
        <v>705</v>
      </c>
      <c r="G439" s="154">
        <v>443238477</v>
      </c>
      <c r="H439" s="146" t="s">
        <v>256</v>
      </c>
      <c r="I439" s="52" t="s">
        <v>283</v>
      </c>
      <c r="J439" s="156" t="s">
        <v>266</v>
      </c>
      <c r="K439" s="53">
        <v>96108</v>
      </c>
      <c r="L439" s="151">
        <v>2</v>
      </c>
    </row>
    <row r="440" spans="1:12">
      <c r="A440" s="146" t="s">
        <v>646</v>
      </c>
      <c r="B440" s="155">
        <v>2522172913</v>
      </c>
      <c r="C440" s="153">
        <v>35430</v>
      </c>
      <c r="D440" s="51">
        <f t="shared" ca="1" si="12"/>
        <v>19</v>
      </c>
      <c r="E440" s="152" t="str">
        <f t="shared" si="13"/>
        <v>December</v>
      </c>
      <c r="F440" s="146" t="s">
        <v>705</v>
      </c>
      <c r="G440" s="154">
        <v>542214575</v>
      </c>
      <c r="H440" s="146" t="s">
        <v>256</v>
      </c>
      <c r="I440" s="52" t="s">
        <v>257</v>
      </c>
      <c r="J440" s="156" t="s">
        <v>280</v>
      </c>
      <c r="K440" s="53">
        <v>104436</v>
      </c>
      <c r="L440" s="151">
        <v>3</v>
      </c>
    </row>
    <row r="441" spans="1:12">
      <c r="A441" s="146" t="s">
        <v>973</v>
      </c>
      <c r="B441" s="155">
        <v>2525866679</v>
      </c>
      <c r="C441" s="153">
        <v>40511</v>
      </c>
      <c r="D441" s="51">
        <f t="shared" ca="1" si="12"/>
        <v>5</v>
      </c>
      <c r="E441" s="152" t="str">
        <f t="shared" si="13"/>
        <v>November</v>
      </c>
      <c r="F441" s="146" t="s">
        <v>705</v>
      </c>
      <c r="G441" s="154">
        <v>291803431</v>
      </c>
      <c r="H441" s="146" t="s">
        <v>247</v>
      </c>
      <c r="I441" s="52"/>
      <c r="J441" s="156" t="s">
        <v>280</v>
      </c>
      <c r="K441" s="53">
        <v>64800</v>
      </c>
      <c r="L441" s="151">
        <v>3</v>
      </c>
    </row>
    <row r="442" spans="1:12">
      <c r="A442" s="146" t="s">
        <v>688</v>
      </c>
      <c r="B442" s="155">
        <v>2526007063</v>
      </c>
      <c r="C442" s="153">
        <v>38955</v>
      </c>
      <c r="D442" s="51">
        <f t="shared" ca="1" si="12"/>
        <v>10</v>
      </c>
      <c r="E442" s="152" t="str">
        <f t="shared" si="13"/>
        <v>August</v>
      </c>
      <c r="F442" s="146" t="s">
        <v>705</v>
      </c>
      <c r="G442" s="154">
        <v>972086665</v>
      </c>
      <c r="H442" s="146" t="s">
        <v>256</v>
      </c>
      <c r="I442" s="52" t="s">
        <v>283</v>
      </c>
      <c r="J442" s="156" t="s">
        <v>271</v>
      </c>
      <c r="K442" s="53">
        <v>103440</v>
      </c>
      <c r="L442" s="151">
        <v>3</v>
      </c>
    </row>
    <row r="443" spans="1:12">
      <c r="A443" s="146" t="s">
        <v>398</v>
      </c>
      <c r="B443" s="155">
        <v>9192602559</v>
      </c>
      <c r="C443" s="153">
        <v>41131</v>
      </c>
      <c r="D443" s="51">
        <f t="shared" ca="1" si="12"/>
        <v>4</v>
      </c>
      <c r="E443" s="152" t="str">
        <f t="shared" si="13"/>
        <v>August</v>
      </c>
      <c r="F443" s="146" t="s">
        <v>705</v>
      </c>
      <c r="G443" s="154">
        <v>623823805</v>
      </c>
      <c r="H443" s="146" t="s">
        <v>252</v>
      </c>
      <c r="I443" s="52"/>
      <c r="J443" s="156" t="s">
        <v>245</v>
      </c>
      <c r="K443" s="53">
        <v>18067</v>
      </c>
      <c r="L443" s="151">
        <v>5</v>
      </c>
    </row>
    <row r="444" spans="1:12">
      <c r="A444" s="146" t="s">
        <v>991</v>
      </c>
      <c r="B444" s="155">
        <v>2528359862</v>
      </c>
      <c r="C444" s="153">
        <v>41348</v>
      </c>
      <c r="D444" s="51">
        <f t="shared" ca="1" si="12"/>
        <v>3</v>
      </c>
      <c r="E444" s="152" t="str">
        <f t="shared" si="13"/>
        <v>March</v>
      </c>
      <c r="F444" s="146" t="s">
        <v>705</v>
      </c>
      <c r="G444" s="154">
        <v>711445298</v>
      </c>
      <c r="H444" s="146" t="s">
        <v>247</v>
      </c>
      <c r="I444" s="52"/>
      <c r="J444" s="156" t="s">
        <v>251</v>
      </c>
      <c r="K444" s="53">
        <v>101160</v>
      </c>
      <c r="L444" s="151">
        <v>1</v>
      </c>
    </row>
    <row r="445" spans="1:12">
      <c r="A445" s="146" t="s">
        <v>998</v>
      </c>
      <c r="B445" s="155">
        <v>2525227751</v>
      </c>
      <c r="C445" s="153">
        <v>40132</v>
      </c>
      <c r="D445" s="51">
        <f t="shared" ca="1" si="12"/>
        <v>6</v>
      </c>
      <c r="E445" s="152" t="str">
        <f t="shared" si="13"/>
        <v>November</v>
      </c>
      <c r="F445" s="146" t="s">
        <v>705</v>
      </c>
      <c r="G445" s="154">
        <v>145240921</v>
      </c>
      <c r="H445" s="146" t="s">
        <v>256</v>
      </c>
      <c r="I445" s="52" t="s">
        <v>267</v>
      </c>
      <c r="J445" s="156" t="s">
        <v>285</v>
      </c>
      <c r="K445" s="53">
        <v>61188</v>
      </c>
      <c r="L445" s="151">
        <v>4</v>
      </c>
    </row>
    <row r="446" spans="1:12">
      <c r="A446" s="146" t="s">
        <v>736</v>
      </c>
      <c r="B446" s="155">
        <v>2523575849</v>
      </c>
      <c r="C446" s="153">
        <v>39535</v>
      </c>
      <c r="D446" s="51">
        <f t="shared" ca="1" si="12"/>
        <v>8</v>
      </c>
      <c r="E446" s="152" t="str">
        <f t="shared" si="13"/>
        <v>March</v>
      </c>
      <c r="F446" s="146" t="s">
        <v>705</v>
      </c>
      <c r="G446" s="154">
        <v>365499498</v>
      </c>
      <c r="H446" s="146" t="s">
        <v>256</v>
      </c>
      <c r="I446" s="52" t="s">
        <v>257</v>
      </c>
      <c r="J446" s="156" t="s">
        <v>285</v>
      </c>
      <c r="K446" s="53">
        <v>56472</v>
      </c>
      <c r="L446" s="151">
        <v>4</v>
      </c>
    </row>
    <row r="447" spans="1:12">
      <c r="A447" s="146" t="s">
        <v>443</v>
      </c>
      <c r="B447" s="155">
        <v>2526920236</v>
      </c>
      <c r="C447" s="153">
        <v>36140</v>
      </c>
      <c r="D447" s="51">
        <f t="shared" ca="1" si="12"/>
        <v>17</v>
      </c>
      <c r="E447" s="152" t="str">
        <f t="shared" si="13"/>
        <v>December</v>
      </c>
      <c r="F447" s="146" t="s">
        <v>705</v>
      </c>
      <c r="G447" s="154">
        <v>803776506</v>
      </c>
      <c r="H447" s="146" t="s">
        <v>256</v>
      </c>
      <c r="I447" s="52" t="s">
        <v>262</v>
      </c>
      <c r="J447" s="156" t="s">
        <v>271</v>
      </c>
      <c r="K447" s="53">
        <v>93540</v>
      </c>
      <c r="L447" s="151">
        <v>4</v>
      </c>
    </row>
    <row r="448" spans="1:12">
      <c r="A448" s="146" t="s">
        <v>830</v>
      </c>
      <c r="B448" s="155">
        <v>9193957018</v>
      </c>
      <c r="C448" s="153">
        <v>34656</v>
      </c>
      <c r="D448" s="51">
        <f t="shared" ca="1" si="12"/>
        <v>21</v>
      </c>
      <c r="E448" s="152" t="str">
        <f t="shared" si="13"/>
        <v>November</v>
      </c>
      <c r="F448" s="146" t="s">
        <v>705</v>
      </c>
      <c r="G448" s="154">
        <v>881242432</v>
      </c>
      <c r="H448" s="146" t="s">
        <v>256</v>
      </c>
      <c r="I448" s="52" t="s">
        <v>262</v>
      </c>
      <c r="J448" s="156" t="s">
        <v>285</v>
      </c>
      <c r="K448" s="53">
        <v>81612</v>
      </c>
      <c r="L448" s="151">
        <v>1</v>
      </c>
    </row>
    <row r="449" spans="1:12">
      <c r="A449" s="146" t="s">
        <v>1001</v>
      </c>
      <c r="B449" s="155">
        <v>2528651774</v>
      </c>
      <c r="C449" s="153">
        <v>35345</v>
      </c>
      <c r="D449" s="51">
        <f t="shared" ca="1" si="12"/>
        <v>20</v>
      </c>
      <c r="E449" s="152" t="str">
        <f t="shared" si="13"/>
        <v>October</v>
      </c>
      <c r="F449" s="146" t="s">
        <v>705</v>
      </c>
      <c r="G449" s="154">
        <v>302854692</v>
      </c>
      <c r="H449" s="146" t="s">
        <v>261</v>
      </c>
      <c r="I449" s="52" t="s">
        <v>257</v>
      </c>
      <c r="J449" s="156" t="s">
        <v>251</v>
      </c>
      <c r="K449" s="53">
        <v>16122</v>
      </c>
      <c r="L449" s="151">
        <v>1</v>
      </c>
    </row>
    <row r="450" spans="1:12">
      <c r="A450" s="146" t="s">
        <v>1004</v>
      </c>
      <c r="B450" s="155">
        <v>2521711684</v>
      </c>
      <c r="C450" s="153">
        <v>36631</v>
      </c>
      <c r="D450" s="51">
        <f t="shared" ref="D450:D513" ca="1" si="14">DATEDIF(C450,TODAY(),"Y")</f>
        <v>16</v>
      </c>
      <c r="E450" s="152" t="str">
        <f t="shared" ref="E450:E513" si="15">CHOOSE(MONTH(C450),"January","February","March","April","May","June","July","August","September","October","November","December")</f>
        <v>April</v>
      </c>
      <c r="F450" s="146" t="s">
        <v>705</v>
      </c>
      <c r="G450" s="154">
        <v>248820119</v>
      </c>
      <c r="H450" s="146" t="s">
        <v>256</v>
      </c>
      <c r="I450" s="52" t="s">
        <v>257</v>
      </c>
      <c r="J450" s="156" t="s">
        <v>285</v>
      </c>
      <c r="K450" s="53">
        <v>82224</v>
      </c>
      <c r="L450" s="151">
        <v>5</v>
      </c>
    </row>
    <row r="451" spans="1:12">
      <c r="A451" s="146" t="s">
        <v>914</v>
      </c>
      <c r="B451" s="155">
        <v>9193640748</v>
      </c>
      <c r="C451" s="153">
        <v>36067</v>
      </c>
      <c r="D451" s="51">
        <f t="shared" ca="1" si="14"/>
        <v>18</v>
      </c>
      <c r="E451" s="152" t="str">
        <f t="shared" si="15"/>
        <v>September</v>
      </c>
      <c r="F451" s="146" t="s">
        <v>705</v>
      </c>
      <c r="G451" s="154">
        <v>869524136</v>
      </c>
      <c r="H451" s="146" t="s">
        <v>256</v>
      </c>
      <c r="I451" s="52" t="s">
        <v>283</v>
      </c>
      <c r="J451" s="156" t="s">
        <v>245</v>
      </c>
      <c r="K451" s="53">
        <v>52092</v>
      </c>
      <c r="L451" s="151">
        <v>1</v>
      </c>
    </row>
    <row r="452" spans="1:12">
      <c r="A452" s="146" t="s">
        <v>408</v>
      </c>
      <c r="B452" s="155">
        <v>9195520461</v>
      </c>
      <c r="C452" s="153">
        <v>41180</v>
      </c>
      <c r="D452" s="51">
        <f t="shared" ca="1" si="14"/>
        <v>4</v>
      </c>
      <c r="E452" s="152" t="str">
        <f t="shared" si="15"/>
        <v>September</v>
      </c>
      <c r="F452" s="146" t="s">
        <v>705</v>
      </c>
      <c r="G452" s="154">
        <v>816607187</v>
      </c>
      <c r="H452" s="146" t="s">
        <v>252</v>
      </c>
      <c r="I452" s="52"/>
      <c r="J452" s="156" t="s">
        <v>271</v>
      </c>
      <c r="K452" s="53">
        <v>11016</v>
      </c>
      <c r="L452" s="151">
        <v>3</v>
      </c>
    </row>
    <row r="453" spans="1:12">
      <c r="A453" s="146" t="s">
        <v>600</v>
      </c>
      <c r="B453" s="155">
        <v>2522881600</v>
      </c>
      <c r="C453" s="153">
        <v>40385</v>
      </c>
      <c r="D453" s="51">
        <f t="shared" ca="1" si="14"/>
        <v>6</v>
      </c>
      <c r="E453" s="152" t="str">
        <f t="shared" si="15"/>
        <v>July</v>
      </c>
      <c r="F453" s="146" t="s">
        <v>705</v>
      </c>
      <c r="G453" s="154">
        <v>847051774</v>
      </c>
      <c r="H453" s="146" t="s">
        <v>256</v>
      </c>
      <c r="I453" s="52" t="s">
        <v>276</v>
      </c>
      <c r="J453" s="156" t="s">
        <v>245</v>
      </c>
      <c r="K453" s="53">
        <v>97056</v>
      </c>
      <c r="L453" s="151">
        <v>1</v>
      </c>
    </row>
    <row r="454" spans="1:12">
      <c r="A454" s="157" t="s">
        <v>260</v>
      </c>
      <c r="B454" s="155">
        <v>9194629606</v>
      </c>
      <c r="C454" s="153">
        <v>39644</v>
      </c>
      <c r="D454" s="51">
        <f t="shared" ca="1" si="14"/>
        <v>8</v>
      </c>
      <c r="E454" s="152" t="str">
        <f t="shared" si="15"/>
        <v>July</v>
      </c>
      <c r="F454" s="146" t="s">
        <v>705</v>
      </c>
      <c r="G454" s="154">
        <v>619465100</v>
      </c>
      <c r="H454" s="146" t="s">
        <v>256</v>
      </c>
      <c r="I454" s="52" t="s">
        <v>262</v>
      </c>
      <c r="J454" s="156" t="s">
        <v>285</v>
      </c>
      <c r="K454" s="53">
        <v>33072</v>
      </c>
      <c r="L454" s="151">
        <v>2</v>
      </c>
    </row>
    <row r="455" spans="1:12">
      <c r="A455" s="146" t="s">
        <v>606</v>
      </c>
      <c r="B455" s="155">
        <v>2525780571</v>
      </c>
      <c r="C455" s="153">
        <v>34539</v>
      </c>
      <c r="D455" s="51">
        <f t="shared" ca="1" si="14"/>
        <v>22</v>
      </c>
      <c r="E455" s="152" t="str">
        <f t="shared" si="15"/>
        <v>July</v>
      </c>
      <c r="F455" s="146" t="s">
        <v>705</v>
      </c>
      <c r="G455" s="154">
        <v>210173249</v>
      </c>
      <c r="H455" s="146" t="s">
        <v>247</v>
      </c>
      <c r="I455" s="52"/>
      <c r="J455" s="156" t="s">
        <v>285</v>
      </c>
      <c r="K455" s="53">
        <v>39180</v>
      </c>
      <c r="L455" s="151">
        <v>1</v>
      </c>
    </row>
    <row r="456" spans="1:12">
      <c r="A456" s="146" t="s">
        <v>451</v>
      </c>
      <c r="B456" s="155">
        <v>2524618773</v>
      </c>
      <c r="C456" s="153">
        <v>40213</v>
      </c>
      <c r="D456" s="51">
        <f t="shared" ca="1" si="14"/>
        <v>6</v>
      </c>
      <c r="E456" s="152" t="str">
        <f t="shared" si="15"/>
        <v>February</v>
      </c>
      <c r="F456" s="146" t="s">
        <v>705</v>
      </c>
      <c r="G456" s="154">
        <v>555718765</v>
      </c>
      <c r="H456" s="146" t="s">
        <v>256</v>
      </c>
      <c r="I456" s="52" t="s">
        <v>257</v>
      </c>
      <c r="J456" s="156" t="s">
        <v>285</v>
      </c>
      <c r="K456" s="53">
        <v>106620</v>
      </c>
      <c r="L456" s="151">
        <v>3</v>
      </c>
    </row>
    <row r="457" spans="1:12">
      <c r="A457" s="146" t="s">
        <v>846</v>
      </c>
      <c r="B457" s="155">
        <v>9196012031</v>
      </c>
      <c r="C457" s="153">
        <v>41121</v>
      </c>
      <c r="D457" s="51">
        <f t="shared" ca="1" si="14"/>
        <v>4</v>
      </c>
      <c r="E457" s="152" t="str">
        <f t="shared" si="15"/>
        <v>July</v>
      </c>
      <c r="F457" s="146" t="s">
        <v>705</v>
      </c>
      <c r="G457" s="154">
        <v>851400058</v>
      </c>
      <c r="H457" s="146" t="s">
        <v>261</v>
      </c>
      <c r="I457" s="52" t="s">
        <v>257</v>
      </c>
      <c r="J457" s="156" t="s">
        <v>266</v>
      </c>
      <c r="K457" s="53">
        <v>20310</v>
      </c>
      <c r="L457" s="151">
        <v>1</v>
      </c>
    </row>
    <row r="458" spans="1:12">
      <c r="A458" s="146" t="s">
        <v>365</v>
      </c>
      <c r="B458" s="155">
        <v>9198561612</v>
      </c>
      <c r="C458" s="153">
        <v>34609</v>
      </c>
      <c r="D458" s="51">
        <f t="shared" ca="1" si="14"/>
        <v>22</v>
      </c>
      <c r="E458" s="152" t="str">
        <f t="shared" si="15"/>
        <v>October</v>
      </c>
      <c r="F458" s="146" t="s">
        <v>705</v>
      </c>
      <c r="G458" s="154">
        <v>150132247</v>
      </c>
      <c r="H458" s="146" t="s">
        <v>256</v>
      </c>
      <c r="I458" s="52" t="s">
        <v>276</v>
      </c>
      <c r="J458" s="156" t="s">
        <v>271</v>
      </c>
      <c r="K458" s="53">
        <v>56292</v>
      </c>
      <c r="L458" s="151">
        <v>3</v>
      </c>
    </row>
    <row r="459" spans="1:12">
      <c r="A459" s="146" t="s">
        <v>849</v>
      </c>
      <c r="B459" s="155">
        <v>9196132408</v>
      </c>
      <c r="C459" s="153">
        <v>34370</v>
      </c>
      <c r="D459" s="51">
        <f t="shared" ca="1" si="14"/>
        <v>22</v>
      </c>
      <c r="E459" s="152" t="str">
        <f t="shared" si="15"/>
        <v>February</v>
      </c>
      <c r="F459" s="146" t="s">
        <v>705</v>
      </c>
      <c r="G459" s="154">
        <v>474117484</v>
      </c>
      <c r="H459" s="146" t="s">
        <v>256</v>
      </c>
      <c r="I459" s="52" t="s">
        <v>257</v>
      </c>
      <c r="J459" s="156" t="s">
        <v>285</v>
      </c>
      <c r="K459" s="53">
        <v>95724</v>
      </c>
      <c r="L459" s="151">
        <v>4</v>
      </c>
    </row>
    <row r="460" spans="1:12">
      <c r="A460" s="146" t="s">
        <v>928</v>
      </c>
      <c r="B460" s="155">
        <v>9197430732</v>
      </c>
      <c r="C460" s="153">
        <v>37057</v>
      </c>
      <c r="D460" s="51">
        <f t="shared" ca="1" si="14"/>
        <v>15</v>
      </c>
      <c r="E460" s="152" t="str">
        <f t="shared" si="15"/>
        <v>June</v>
      </c>
      <c r="F460" s="146" t="s">
        <v>705</v>
      </c>
      <c r="G460" s="154">
        <v>948252103</v>
      </c>
      <c r="H460" s="146" t="s">
        <v>252</v>
      </c>
      <c r="I460" s="52"/>
      <c r="J460" s="156" t="s">
        <v>271</v>
      </c>
      <c r="K460" s="53">
        <v>47717</v>
      </c>
      <c r="L460" s="151">
        <v>1</v>
      </c>
    </row>
    <row r="461" spans="1:12">
      <c r="A461" s="146" t="s">
        <v>453</v>
      </c>
      <c r="B461" s="155">
        <v>2525981242</v>
      </c>
      <c r="C461" s="153">
        <v>34839</v>
      </c>
      <c r="D461" s="51">
        <f t="shared" ca="1" si="14"/>
        <v>21</v>
      </c>
      <c r="E461" s="152" t="str">
        <f t="shared" si="15"/>
        <v>May</v>
      </c>
      <c r="F461" s="146" t="s">
        <v>705</v>
      </c>
      <c r="G461" s="154">
        <v>934447306</v>
      </c>
      <c r="H461" s="146" t="s">
        <v>256</v>
      </c>
      <c r="I461" s="52" t="s">
        <v>283</v>
      </c>
      <c r="J461" s="156" t="s">
        <v>271</v>
      </c>
      <c r="K461" s="53">
        <v>87636</v>
      </c>
      <c r="L461" s="151">
        <v>5</v>
      </c>
    </row>
    <row r="462" spans="1:12">
      <c r="A462" s="146" t="s">
        <v>855</v>
      </c>
      <c r="B462" s="155">
        <v>9198472270</v>
      </c>
      <c r="C462" s="153">
        <v>34241</v>
      </c>
      <c r="D462" s="51">
        <f t="shared" ca="1" si="14"/>
        <v>23</v>
      </c>
      <c r="E462" s="152" t="str">
        <f t="shared" si="15"/>
        <v>September</v>
      </c>
      <c r="F462" s="146" t="s">
        <v>750</v>
      </c>
      <c r="G462" s="154">
        <v>834061135</v>
      </c>
      <c r="H462" s="146" t="s">
        <v>256</v>
      </c>
      <c r="I462" s="52" t="s">
        <v>267</v>
      </c>
      <c r="J462" s="156" t="s">
        <v>266</v>
      </c>
      <c r="K462" s="53">
        <v>53472</v>
      </c>
      <c r="L462" s="151">
        <v>2</v>
      </c>
    </row>
    <row r="463" spans="1:12">
      <c r="A463" s="146" t="s">
        <v>416</v>
      </c>
      <c r="B463" s="155">
        <v>2522456406</v>
      </c>
      <c r="C463" s="153">
        <v>34264</v>
      </c>
      <c r="D463" s="51">
        <f t="shared" ca="1" si="14"/>
        <v>23</v>
      </c>
      <c r="E463" s="152" t="str">
        <f t="shared" si="15"/>
        <v>October</v>
      </c>
      <c r="F463" s="146" t="s">
        <v>750</v>
      </c>
      <c r="G463" s="154">
        <v>444159297</v>
      </c>
      <c r="H463" s="146" t="s">
        <v>256</v>
      </c>
      <c r="I463" s="52" t="s">
        <v>257</v>
      </c>
      <c r="J463" s="156" t="s">
        <v>271</v>
      </c>
      <c r="K463" s="53">
        <v>97836</v>
      </c>
      <c r="L463" s="151">
        <v>5</v>
      </c>
    </row>
    <row r="464" spans="1:12">
      <c r="A464" s="146" t="s">
        <v>937</v>
      </c>
      <c r="B464" s="155">
        <v>9191876990</v>
      </c>
      <c r="C464" s="153">
        <v>34188</v>
      </c>
      <c r="D464" s="51">
        <f t="shared" ca="1" si="14"/>
        <v>23</v>
      </c>
      <c r="E464" s="152" t="str">
        <f t="shared" si="15"/>
        <v>August</v>
      </c>
      <c r="F464" s="146" t="s">
        <v>750</v>
      </c>
      <c r="G464" s="154">
        <v>904790184</v>
      </c>
      <c r="H464" s="146" t="s">
        <v>256</v>
      </c>
      <c r="I464" s="52" t="s">
        <v>283</v>
      </c>
      <c r="J464" s="156" t="s">
        <v>271</v>
      </c>
      <c r="K464" s="53">
        <v>93264</v>
      </c>
      <c r="L464" s="151">
        <v>3</v>
      </c>
    </row>
    <row r="465" spans="1:12">
      <c r="A465" s="146" t="s">
        <v>631</v>
      </c>
      <c r="B465" s="155">
        <v>9195012757</v>
      </c>
      <c r="C465" s="153">
        <v>34014</v>
      </c>
      <c r="D465" s="51">
        <f t="shared" ca="1" si="14"/>
        <v>23</v>
      </c>
      <c r="E465" s="152" t="str">
        <f t="shared" si="15"/>
        <v>February</v>
      </c>
      <c r="F465" s="146" t="s">
        <v>750</v>
      </c>
      <c r="G465" s="154">
        <v>264960848</v>
      </c>
      <c r="H465" s="146" t="s">
        <v>247</v>
      </c>
      <c r="I465" s="52"/>
      <c r="J465" s="156" t="s">
        <v>251</v>
      </c>
      <c r="K465" s="53">
        <v>58884</v>
      </c>
      <c r="L465" s="151">
        <v>3</v>
      </c>
    </row>
    <row r="466" spans="1:12">
      <c r="A466" s="146" t="s">
        <v>317</v>
      </c>
      <c r="B466" s="155">
        <v>2522581491</v>
      </c>
      <c r="C466" s="153">
        <v>34168</v>
      </c>
      <c r="D466" s="51">
        <f t="shared" ca="1" si="14"/>
        <v>23</v>
      </c>
      <c r="E466" s="152" t="str">
        <f t="shared" si="15"/>
        <v>July</v>
      </c>
      <c r="F466" s="146" t="s">
        <v>750</v>
      </c>
      <c r="G466" s="154">
        <v>763518183</v>
      </c>
      <c r="H466" s="146" t="s">
        <v>256</v>
      </c>
      <c r="I466" s="52" t="s">
        <v>257</v>
      </c>
      <c r="J466" s="156" t="s">
        <v>271</v>
      </c>
      <c r="K466" s="53">
        <v>83280</v>
      </c>
      <c r="L466" s="151">
        <v>5</v>
      </c>
    </row>
    <row r="467" spans="1:12">
      <c r="A467" s="146" t="s">
        <v>956</v>
      </c>
      <c r="B467" s="155">
        <v>9195506190</v>
      </c>
      <c r="C467" s="153">
        <v>33840</v>
      </c>
      <c r="D467" s="51">
        <f t="shared" ca="1" si="14"/>
        <v>24</v>
      </c>
      <c r="E467" s="152" t="str">
        <f t="shared" si="15"/>
        <v>August</v>
      </c>
      <c r="F467" s="146" t="s">
        <v>750</v>
      </c>
      <c r="G467" s="154">
        <v>852430023</v>
      </c>
      <c r="H467" s="146" t="s">
        <v>261</v>
      </c>
      <c r="I467" s="52" t="s">
        <v>267</v>
      </c>
      <c r="J467" s="156" t="s">
        <v>285</v>
      </c>
      <c r="K467" s="53">
        <v>29778</v>
      </c>
      <c r="L467" s="151">
        <v>1</v>
      </c>
    </row>
    <row r="468" spans="1:12">
      <c r="A468" s="146" t="s">
        <v>957</v>
      </c>
      <c r="B468" s="155">
        <v>2525536623</v>
      </c>
      <c r="C468" s="153">
        <v>33841</v>
      </c>
      <c r="D468" s="51">
        <f t="shared" ca="1" si="14"/>
        <v>24</v>
      </c>
      <c r="E468" s="152" t="str">
        <f t="shared" si="15"/>
        <v>August</v>
      </c>
      <c r="F468" s="146" t="s">
        <v>750</v>
      </c>
      <c r="G468" s="154">
        <v>134557291</v>
      </c>
      <c r="H468" s="146" t="s">
        <v>256</v>
      </c>
      <c r="I468" s="52" t="s">
        <v>257</v>
      </c>
      <c r="J468" s="156" t="s">
        <v>271</v>
      </c>
      <c r="K468" s="53">
        <v>39120</v>
      </c>
      <c r="L468" s="151">
        <v>5</v>
      </c>
    </row>
    <row r="469" spans="1:12">
      <c r="A469" s="146" t="s">
        <v>376</v>
      </c>
      <c r="B469" s="155">
        <v>2523766803</v>
      </c>
      <c r="C469" s="153">
        <v>34316</v>
      </c>
      <c r="D469" s="51">
        <f t="shared" ca="1" si="14"/>
        <v>22</v>
      </c>
      <c r="E469" s="152" t="str">
        <f t="shared" si="15"/>
        <v>December</v>
      </c>
      <c r="F469" s="146" t="s">
        <v>750</v>
      </c>
      <c r="G469" s="154">
        <v>360904659</v>
      </c>
      <c r="H469" s="146" t="s">
        <v>256</v>
      </c>
      <c r="I469" s="52" t="s">
        <v>283</v>
      </c>
      <c r="J469" s="156" t="s">
        <v>245</v>
      </c>
      <c r="K469" s="53">
        <v>53544</v>
      </c>
      <c r="L469" s="151">
        <v>5</v>
      </c>
    </row>
    <row r="470" spans="1:12">
      <c r="A470" s="146" t="s">
        <v>432</v>
      </c>
      <c r="B470" s="155">
        <v>2528385730</v>
      </c>
      <c r="C470" s="153">
        <v>33888</v>
      </c>
      <c r="D470" s="51">
        <f t="shared" ca="1" si="14"/>
        <v>24</v>
      </c>
      <c r="E470" s="152" t="str">
        <f t="shared" si="15"/>
        <v>October</v>
      </c>
      <c r="F470" s="146" t="s">
        <v>750</v>
      </c>
      <c r="G470" s="154">
        <v>671360508</v>
      </c>
      <c r="H470" s="146" t="s">
        <v>261</v>
      </c>
      <c r="I470" s="52" t="s">
        <v>262</v>
      </c>
      <c r="J470" s="156" t="s">
        <v>245</v>
      </c>
      <c r="K470" s="53">
        <v>47544</v>
      </c>
      <c r="L470" s="151">
        <v>5</v>
      </c>
    </row>
    <row r="471" spans="1:12">
      <c r="A471" s="146" t="s">
        <v>433</v>
      </c>
      <c r="B471" s="155">
        <v>9195990139</v>
      </c>
      <c r="C471" s="153">
        <v>34008</v>
      </c>
      <c r="D471" s="51">
        <f t="shared" ca="1" si="14"/>
        <v>23</v>
      </c>
      <c r="E471" s="152" t="str">
        <f t="shared" si="15"/>
        <v>February</v>
      </c>
      <c r="F471" s="146" t="s">
        <v>750</v>
      </c>
      <c r="G471" s="154">
        <v>292693795</v>
      </c>
      <c r="H471" s="146" t="s">
        <v>256</v>
      </c>
      <c r="I471" s="52" t="s">
        <v>257</v>
      </c>
      <c r="J471" s="156" t="s">
        <v>285</v>
      </c>
      <c r="K471" s="53">
        <v>105540</v>
      </c>
      <c r="L471" s="151">
        <v>4</v>
      </c>
    </row>
    <row r="472" spans="1:12">
      <c r="A472" s="146" t="s">
        <v>690</v>
      </c>
      <c r="B472" s="155">
        <v>9196733291</v>
      </c>
      <c r="C472" s="153">
        <v>33914</v>
      </c>
      <c r="D472" s="51">
        <f t="shared" ca="1" si="14"/>
        <v>24</v>
      </c>
      <c r="E472" s="152" t="str">
        <f t="shared" si="15"/>
        <v>November</v>
      </c>
      <c r="F472" s="146" t="s">
        <v>750</v>
      </c>
      <c r="G472" s="154">
        <v>174483231</v>
      </c>
      <c r="H472" s="146" t="s">
        <v>256</v>
      </c>
      <c r="I472" s="52" t="s">
        <v>257</v>
      </c>
      <c r="J472" s="156" t="s">
        <v>285</v>
      </c>
      <c r="K472" s="53">
        <v>49128</v>
      </c>
      <c r="L472" s="151">
        <v>3</v>
      </c>
    </row>
    <row r="473" spans="1:12">
      <c r="A473" s="146" t="s">
        <v>733</v>
      </c>
      <c r="B473" s="155">
        <v>9197429525</v>
      </c>
      <c r="C473" s="153">
        <v>34077</v>
      </c>
      <c r="D473" s="51">
        <f t="shared" ca="1" si="14"/>
        <v>23</v>
      </c>
      <c r="E473" s="152" t="str">
        <f t="shared" si="15"/>
        <v>April</v>
      </c>
      <c r="F473" s="146" t="s">
        <v>750</v>
      </c>
      <c r="G473" s="154">
        <v>219740602</v>
      </c>
      <c r="H473" s="146" t="s">
        <v>261</v>
      </c>
      <c r="I473" s="52" t="s">
        <v>276</v>
      </c>
      <c r="J473" s="156" t="s">
        <v>285</v>
      </c>
      <c r="K473" s="53">
        <v>19218</v>
      </c>
      <c r="L473" s="151">
        <v>3</v>
      </c>
    </row>
    <row r="474" spans="1:12">
      <c r="A474" s="146" t="s">
        <v>580</v>
      </c>
      <c r="B474" s="155">
        <v>9196100410</v>
      </c>
      <c r="C474" s="153">
        <v>34048</v>
      </c>
      <c r="D474" s="51">
        <f t="shared" ca="1" si="14"/>
        <v>23</v>
      </c>
      <c r="E474" s="152" t="str">
        <f t="shared" si="15"/>
        <v>March</v>
      </c>
      <c r="F474" s="146" t="s">
        <v>750</v>
      </c>
      <c r="G474" s="154">
        <v>967826310</v>
      </c>
      <c r="H474" s="146" t="s">
        <v>256</v>
      </c>
      <c r="I474" s="52" t="s">
        <v>276</v>
      </c>
      <c r="J474" s="156" t="s">
        <v>271</v>
      </c>
      <c r="K474" s="53">
        <v>42384</v>
      </c>
      <c r="L474" s="151">
        <v>3</v>
      </c>
    </row>
    <row r="475" spans="1:12">
      <c r="A475" s="146" t="s">
        <v>415</v>
      </c>
      <c r="B475" s="155">
        <v>9197904981</v>
      </c>
      <c r="C475" s="153">
        <v>33886</v>
      </c>
      <c r="D475" s="51">
        <f t="shared" ca="1" si="14"/>
        <v>24</v>
      </c>
      <c r="E475" s="152" t="str">
        <f t="shared" si="15"/>
        <v>October</v>
      </c>
      <c r="F475" s="146" t="s">
        <v>750</v>
      </c>
      <c r="G475" s="154">
        <v>285295419</v>
      </c>
      <c r="H475" s="146" t="s">
        <v>252</v>
      </c>
      <c r="I475" s="52"/>
      <c r="J475" s="156" t="s">
        <v>285</v>
      </c>
      <c r="K475" s="53">
        <v>39878</v>
      </c>
      <c r="L475" s="151">
        <v>4</v>
      </c>
    </row>
    <row r="476" spans="1:12">
      <c r="A476" s="146" t="s">
        <v>667</v>
      </c>
      <c r="B476" s="155">
        <v>2526104400</v>
      </c>
      <c r="C476" s="153">
        <v>33907</v>
      </c>
      <c r="D476" s="51">
        <f t="shared" ca="1" si="14"/>
        <v>24</v>
      </c>
      <c r="E476" s="152" t="str">
        <f t="shared" si="15"/>
        <v>October</v>
      </c>
      <c r="F476" s="146" t="s">
        <v>750</v>
      </c>
      <c r="G476" s="154">
        <v>710460589</v>
      </c>
      <c r="H476" s="146" t="s">
        <v>256</v>
      </c>
      <c r="I476" s="52" t="s">
        <v>283</v>
      </c>
      <c r="J476" s="156" t="s">
        <v>266</v>
      </c>
      <c r="K476" s="53">
        <v>51732</v>
      </c>
      <c r="L476" s="151">
        <v>2</v>
      </c>
    </row>
    <row r="477" spans="1:12">
      <c r="A477" s="146" t="s">
        <v>765</v>
      </c>
      <c r="B477" s="158">
        <v>2523355100</v>
      </c>
      <c r="C477" s="153">
        <v>33974</v>
      </c>
      <c r="D477" s="51">
        <f t="shared" ca="1" si="14"/>
        <v>23</v>
      </c>
      <c r="E477" s="152" t="str">
        <f t="shared" si="15"/>
        <v>January</v>
      </c>
      <c r="F477" s="146" t="s">
        <v>750</v>
      </c>
      <c r="G477" s="154">
        <v>198564686</v>
      </c>
      <c r="H477" s="146" t="s">
        <v>256</v>
      </c>
      <c r="I477" s="52" t="s">
        <v>257</v>
      </c>
      <c r="J477" s="156" t="s">
        <v>285</v>
      </c>
      <c r="K477" s="53">
        <v>86076</v>
      </c>
      <c r="L477" s="151">
        <v>1</v>
      </c>
    </row>
    <row r="478" spans="1:12">
      <c r="A478" s="146" t="s">
        <v>708</v>
      </c>
      <c r="B478" s="155">
        <v>2527194901</v>
      </c>
      <c r="C478" s="153">
        <v>33895</v>
      </c>
      <c r="D478" s="51">
        <f t="shared" ca="1" si="14"/>
        <v>24</v>
      </c>
      <c r="E478" s="152" t="str">
        <f t="shared" si="15"/>
        <v>October</v>
      </c>
      <c r="F478" s="146" t="s">
        <v>767</v>
      </c>
      <c r="G478" s="154">
        <v>484442635</v>
      </c>
      <c r="H478" s="146" t="s">
        <v>247</v>
      </c>
      <c r="I478" s="52"/>
      <c r="J478" s="156" t="s">
        <v>245</v>
      </c>
      <c r="K478" s="53">
        <v>27624</v>
      </c>
      <c r="L478" s="151">
        <v>4</v>
      </c>
    </row>
    <row r="479" spans="1:12">
      <c r="A479" s="146" t="s">
        <v>774</v>
      </c>
      <c r="B479" s="155">
        <v>2523294956</v>
      </c>
      <c r="C479" s="153">
        <v>35386</v>
      </c>
      <c r="D479" s="51">
        <f t="shared" ca="1" si="14"/>
        <v>19</v>
      </c>
      <c r="E479" s="152" t="str">
        <f t="shared" si="15"/>
        <v>November</v>
      </c>
      <c r="F479" s="146" t="s">
        <v>767</v>
      </c>
      <c r="G479" s="154">
        <v>933883118</v>
      </c>
      <c r="H479" s="146" t="s">
        <v>247</v>
      </c>
      <c r="I479" s="52"/>
      <c r="J479" s="156" t="s">
        <v>285</v>
      </c>
      <c r="K479" s="53">
        <v>103176</v>
      </c>
      <c r="L479" s="151">
        <v>2</v>
      </c>
    </row>
    <row r="480" spans="1:12">
      <c r="A480" s="146" t="s">
        <v>933</v>
      </c>
      <c r="B480" s="155">
        <v>9198591986</v>
      </c>
      <c r="C480" s="153">
        <v>34301</v>
      </c>
      <c r="D480" s="51">
        <f t="shared" ca="1" si="14"/>
        <v>22</v>
      </c>
      <c r="E480" s="152" t="str">
        <f t="shared" si="15"/>
        <v>November</v>
      </c>
      <c r="F480" s="146" t="s">
        <v>767</v>
      </c>
      <c r="G480" s="154">
        <v>828395582</v>
      </c>
      <c r="H480" s="146" t="s">
        <v>256</v>
      </c>
      <c r="I480" s="52" t="s">
        <v>276</v>
      </c>
      <c r="J480" s="156" t="s">
        <v>285</v>
      </c>
      <c r="K480" s="53">
        <v>86016</v>
      </c>
      <c r="L480" s="151">
        <v>4</v>
      </c>
    </row>
    <row r="481" spans="1:12">
      <c r="A481" s="146" t="s">
        <v>455</v>
      </c>
      <c r="B481" s="155">
        <v>9197179128</v>
      </c>
      <c r="C481" s="153">
        <v>40627</v>
      </c>
      <c r="D481" s="51">
        <f t="shared" ca="1" si="14"/>
        <v>5</v>
      </c>
      <c r="E481" s="152" t="str">
        <f t="shared" si="15"/>
        <v>March</v>
      </c>
      <c r="F481" s="146" t="s">
        <v>767</v>
      </c>
      <c r="G481" s="154">
        <v>151277827</v>
      </c>
      <c r="H481" s="146" t="s">
        <v>256</v>
      </c>
      <c r="I481" s="52" t="s">
        <v>257</v>
      </c>
      <c r="J481" s="156" t="s">
        <v>245</v>
      </c>
      <c r="K481" s="53">
        <v>29748</v>
      </c>
      <c r="L481" s="151">
        <v>3</v>
      </c>
    </row>
    <row r="482" spans="1:12">
      <c r="A482" s="146" t="s">
        <v>776</v>
      </c>
      <c r="B482" s="155">
        <v>2522939413</v>
      </c>
      <c r="C482" s="153">
        <v>36864</v>
      </c>
      <c r="D482" s="51">
        <f t="shared" ca="1" si="14"/>
        <v>15</v>
      </c>
      <c r="E482" s="152" t="str">
        <f t="shared" si="15"/>
        <v>December</v>
      </c>
      <c r="F482" s="146" t="s">
        <v>767</v>
      </c>
      <c r="G482" s="154">
        <v>265323292</v>
      </c>
      <c r="H482" s="146" t="s">
        <v>256</v>
      </c>
      <c r="I482" s="52" t="s">
        <v>283</v>
      </c>
      <c r="J482" s="156" t="s">
        <v>251</v>
      </c>
      <c r="K482" s="53">
        <v>54000</v>
      </c>
      <c r="L482" s="151">
        <v>4</v>
      </c>
    </row>
    <row r="483" spans="1:12">
      <c r="A483" s="146" t="s">
        <v>780</v>
      </c>
      <c r="B483" s="155">
        <v>2526555049</v>
      </c>
      <c r="C483" s="153">
        <v>36945</v>
      </c>
      <c r="D483" s="51">
        <f t="shared" ca="1" si="14"/>
        <v>15</v>
      </c>
      <c r="E483" s="152" t="str">
        <f t="shared" si="15"/>
        <v>February</v>
      </c>
      <c r="F483" s="146" t="s">
        <v>767</v>
      </c>
      <c r="G483" s="154">
        <v>369210573</v>
      </c>
      <c r="H483" s="146" t="s">
        <v>261</v>
      </c>
      <c r="I483" s="52" t="s">
        <v>283</v>
      </c>
      <c r="J483" s="156" t="s">
        <v>280</v>
      </c>
      <c r="K483" s="53">
        <v>26970</v>
      </c>
      <c r="L483" s="151">
        <v>4</v>
      </c>
    </row>
    <row r="484" spans="1:12">
      <c r="A484" s="146" t="s">
        <v>868</v>
      </c>
      <c r="B484" s="155">
        <v>2521220758</v>
      </c>
      <c r="C484" s="153">
        <v>36812</v>
      </c>
      <c r="D484" s="51">
        <f t="shared" ca="1" si="14"/>
        <v>16</v>
      </c>
      <c r="E484" s="152" t="str">
        <f t="shared" si="15"/>
        <v>October</v>
      </c>
      <c r="F484" s="146" t="s">
        <v>767</v>
      </c>
      <c r="G484" s="154">
        <v>349174221</v>
      </c>
      <c r="H484" s="146" t="s">
        <v>261</v>
      </c>
      <c r="I484" s="52" t="s">
        <v>262</v>
      </c>
      <c r="J484" s="156" t="s">
        <v>285</v>
      </c>
      <c r="K484" s="53">
        <v>54900</v>
      </c>
      <c r="L484" s="151">
        <v>5</v>
      </c>
    </row>
    <row r="485" spans="1:12">
      <c r="A485" s="146" t="s">
        <v>713</v>
      </c>
      <c r="B485" s="155">
        <v>2523324762</v>
      </c>
      <c r="C485" s="153">
        <v>36029</v>
      </c>
      <c r="D485" s="51">
        <f t="shared" ca="1" si="14"/>
        <v>18</v>
      </c>
      <c r="E485" s="152" t="str">
        <f t="shared" si="15"/>
        <v>August</v>
      </c>
      <c r="F485" s="146" t="s">
        <v>767</v>
      </c>
      <c r="G485" s="154">
        <v>556327593</v>
      </c>
      <c r="H485" s="146" t="s">
        <v>247</v>
      </c>
      <c r="I485" s="52"/>
      <c r="J485" s="156" t="s">
        <v>285</v>
      </c>
      <c r="K485" s="53">
        <v>72084</v>
      </c>
      <c r="L485" s="151">
        <v>2</v>
      </c>
    </row>
    <row r="486" spans="1:12">
      <c r="A486" s="146" t="s">
        <v>786</v>
      </c>
      <c r="B486" s="155">
        <v>2526427045</v>
      </c>
      <c r="C486" s="153">
        <v>38254</v>
      </c>
      <c r="D486" s="51">
        <f t="shared" ca="1" si="14"/>
        <v>12</v>
      </c>
      <c r="E486" s="152" t="str">
        <f t="shared" si="15"/>
        <v>September</v>
      </c>
      <c r="F486" s="146" t="s">
        <v>767</v>
      </c>
      <c r="G486" s="154">
        <v>160662505</v>
      </c>
      <c r="H486" s="146" t="s">
        <v>247</v>
      </c>
      <c r="I486" s="52"/>
      <c r="J486" s="156" t="s">
        <v>285</v>
      </c>
      <c r="K486" s="53">
        <v>73896</v>
      </c>
      <c r="L486" s="151">
        <v>3</v>
      </c>
    </row>
    <row r="487" spans="1:12">
      <c r="A487" s="146" t="s">
        <v>497</v>
      </c>
      <c r="B487" s="155">
        <v>2524045531</v>
      </c>
      <c r="C487" s="153">
        <v>37103</v>
      </c>
      <c r="D487" s="51">
        <f t="shared" ca="1" si="14"/>
        <v>15</v>
      </c>
      <c r="E487" s="152" t="str">
        <f t="shared" si="15"/>
        <v>July</v>
      </c>
      <c r="F487" s="146" t="s">
        <v>767</v>
      </c>
      <c r="G487" s="154">
        <v>239847790</v>
      </c>
      <c r="H487" s="146" t="s">
        <v>247</v>
      </c>
      <c r="I487" s="52"/>
      <c r="J487" s="156" t="s">
        <v>266</v>
      </c>
      <c r="K487" s="53">
        <v>85560</v>
      </c>
      <c r="L487" s="151">
        <v>5</v>
      </c>
    </row>
    <row r="488" spans="1:12">
      <c r="A488" s="146" t="s">
        <v>500</v>
      </c>
      <c r="B488" s="155">
        <v>2521544288</v>
      </c>
      <c r="C488" s="153">
        <v>33962</v>
      </c>
      <c r="D488" s="51">
        <f t="shared" ca="1" si="14"/>
        <v>23</v>
      </c>
      <c r="E488" s="152" t="str">
        <f t="shared" si="15"/>
        <v>December</v>
      </c>
      <c r="F488" s="146" t="s">
        <v>767</v>
      </c>
      <c r="G488" s="154">
        <v>554029540</v>
      </c>
      <c r="H488" s="146" t="s">
        <v>247</v>
      </c>
      <c r="I488" s="52"/>
      <c r="J488" s="156" t="s">
        <v>271</v>
      </c>
      <c r="K488" s="53">
        <v>70380</v>
      </c>
      <c r="L488" s="151">
        <v>4</v>
      </c>
    </row>
    <row r="489" spans="1:12">
      <c r="A489" s="146" t="s">
        <v>393</v>
      </c>
      <c r="B489" s="155">
        <v>2522814530</v>
      </c>
      <c r="C489" s="153">
        <v>36549</v>
      </c>
      <c r="D489" s="51">
        <f t="shared" ca="1" si="14"/>
        <v>16</v>
      </c>
      <c r="E489" s="152" t="str">
        <f t="shared" si="15"/>
        <v>January</v>
      </c>
      <c r="F489" s="146" t="s">
        <v>767</v>
      </c>
      <c r="G489" s="154">
        <v>217968415</v>
      </c>
      <c r="H489" s="146" t="s">
        <v>256</v>
      </c>
      <c r="I489" s="52" t="s">
        <v>267</v>
      </c>
      <c r="J489" s="156" t="s">
        <v>245</v>
      </c>
      <c r="K489" s="53">
        <v>27444</v>
      </c>
      <c r="L489" s="151">
        <v>3</v>
      </c>
    </row>
    <row r="490" spans="1:12">
      <c r="A490" s="146" t="s">
        <v>942</v>
      </c>
      <c r="B490" s="155">
        <v>2522604602</v>
      </c>
      <c r="C490" s="153">
        <v>36554</v>
      </c>
      <c r="D490" s="51">
        <f t="shared" ca="1" si="14"/>
        <v>16</v>
      </c>
      <c r="E490" s="152" t="str">
        <f t="shared" si="15"/>
        <v>January</v>
      </c>
      <c r="F490" s="146" t="s">
        <v>767</v>
      </c>
      <c r="G490" s="154">
        <v>451159170</v>
      </c>
      <c r="H490" s="146" t="s">
        <v>261</v>
      </c>
      <c r="I490" s="52" t="s">
        <v>257</v>
      </c>
      <c r="J490" s="156" t="s">
        <v>280</v>
      </c>
      <c r="K490" s="53">
        <v>37446</v>
      </c>
      <c r="L490" s="151">
        <v>2</v>
      </c>
    </row>
    <row r="491" spans="1:12">
      <c r="A491" s="146" t="s">
        <v>944</v>
      </c>
      <c r="B491" s="155">
        <v>2527925201</v>
      </c>
      <c r="C491" s="153">
        <v>41138</v>
      </c>
      <c r="D491" s="51">
        <f t="shared" ca="1" si="14"/>
        <v>4</v>
      </c>
      <c r="E491" s="152" t="str">
        <f t="shared" si="15"/>
        <v>August</v>
      </c>
      <c r="F491" s="146" t="s">
        <v>767</v>
      </c>
      <c r="G491" s="154">
        <v>502200672</v>
      </c>
      <c r="H491" s="146" t="s">
        <v>247</v>
      </c>
      <c r="I491" s="52"/>
      <c r="J491" s="156" t="s">
        <v>245</v>
      </c>
      <c r="K491" s="53">
        <v>69216</v>
      </c>
      <c r="L491" s="151">
        <v>4</v>
      </c>
    </row>
    <row r="492" spans="1:12">
      <c r="A492" s="146" t="s">
        <v>1026</v>
      </c>
      <c r="B492" s="155">
        <v>2521230519</v>
      </c>
      <c r="C492" s="153">
        <v>36269</v>
      </c>
      <c r="D492" s="51">
        <f t="shared" ca="1" si="14"/>
        <v>17</v>
      </c>
      <c r="E492" s="152" t="str">
        <f t="shared" si="15"/>
        <v>April</v>
      </c>
      <c r="F492" s="146" t="s">
        <v>767</v>
      </c>
      <c r="G492" s="154">
        <v>643979374</v>
      </c>
      <c r="H492" s="146" t="s">
        <v>247</v>
      </c>
      <c r="I492" s="52"/>
      <c r="J492" s="156" t="s">
        <v>245</v>
      </c>
      <c r="K492" s="53">
        <v>59436</v>
      </c>
      <c r="L492" s="151">
        <v>4</v>
      </c>
    </row>
    <row r="493" spans="1:12">
      <c r="A493" s="146" t="s">
        <v>875</v>
      </c>
      <c r="B493" s="155">
        <v>9197188067</v>
      </c>
      <c r="C493" s="153">
        <v>35717</v>
      </c>
      <c r="D493" s="51">
        <f t="shared" ca="1" si="14"/>
        <v>19</v>
      </c>
      <c r="E493" s="152" t="str">
        <f t="shared" si="15"/>
        <v>October</v>
      </c>
      <c r="F493" s="146" t="s">
        <v>767</v>
      </c>
      <c r="G493" s="154">
        <v>476243591</v>
      </c>
      <c r="H493" s="146" t="s">
        <v>256</v>
      </c>
      <c r="I493" s="52" t="s">
        <v>257</v>
      </c>
      <c r="J493" s="156" t="s">
        <v>245</v>
      </c>
      <c r="K493" s="53">
        <v>60684</v>
      </c>
      <c r="L493" s="151">
        <v>4</v>
      </c>
    </row>
    <row r="494" spans="1:12">
      <c r="A494" s="157" t="s">
        <v>250</v>
      </c>
      <c r="B494" s="155">
        <v>2522551469</v>
      </c>
      <c r="C494" s="153">
        <v>36344</v>
      </c>
      <c r="D494" s="51">
        <f t="shared" ca="1" si="14"/>
        <v>17</v>
      </c>
      <c r="E494" s="152" t="str">
        <f t="shared" si="15"/>
        <v>July</v>
      </c>
      <c r="F494" s="146" t="s">
        <v>767</v>
      </c>
      <c r="G494" s="154">
        <v>394876677</v>
      </c>
      <c r="H494" s="146" t="s">
        <v>256</v>
      </c>
      <c r="I494" s="52" t="s">
        <v>283</v>
      </c>
      <c r="J494" s="156" t="s">
        <v>285</v>
      </c>
      <c r="K494" s="53">
        <v>40872</v>
      </c>
      <c r="L494" s="151">
        <v>2</v>
      </c>
    </row>
    <row r="495" spans="1:12">
      <c r="A495" s="146" t="s">
        <v>715</v>
      </c>
      <c r="B495" s="155">
        <v>9191675237</v>
      </c>
      <c r="C495" s="153">
        <v>36014</v>
      </c>
      <c r="D495" s="51">
        <f t="shared" ca="1" si="14"/>
        <v>18</v>
      </c>
      <c r="E495" s="152" t="str">
        <f t="shared" si="15"/>
        <v>August</v>
      </c>
      <c r="F495" s="146" t="s">
        <v>767</v>
      </c>
      <c r="G495" s="154">
        <v>174159111</v>
      </c>
      <c r="H495" s="146" t="s">
        <v>256</v>
      </c>
      <c r="I495" s="52" t="s">
        <v>262</v>
      </c>
      <c r="J495" s="156" t="s">
        <v>245</v>
      </c>
      <c r="K495" s="53">
        <v>87240</v>
      </c>
      <c r="L495" s="151">
        <v>5</v>
      </c>
    </row>
    <row r="496" spans="1:12">
      <c r="A496" s="146" t="s">
        <v>948</v>
      </c>
      <c r="B496" s="155">
        <v>9195220001</v>
      </c>
      <c r="C496" s="153">
        <v>34254</v>
      </c>
      <c r="D496" s="51">
        <f t="shared" ca="1" si="14"/>
        <v>23</v>
      </c>
      <c r="E496" s="152" t="str">
        <f t="shared" si="15"/>
        <v>October</v>
      </c>
      <c r="F496" s="146" t="s">
        <v>767</v>
      </c>
      <c r="G496" s="154">
        <v>880747384</v>
      </c>
      <c r="H496" s="146" t="s">
        <v>256</v>
      </c>
      <c r="I496" s="52" t="s">
        <v>267</v>
      </c>
      <c r="J496" s="156" t="s">
        <v>271</v>
      </c>
      <c r="K496" s="53">
        <v>95280</v>
      </c>
      <c r="L496" s="151">
        <v>4</v>
      </c>
    </row>
    <row r="497" spans="1:12">
      <c r="A497" s="146" t="s">
        <v>424</v>
      </c>
      <c r="B497" s="155">
        <v>9193876146</v>
      </c>
      <c r="C497" s="153">
        <v>35421</v>
      </c>
      <c r="D497" s="51">
        <f t="shared" ca="1" si="14"/>
        <v>19</v>
      </c>
      <c r="E497" s="152" t="str">
        <f t="shared" si="15"/>
        <v>December</v>
      </c>
      <c r="F497" s="146" t="s">
        <v>767</v>
      </c>
      <c r="G497" s="154">
        <v>422463024</v>
      </c>
      <c r="H497" s="146" t="s">
        <v>256</v>
      </c>
      <c r="I497" s="52" t="s">
        <v>262</v>
      </c>
      <c r="J497" s="156" t="s">
        <v>280</v>
      </c>
      <c r="K497" s="53">
        <v>106584</v>
      </c>
      <c r="L497" s="151">
        <v>2</v>
      </c>
    </row>
    <row r="498" spans="1:12">
      <c r="A498" s="146" t="s">
        <v>793</v>
      </c>
      <c r="B498" s="155">
        <v>9191267946</v>
      </c>
      <c r="C498" s="153">
        <v>38132</v>
      </c>
      <c r="D498" s="51">
        <f t="shared" ca="1" si="14"/>
        <v>12</v>
      </c>
      <c r="E498" s="152" t="str">
        <f t="shared" si="15"/>
        <v>May</v>
      </c>
      <c r="F498" s="146" t="s">
        <v>767</v>
      </c>
      <c r="G498" s="154">
        <v>339488599</v>
      </c>
      <c r="H498" s="146" t="s">
        <v>247</v>
      </c>
      <c r="I498" s="52"/>
      <c r="J498" s="156" t="s">
        <v>271</v>
      </c>
      <c r="K498" s="53">
        <v>72084</v>
      </c>
      <c r="L498" s="151">
        <v>3</v>
      </c>
    </row>
    <row r="499" spans="1:12">
      <c r="A499" s="146" t="s">
        <v>323</v>
      </c>
      <c r="B499" s="155">
        <v>9192999652</v>
      </c>
      <c r="C499" s="153">
        <v>34238</v>
      </c>
      <c r="D499" s="51">
        <f t="shared" ca="1" si="14"/>
        <v>23</v>
      </c>
      <c r="E499" s="152" t="str">
        <f t="shared" si="15"/>
        <v>September</v>
      </c>
      <c r="F499" s="146" t="s">
        <v>767</v>
      </c>
      <c r="G499" s="154">
        <v>561530671</v>
      </c>
      <c r="H499" s="146" t="s">
        <v>256</v>
      </c>
      <c r="I499" s="52" t="s">
        <v>262</v>
      </c>
      <c r="J499" s="156" t="s">
        <v>271</v>
      </c>
      <c r="K499" s="53">
        <v>65400</v>
      </c>
      <c r="L499" s="151">
        <v>5</v>
      </c>
    </row>
    <row r="500" spans="1:12">
      <c r="A500" s="146" t="s">
        <v>1032</v>
      </c>
      <c r="B500" s="155">
        <v>9197686976</v>
      </c>
      <c r="C500" s="153">
        <v>40592</v>
      </c>
      <c r="D500" s="51">
        <f t="shared" ca="1" si="14"/>
        <v>5</v>
      </c>
      <c r="E500" s="152" t="str">
        <f t="shared" si="15"/>
        <v>February</v>
      </c>
      <c r="F500" s="146" t="s">
        <v>767</v>
      </c>
      <c r="G500" s="154">
        <v>765512793</v>
      </c>
      <c r="H500" s="146" t="s">
        <v>256</v>
      </c>
      <c r="I500" s="52" t="s">
        <v>257</v>
      </c>
      <c r="J500" s="156" t="s">
        <v>285</v>
      </c>
      <c r="K500" s="53">
        <v>77184</v>
      </c>
      <c r="L500" s="151">
        <v>5</v>
      </c>
    </row>
    <row r="501" spans="1:12">
      <c r="A501" s="146" t="s">
        <v>795</v>
      </c>
      <c r="B501" s="155">
        <v>9193717553</v>
      </c>
      <c r="C501" s="153">
        <v>34386</v>
      </c>
      <c r="D501" s="51">
        <f t="shared" ca="1" si="14"/>
        <v>22</v>
      </c>
      <c r="E501" s="152" t="str">
        <f t="shared" si="15"/>
        <v>February</v>
      </c>
      <c r="F501" s="146" t="s">
        <v>767</v>
      </c>
      <c r="G501" s="154">
        <v>808012612</v>
      </c>
      <c r="H501" s="146" t="s">
        <v>247</v>
      </c>
      <c r="I501" s="52"/>
      <c r="J501" s="156" t="s">
        <v>245</v>
      </c>
      <c r="K501" s="53">
        <v>72660</v>
      </c>
      <c r="L501" s="151">
        <v>2</v>
      </c>
    </row>
    <row r="502" spans="1:12">
      <c r="A502" s="146" t="s">
        <v>880</v>
      </c>
      <c r="B502" s="155">
        <v>2523613559</v>
      </c>
      <c r="C502" s="153">
        <v>35822</v>
      </c>
      <c r="D502" s="51">
        <f t="shared" ca="1" si="14"/>
        <v>18</v>
      </c>
      <c r="E502" s="152" t="str">
        <f t="shared" si="15"/>
        <v>January</v>
      </c>
      <c r="F502" s="146" t="s">
        <v>767</v>
      </c>
      <c r="G502" s="154">
        <v>828715080</v>
      </c>
      <c r="H502" s="146" t="s">
        <v>256</v>
      </c>
      <c r="I502" s="52" t="s">
        <v>262</v>
      </c>
      <c r="J502" s="156" t="s">
        <v>245</v>
      </c>
      <c r="K502" s="53">
        <v>73378</v>
      </c>
      <c r="L502" s="151">
        <v>2</v>
      </c>
    </row>
    <row r="503" spans="1:12">
      <c r="A503" s="146" t="s">
        <v>426</v>
      </c>
      <c r="B503" s="155">
        <v>9195990200</v>
      </c>
      <c r="C503" s="153">
        <v>40174</v>
      </c>
      <c r="D503" s="51">
        <f t="shared" ca="1" si="14"/>
        <v>6</v>
      </c>
      <c r="E503" s="152" t="str">
        <f t="shared" si="15"/>
        <v>December</v>
      </c>
      <c r="F503" s="146" t="s">
        <v>767</v>
      </c>
      <c r="G503" s="154">
        <v>592519945</v>
      </c>
      <c r="H503" s="146" t="s">
        <v>256</v>
      </c>
      <c r="I503" s="52" t="s">
        <v>257</v>
      </c>
      <c r="J503" s="156" t="s">
        <v>285</v>
      </c>
      <c r="K503" s="53">
        <v>53580</v>
      </c>
      <c r="L503" s="151">
        <v>1</v>
      </c>
    </row>
    <row r="504" spans="1:12">
      <c r="A504" s="146" t="s">
        <v>757</v>
      </c>
      <c r="B504" s="155">
        <v>9194532398</v>
      </c>
      <c r="C504" s="153">
        <v>40456</v>
      </c>
      <c r="D504" s="51">
        <f t="shared" ca="1" si="14"/>
        <v>6</v>
      </c>
      <c r="E504" s="152" t="str">
        <f t="shared" si="15"/>
        <v>October</v>
      </c>
      <c r="F504" s="146" t="s">
        <v>767</v>
      </c>
      <c r="G504" s="154">
        <v>486016972</v>
      </c>
      <c r="H504" s="146" t="s">
        <v>261</v>
      </c>
      <c r="I504" s="52" t="s">
        <v>257</v>
      </c>
      <c r="J504" s="156" t="s">
        <v>280</v>
      </c>
      <c r="K504" s="53">
        <v>54678</v>
      </c>
      <c r="L504" s="151">
        <v>1</v>
      </c>
    </row>
    <row r="505" spans="1:12">
      <c r="A505" s="146" t="s">
        <v>638</v>
      </c>
      <c r="B505" s="155">
        <v>9194310812</v>
      </c>
      <c r="C505" s="153">
        <v>37068</v>
      </c>
      <c r="D505" s="51">
        <f t="shared" ca="1" si="14"/>
        <v>15</v>
      </c>
      <c r="E505" s="152" t="str">
        <f t="shared" si="15"/>
        <v>June</v>
      </c>
      <c r="F505" s="146" t="s">
        <v>767</v>
      </c>
      <c r="G505" s="154">
        <v>552528553</v>
      </c>
      <c r="H505" s="146" t="s">
        <v>252</v>
      </c>
      <c r="I505" s="52"/>
      <c r="J505" s="156" t="s">
        <v>285</v>
      </c>
      <c r="K505" s="53">
        <v>44419</v>
      </c>
      <c r="L505" s="151">
        <v>4</v>
      </c>
    </row>
    <row r="506" spans="1:12">
      <c r="A506" s="146" t="s">
        <v>459</v>
      </c>
      <c r="B506" s="155">
        <v>9192921836</v>
      </c>
      <c r="C506" s="153">
        <v>39945</v>
      </c>
      <c r="D506" s="51">
        <f t="shared" ca="1" si="14"/>
        <v>7</v>
      </c>
      <c r="E506" s="152" t="str">
        <f t="shared" si="15"/>
        <v>May</v>
      </c>
      <c r="F506" s="146" t="s">
        <v>767</v>
      </c>
      <c r="G506" s="154">
        <v>289103201</v>
      </c>
      <c r="H506" s="146" t="s">
        <v>256</v>
      </c>
      <c r="I506" s="52" t="s">
        <v>257</v>
      </c>
      <c r="J506" s="156" t="s">
        <v>266</v>
      </c>
      <c r="K506" s="53">
        <v>88596</v>
      </c>
      <c r="L506" s="151">
        <v>2</v>
      </c>
    </row>
    <row r="507" spans="1:12">
      <c r="A507" s="146" t="s">
        <v>955</v>
      </c>
      <c r="B507" s="155">
        <v>9191664940</v>
      </c>
      <c r="C507" s="153">
        <v>41166</v>
      </c>
      <c r="D507" s="51">
        <f t="shared" ca="1" si="14"/>
        <v>4</v>
      </c>
      <c r="E507" s="152" t="str">
        <f t="shared" si="15"/>
        <v>September</v>
      </c>
      <c r="F507" s="146" t="s">
        <v>767</v>
      </c>
      <c r="G507" s="154">
        <v>953109212</v>
      </c>
      <c r="H507" s="146" t="s">
        <v>256</v>
      </c>
      <c r="I507" s="52" t="s">
        <v>267</v>
      </c>
      <c r="J507" s="156" t="s">
        <v>285</v>
      </c>
      <c r="K507" s="53">
        <v>70980</v>
      </c>
      <c r="L507" s="151">
        <v>4</v>
      </c>
    </row>
    <row r="508" spans="1:12">
      <c r="A508" s="146" t="s">
        <v>374</v>
      </c>
      <c r="B508" s="155">
        <v>2523858464</v>
      </c>
      <c r="C508" s="153">
        <v>35947</v>
      </c>
      <c r="D508" s="51">
        <f t="shared" ca="1" si="14"/>
        <v>18</v>
      </c>
      <c r="E508" s="152" t="str">
        <f t="shared" si="15"/>
        <v>June</v>
      </c>
      <c r="F508" s="146" t="s">
        <v>767</v>
      </c>
      <c r="G508" s="154">
        <v>214291610</v>
      </c>
      <c r="H508" s="146" t="s">
        <v>256</v>
      </c>
      <c r="I508" s="52" t="s">
        <v>257</v>
      </c>
      <c r="J508" s="156" t="s">
        <v>271</v>
      </c>
      <c r="K508" s="53">
        <v>56808</v>
      </c>
      <c r="L508" s="151">
        <v>2</v>
      </c>
    </row>
    <row r="509" spans="1:12">
      <c r="A509" s="146" t="s">
        <v>430</v>
      </c>
      <c r="B509" s="155">
        <v>9192350434</v>
      </c>
      <c r="C509" s="153">
        <v>34897</v>
      </c>
      <c r="D509" s="51">
        <f t="shared" ca="1" si="14"/>
        <v>21</v>
      </c>
      <c r="E509" s="152" t="str">
        <f t="shared" si="15"/>
        <v>July</v>
      </c>
      <c r="F509" s="146" t="s">
        <v>767</v>
      </c>
      <c r="G509" s="154">
        <v>317193890</v>
      </c>
      <c r="H509" s="146" t="s">
        <v>256</v>
      </c>
      <c r="I509" s="52" t="s">
        <v>267</v>
      </c>
      <c r="J509" s="156" t="s">
        <v>271</v>
      </c>
      <c r="K509" s="53">
        <v>83304</v>
      </c>
      <c r="L509" s="151">
        <v>2</v>
      </c>
    </row>
    <row r="510" spans="1:12">
      <c r="A510" s="146" t="s">
        <v>965</v>
      </c>
      <c r="B510" s="155">
        <v>2521569304</v>
      </c>
      <c r="C510" s="153">
        <v>35897</v>
      </c>
      <c r="D510" s="51">
        <f t="shared" ca="1" si="14"/>
        <v>18</v>
      </c>
      <c r="E510" s="152" t="str">
        <f t="shared" si="15"/>
        <v>April</v>
      </c>
      <c r="F510" s="146" t="s">
        <v>767</v>
      </c>
      <c r="G510" s="154">
        <v>468234190</v>
      </c>
      <c r="H510" s="146" t="s">
        <v>256</v>
      </c>
      <c r="I510" s="52" t="s">
        <v>276</v>
      </c>
      <c r="J510" s="156" t="s">
        <v>285</v>
      </c>
      <c r="K510" s="53">
        <v>87168</v>
      </c>
      <c r="L510" s="151">
        <v>3</v>
      </c>
    </row>
    <row r="511" spans="1:12">
      <c r="A511" s="146" t="s">
        <v>330</v>
      </c>
      <c r="B511" s="155">
        <v>2527909707</v>
      </c>
      <c r="C511" s="153">
        <v>38429</v>
      </c>
      <c r="D511" s="51">
        <f t="shared" ca="1" si="14"/>
        <v>11</v>
      </c>
      <c r="E511" s="152" t="str">
        <f t="shared" si="15"/>
        <v>March</v>
      </c>
      <c r="F511" s="146" t="s">
        <v>767</v>
      </c>
      <c r="G511" s="154">
        <v>945160038</v>
      </c>
      <c r="H511" s="146" t="s">
        <v>256</v>
      </c>
      <c r="I511" s="52" t="s">
        <v>262</v>
      </c>
      <c r="J511" s="156" t="s">
        <v>285</v>
      </c>
      <c r="K511" s="53">
        <v>28272</v>
      </c>
      <c r="L511" s="151">
        <v>3</v>
      </c>
    </row>
    <row r="512" spans="1:12">
      <c r="A512" s="146" t="s">
        <v>531</v>
      </c>
      <c r="B512" s="155">
        <v>2528488350</v>
      </c>
      <c r="C512" s="153">
        <v>40865</v>
      </c>
      <c r="D512" s="51">
        <f t="shared" ca="1" si="14"/>
        <v>4</v>
      </c>
      <c r="E512" s="152" t="str">
        <f t="shared" si="15"/>
        <v>November</v>
      </c>
      <c r="F512" s="146" t="s">
        <v>767</v>
      </c>
      <c r="G512" s="154">
        <v>959750235</v>
      </c>
      <c r="H512" s="146" t="s">
        <v>256</v>
      </c>
      <c r="I512" s="52" t="s">
        <v>257</v>
      </c>
      <c r="J512" s="156" t="s">
        <v>271</v>
      </c>
      <c r="K512" s="53">
        <v>65028</v>
      </c>
      <c r="L512" s="151">
        <v>4</v>
      </c>
    </row>
    <row r="513" spans="1:12">
      <c r="A513" s="146" t="s">
        <v>642</v>
      </c>
      <c r="B513" s="155">
        <v>2528742282</v>
      </c>
      <c r="C513" s="153">
        <v>41205</v>
      </c>
      <c r="D513" s="51">
        <f t="shared" ca="1" si="14"/>
        <v>4</v>
      </c>
      <c r="E513" s="152" t="str">
        <f t="shared" si="15"/>
        <v>October</v>
      </c>
      <c r="F513" s="146" t="s">
        <v>767</v>
      </c>
      <c r="G513" s="154">
        <v>449987941</v>
      </c>
      <c r="H513" s="146" t="s">
        <v>256</v>
      </c>
      <c r="I513" s="52" t="s">
        <v>267</v>
      </c>
      <c r="J513" s="156" t="s">
        <v>285</v>
      </c>
      <c r="K513" s="53">
        <v>75847</v>
      </c>
      <c r="L513" s="151">
        <v>1</v>
      </c>
    </row>
    <row r="514" spans="1:12">
      <c r="A514" s="146" t="s">
        <v>534</v>
      </c>
      <c r="B514" s="155">
        <v>9196446519</v>
      </c>
      <c r="C514" s="153">
        <v>36646</v>
      </c>
      <c r="D514" s="51">
        <f t="shared" ref="D514:D577" ca="1" si="16">DATEDIF(C514,TODAY(),"Y")</f>
        <v>16</v>
      </c>
      <c r="E514" s="152" t="str">
        <f t="shared" ref="E514:E577" si="17">CHOOSE(MONTH(C514),"January","February","March","April","May","June","July","August","September","October","November","December")</f>
        <v>April</v>
      </c>
      <c r="F514" s="146" t="s">
        <v>767</v>
      </c>
      <c r="G514" s="154">
        <v>343185481</v>
      </c>
      <c r="H514" s="146" t="s">
        <v>256</v>
      </c>
      <c r="I514" s="52" t="s">
        <v>262</v>
      </c>
      <c r="J514" s="156" t="s">
        <v>251</v>
      </c>
      <c r="K514" s="53">
        <v>88488</v>
      </c>
      <c r="L514" s="151">
        <v>4</v>
      </c>
    </row>
    <row r="515" spans="1:12">
      <c r="A515" s="146" t="s">
        <v>974</v>
      </c>
      <c r="B515" s="155">
        <v>9195255121</v>
      </c>
      <c r="C515" s="153">
        <v>41021</v>
      </c>
      <c r="D515" s="51">
        <f t="shared" ca="1" si="16"/>
        <v>4</v>
      </c>
      <c r="E515" s="152" t="str">
        <f t="shared" si="17"/>
        <v>April</v>
      </c>
      <c r="F515" s="146" t="s">
        <v>767</v>
      </c>
      <c r="G515" s="154">
        <v>868364739</v>
      </c>
      <c r="H515" s="146" t="s">
        <v>261</v>
      </c>
      <c r="I515" s="52" t="s">
        <v>257</v>
      </c>
      <c r="J515" s="156" t="s">
        <v>266</v>
      </c>
      <c r="K515" s="53">
        <v>14172</v>
      </c>
      <c r="L515" s="151">
        <v>1</v>
      </c>
    </row>
    <row r="516" spans="1:12">
      <c r="A516" s="146" t="s">
        <v>976</v>
      </c>
      <c r="B516" s="155">
        <v>9192891217</v>
      </c>
      <c r="C516" s="153">
        <v>35643</v>
      </c>
      <c r="D516" s="51">
        <f t="shared" ca="1" si="16"/>
        <v>19</v>
      </c>
      <c r="E516" s="152" t="str">
        <f t="shared" si="17"/>
        <v>August</v>
      </c>
      <c r="F516" s="146" t="s">
        <v>767</v>
      </c>
      <c r="G516" s="154">
        <v>445693854</v>
      </c>
      <c r="H516" s="146" t="s">
        <v>247</v>
      </c>
      <c r="I516" s="52"/>
      <c r="J516" s="156" t="s">
        <v>280</v>
      </c>
      <c r="K516" s="53">
        <v>92244</v>
      </c>
      <c r="L516" s="151">
        <v>5</v>
      </c>
    </row>
    <row r="517" spans="1:12">
      <c r="A517" s="146" t="s">
        <v>699</v>
      </c>
      <c r="B517" s="155">
        <v>2523265407</v>
      </c>
      <c r="C517" s="153">
        <v>37108</v>
      </c>
      <c r="D517" s="51">
        <f t="shared" ca="1" si="16"/>
        <v>15</v>
      </c>
      <c r="E517" s="152" t="str">
        <f t="shared" si="17"/>
        <v>August</v>
      </c>
      <c r="F517" s="146" t="s">
        <v>767</v>
      </c>
      <c r="G517" s="154">
        <v>358017400</v>
      </c>
      <c r="H517" s="146" t="s">
        <v>252</v>
      </c>
      <c r="I517" s="52"/>
      <c r="J517" s="156" t="s">
        <v>271</v>
      </c>
      <c r="K517" s="53">
        <v>43262</v>
      </c>
      <c r="L517" s="151">
        <v>5</v>
      </c>
    </row>
    <row r="518" spans="1:12">
      <c r="A518" s="146" t="s">
        <v>653</v>
      </c>
      <c r="B518" s="155">
        <v>2521384592</v>
      </c>
      <c r="C518" s="153">
        <v>36923</v>
      </c>
      <c r="D518" s="51">
        <f t="shared" ca="1" si="16"/>
        <v>15</v>
      </c>
      <c r="E518" s="152" t="str">
        <f t="shared" si="17"/>
        <v>February</v>
      </c>
      <c r="F518" s="146" t="s">
        <v>767</v>
      </c>
      <c r="G518" s="154">
        <v>978154935</v>
      </c>
      <c r="H518" s="146" t="s">
        <v>256</v>
      </c>
      <c r="I518" s="52" t="s">
        <v>267</v>
      </c>
      <c r="J518" s="156" t="s">
        <v>271</v>
      </c>
      <c r="K518" s="53">
        <v>55632</v>
      </c>
      <c r="L518" s="151">
        <v>5</v>
      </c>
    </row>
    <row r="519" spans="1:12">
      <c r="A519" s="146" t="s">
        <v>980</v>
      </c>
      <c r="B519" s="155">
        <v>2524160215</v>
      </c>
      <c r="C519" s="153">
        <v>37025</v>
      </c>
      <c r="D519" s="51">
        <f t="shared" ca="1" si="16"/>
        <v>15</v>
      </c>
      <c r="E519" s="152" t="str">
        <f t="shared" si="17"/>
        <v>May</v>
      </c>
      <c r="F519" s="146" t="s">
        <v>767</v>
      </c>
      <c r="G519" s="154">
        <v>548283920</v>
      </c>
      <c r="H519" s="146" t="s">
        <v>247</v>
      </c>
      <c r="I519" s="52"/>
      <c r="J519" s="156" t="s">
        <v>271</v>
      </c>
      <c r="K519" s="53">
        <v>69588</v>
      </c>
      <c r="L519" s="151">
        <v>5</v>
      </c>
    </row>
    <row r="520" spans="1:12">
      <c r="A520" s="146" t="s">
        <v>820</v>
      </c>
      <c r="B520" s="155">
        <v>2526079829</v>
      </c>
      <c r="C520" s="153">
        <v>34399</v>
      </c>
      <c r="D520" s="51">
        <f t="shared" ca="1" si="16"/>
        <v>22</v>
      </c>
      <c r="E520" s="152" t="str">
        <f t="shared" si="17"/>
        <v>March</v>
      </c>
      <c r="F520" s="146" t="s">
        <v>767</v>
      </c>
      <c r="G520" s="154">
        <v>378882665</v>
      </c>
      <c r="H520" s="146" t="s">
        <v>261</v>
      </c>
      <c r="I520" s="52" t="s">
        <v>257</v>
      </c>
      <c r="J520" s="156" t="s">
        <v>245</v>
      </c>
      <c r="K520" s="53">
        <v>55656</v>
      </c>
      <c r="L520" s="151">
        <v>3</v>
      </c>
    </row>
    <row r="521" spans="1:12">
      <c r="A521" s="146" t="s">
        <v>434</v>
      </c>
      <c r="B521" s="155">
        <v>9191971988</v>
      </c>
      <c r="C521" s="153">
        <v>36256</v>
      </c>
      <c r="D521" s="51">
        <f t="shared" ca="1" si="16"/>
        <v>17</v>
      </c>
      <c r="E521" s="152" t="str">
        <f t="shared" si="17"/>
        <v>April</v>
      </c>
      <c r="F521" s="146" t="s">
        <v>767</v>
      </c>
      <c r="G521" s="154">
        <v>302170290</v>
      </c>
      <c r="H521" s="146" t="s">
        <v>256</v>
      </c>
      <c r="I521" s="52" t="s">
        <v>257</v>
      </c>
      <c r="J521" s="156" t="s">
        <v>285</v>
      </c>
      <c r="K521" s="53">
        <v>75924</v>
      </c>
      <c r="L521" s="151">
        <v>1</v>
      </c>
    </row>
    <row r="522" spans="1:12">
      <c r="A522" s="146" t="s">
        <v>689</v>
      </c>
      <c r="B522" s="155">
        <v>9195691314</v>
      </c>
      <c r="C522" s="153">
        <v>36816</v>
      </c>
      <c r="D522" s="51">
        <f t="shared" ca="1" si="16"/>
        <v>16</v>
      </c>
      <c r="E522" s="152" t="str">
        <f t="shared" si="17"/>
        <v>October</v>
      </c>
      <c r="F522" s="146" t="s">
        <v>767</v>
      </c>
      <c r="G522" s="154">
        <v>330879921</v>
      </c>
      <c r="H522" s="146" t="s">
        <v>256</v>
      </c>
      <c r="I522" s="52" t="s">
        <v>267</v>
      </c>
      <c r="J522" s="156" t="s">
        <v>271</v>
      </c>
      <c r="K522" s="53">
        <v>65496</v>
      </c>
      <c r="L522" s="151">
        <v>4</v>
      </c>
    </row>
    <row r="523" spans="1:12">
      <c r="A523" s="146" t="s">
        <v>726</v>
      </c>
      <c r="B523" s="155">
        <v>9195699651</v>
      </c>
      <c r="C523" s="153">
        <v>34789</v>
      </c>
      <c r="D523" s="51">
        <f t="shared" ca="1" si="16"/>
        <v>21</v>
      </c>
      <c r="E523" s="152" t="str">
        <f t="shared" si="17"/>
        <v>March</v>
      </c>
      <c r="F523" s="146" t="s">
        <v>767</v>
      </c>
      <c r="G523" s="154">
        <v>558903229</v>
      </c>
      <c r="H523" s="146" t="s">
        <v>256</v>
      </c>
      <c r="I523" s="52" t="s">
        <v>257</v>
      </c>
      <c r="J523" s="156" t="s">
        <v>271</v>
      </c>
      <c r="K523" s="53">
        <v>27984</v>
      </c>
      <c r="L523" s="151">
        <v>4</v>
      </c>
    </row>
    <row r="524" spans="1:12">
      <c r="A524" s="146" t="s">
        <v>984</v>
      </c>
      <c r="B524" s="155">
        <v>9191124357</v>
      </c>
      <c r="C524" s="153">
        <v>37401</v>
      </c>
      <c r="D524" s="51">
        <f t="shared" ca="1" si="16"/>
        <v>14</v>
      </c>
      <c r="E524" s="152" t="str">
        <f t="shared" si="17"/>
        <v>May</v>
      </c>
      <c r="F524" s="146" t="s">
        <v>767</v>
      </c>
      <c r="G524" s="154">
        <v>737152868</v>
      </c>
      <c r="H524" s="146" t="s">
        <v>256</v>
      </c>
      <c r="I524" s="52" t="s">
        <v>276</v>
      </c>
      <c r="J524" s="156" t="s">
        <v>271</v>
      </c>
      <c r="K524" s="53">
        <v>57996</v>
      </c>
      <c r="L524" s="151">
        <v>1</v>
      </c>
    </row>
    <row r="525" spans="1:12">
      <c r="A525" s="146" t="s">
        <v>985</v>
      </c>
      <c r="B525" s="155">
        <v>2522543210</v>
      </c>
      <c r="C525" s="153">
        <v>34366</v>
      </c>
      <c r="D525" s="51">
        <f t="shared" ca="1" si="16"/>
        <v>22</v>
      </c>
      <c r="E525" s="152" t="str">
        <f t="shared" si="17"/>
        <v>February</v>
      </c>
      <c r="F525" s="146" t="s">
        <v>767</v>
      </c>
      <c r="G525" s="154">
        <v>433314045</v>
      </c>
      <c r="H525" s="146" t="s">
        <v>247</v>
      </c>
      <c r="I525" s="52"/>
      <c r="J525" s="156" t="s">
        <v>245</v>
      </c>
      <c r="K525" s="53">
        <v>57108</v>
      </c>
      <c r="L525" s="151">
        <v>3</v>
      </c>
    </row>
    <row r="526" spans="1:12">
      <c r="A526" s="146" t="s">
        <v>898</v>
      </c>
      <c r="B526" s="155">
        <v>2523046338</v>
      </c>
      <c r="C526" s="153">
        <v>33826</v>
      </c>
      <c r="D526" s="51">
        <f t="shared" ca="1" si="16"/>
        <v>24</v>
      </c>
      <c r="E526" s="152" t="str">
        <f t="shared" si="17"/>
        <v>August</v>
      </c>
      <c r="F526" s="146" t="s">
        <v>767</v>
      </c>
      <c r="G526" s="154">
        <v>456809622</v>
      </c>
      <c r="H526" s="146" t="s">
        <v>256</v>
      </c>
      <c r="I526" s="52" t="s">
        <v>257</v>
      </c>
      <c r="J526" s="156" t="s">
        <v>271</v>
      </c>
      <c r="K526" s="53">
        <v>57696</v>
      </c>
      <c r="L526" s="151">
        <v>2</v>
      </c>
    </row>
    <row r="527" spans="1:12">
      <c r="A527" s="146" t="s">
        <v>546</v>
      </c>
      <c r="B527" s="155">
        <v>2528922252</v>
      </c>
      <c r="C527" s="153">
        <v>34677</v>
      </c>
      <c r="D527" s="51">
        <f t="shared" ca="1" si="16"/>
        <v>21</v>
      </c>
      <c r="E527" s="152" t="str">
        <f t="shared" si="17"/>
        <v>December</v>
      </c>
      <c r="F527" s="146" t="s">
        <v>767</v>
      </c>
      <c r="G527" s="154">
        <v>638495756</v>
      </c>
      <c r="H527" s="146" t="s">
        <v>247</v>
      </c>
      <c r="I527" s="52"/>
      <c r="J527" s="156" t="s">
        <v>271</v>
      </c>
      <c r="K527" s="53">
        <v>53664</v>
      </c>
      <c r="L527" s="151">
        <v>2</v>
      </c>
    </row>
    <row r="528" spans="1:12">
      <c r="A528" s="146" t="s">
        <v>548</v>
      </c>
      <c r="B528" s="155">
        <v>9194727385</v>
      </c>
      <c r="C528" s="153">
        <v>33856</v>
      </c>
      <c r="D528" s="51">
        <f t="shared" ca="1" si="16"/>
        <v>24</v>
      </c>
      <c r="E528" s="152" t="str">
        <f t="shared" si="17"/>
        <v>September</v>
      </c>
      <c r="F528" s="146" t="s">
        <v>767</v>
      </c>
      <c r="G528" s="154">
        <v>528258211</v>
      </c>
      <c r="H528" s="146" t="s">
        <v>256</v>
      </c>
      <c r="I528" s="52" t="s">
        <v>267</v>
      </c>
      <c r="J528" s="156" t="s">
        <v>285</v>
      </c>
      <c r="K528" s="53">
        <v>55332</v>
      </c>
      <c r="L528" s="151">
        <v>4</v>
      </c>
    </row>
    <row r="529" spans="1:12">
      <c r="A529" s="146" t="s">
        <v>556</v>
      </c>
      <c r="B529" s="155">
        <v>2526698101</v>
      </c>
      <c r="C529" s="153">
        <v>38576</v>
      </c>
      <c r="D529" s="51">
        <f t="shared" ca="1" si="16"/>
        <v>11</v>
      </c>
      <c r="E529" s="152" t="str">
        <f t="shared" si="17"/>
        <v>August</v>
      </c>
      <c r="F529" s="146" t="s">
        <v>767</v>
      </c>
      <c r="G529" s="154">
        <v>886332647</v>
      </c>
      <c r="H529" s="146" t="s">
        <v>256</v>
      </c>
      <c r="I529" s="52" t="s">
        <v>262</v>
      </c>
      <c r="J529" s="156" t="s">
        <v>280</v>
      </c>
      <c r="K529" s="53">
        <v>92292</v>
      </c>
      <c r="L529" s="151">
        <v>2</v>
      </c>
    </row>
    <row r="530" spans="1:12">
      <c r="A530" s="146" t="s">
        <v>557</v>
      </c>
      <c r="B530" s="155">
        <v>2521276517</v>
      </c>
      <c r="C530" s="153">
        <v>34130</v>
      </c>
      <c r="D530" s="51">
        <f t="shared" ca="1" si="16"/>
        <v>23</v>
      </c>
      <c r="E530" s="152" t="str">
        <f t="shared" si="17"/>
        <v>June</v>
      </c>
      <c r="F530" s="146" t="s">
        <v>767</v>
      </c>
      <c r="G530" s="154">
        <v>462650472</v>
      </c>
      <c r="H530" s="146" t="s">
        <v>247</v>
      </c>
      <c r="I530" s="52"/>
      <c r="J530" s="156" t="s">
        <v>271</v>
      </c>
      <c r="K530" s="53">
        <v>95256</v>
      </c>
      <c r="L530" s="151">
        <v>1</v>
      </c>
    </row>
    <row r="531" spans="1:12">
      <c r="A531" s="146" t="s">
        <v>905</v>
      </c>
      <c r="B531" s="155">
        <v>2522344526</v>
      </c>
      <c r="C531" s="153">
        <v>35206</v>
      </c>
      <c r="D531" s="51">
        <f t="shared" ca="1" si="16"/>
        <v>20</v>
      </c>
      <c r="E531" s="152" t="str">
        <f t="shared" si="17"/>
        <v>May</v>
      </c>
      <c r="F531" s="146" t="s">
        <v>767</v>
      </c>
      <c r="G531" s="154">
        <v>336025451</v>
      </c>
      <c r="H531" s="146" t="s">
        <v>247</v>
      </c>
      <c r="I531" s="52"/>
      <c r="J531" s="156" t="s">
        <v>271</v>
      </c>
      <c r="K531" s="53">
        <v>67980</v>
      </c>
      <c r="L531" s="151">
        <v>1</v>
      </c>
    </row>
    <row r="532" spans="1:12">
      <c r="A532" s="146" t="s">
        <v>342</v>
      </c>
      <c r="B532" s="155">
        <v>9195617115</v>
      </c>
      <c r="C532" s="153">
        <v>35454</v>
      </c>
      <c r="D532" s="51">
        <f t="shared" ca="1" si="16"/>
        <v>19</v>
      </c>
      <c r="E532" s="152" t="str">
        <f t="shared" si="17"/>
        <v>January</v>
      </c>
      <c r="F532" s="146" t="s">
        <v>767</v>
      </c>
      <c r="G532" s="154">
        <v>494754997</v>
      </c>
      <c r="H532" s="146" t="s">
        <v>247</v>
      </c>
      <c r="I532" s="52"/>
      <c r="J532" s="156" t="s">
        <v>271</v>
      </c>
      <c r="K532" s="53">
        <v>39744</v>
      </c>
      <c r="L532" s="151">
        <v>2</v>
      </c>
    </row>
    <row r="533" spans="1:12">
      <c r="A533" s="146" t="s">
        <v>990</v>
      </c>
      <c r="B533" s="155">
        <v>2522636321</v>
      </c>
      <c r="C533" s="153">
        <v>38901</v>
      </c>
      <c r="D533" s="51">
        <f t="shared" ca="1" si="16"/>
        <v>10</v>
      </c>
      <c r="E533" s="152" t="str">
        <f t="shared" si="17"/>
        <v>July</v>
      </c>
      <c r="F533" s="146" t="s">
        <v>767</v>
      </c>
      <c r="G533" s="154">
        <v>115404531</v>
      </c>
      <c r="H533" s="146" t="s">
        <v>261</v>
      </c>
      <c r="I533" s="52" t="s">
        <v>283</v>
      </c>
      <c r="J533" s="156" t="s">
        <v>285</v>
      </c>
      <c r="K533" s="53">
        <v>39480</v>
      </c>
      <c r="L533" s="151">
        <v>2</v>
      </c>
    </row>
    <row r="534" spans="1:12">
      <c r="A534" s="146" t="s">
        <v>437</v>
      </c>
      <c r="B534" s="155">
        <v>9198642893</v>
      </c>
      <c r="C534" s="153">
        <v>36718</v>
      </c>
      <c r="D534" s="51">
        <f t="shared" ca="1" si="16"/>
        <v>16</v>
      </c>
      <c r="E534" s="152" t="str">
        <f t="shared" si="17"/>
        <v>July</v>
      </c>
      <c r="F534" s="146" t="s">
        <v>767</v>
      </c>
      <c r="G534" s="154">
        <v>379340654</v>
      </c>
      <c r="H534" s="146" t="s">
        <v>256</v>
      </c>
      <c r="I534" s="52" t="s">
        <v>276</v>
      </c>
      <c r="J534" s="156" t="s">
        <v>271</v>
      </c>
      <c r="K534" s="53">
        <v>44268</v>
      </c>
      <c r="L534" s="151">
        <v>1</v>
      </c>
    </row>
    <row r="535" spans="1:12">
      <c r="A535" s="146" t="s">
        <v>827</v>
      </c>
      <c r="B535" s="155">
        <v>9197600603</v>
      </c>
      <c r="C535" s="153">
        <v>40090</v>
      </c>
      <c r="D535" s="51">
        <f t="shared" ca="1" si="16"/>
        <v>7</v>
      </c>
      <c r="E535" s="152" t="str">
        <f t="shared" si="17"/>
        <v>October</v>
      </c>
      <c r="F535" s="146" t="s">
        <v>767</v>
      </c>
      <c r="G535" s="154">
        <v>161439267</v>
      </c>
      <c r="H535" s="146" t="s">
        <v>256</v>
      </c>
      <c r="I535" s="52" t="s">
        <v>262</v>
      </c>
      <c r="J535" s="156" t="s">
        <v>285</v>
      </c>
      <c r="K535" s="53">
        <v>50424</v>
      </c>
      <c r="L535" s="151">
        <v>5</v>
      </c>
    </row>
    <row r="536" spans="1:12">
      <c r="A536" s="146" t="s">
        <v>995</v>
      </c>
      <c r="B536" s="155">
        <v>2521246633</v>
      </c>
      <c r="C536" s="153">
        <v>36814</v>
      </c>
      <c r="D536" s="51">
        <f t="shared" ca="1" si="16"/>
        <v>16</v>
      </c>
      <c r="E536" s="152" t="str">
        <f t="shared" si="17"/>
        <v>October</v>
      </c>
      <c r="F536" s="146" t="s">
        <v>767</v>
      </c>
      <c r="G536" s="154">
        <v>106686151</v>
      </c>
      <c r="H536" s="146" t="s">
        <v>247</v>
      </c>
      <c r="I536" s="52"/>
      <c r="J536" s="156" t="s">
        <v>245</v>
      </c>
      <c r="K536" s="53">
        <v>57024</v>
      </c>
      <c r="L536" s="151">
        <v>1</v>
      </c>
    </row>
    <row r="537" spans="1:12">
      <c r="A537" s="146" t="s">
        <v>575</v>
      </c>
      <c r="B537" s="155">
        <v>9191963194</v>
      </c>
      <c r="C537" s="153">
        <v>34243</v>
      </c>
      <c r="D537" s="51">
        <f t="shared" ca="1" si="16"/>
        <v>23</v>
      </c>
      <c r="E537" s="152" t="str">
        <f t="shared" si="17"/>
        <v>October</v>
      </c>
      <c r="F537" s="146" t="s">
        <v>767</v>
      </c>
      <c r="G537" s="154">
        <v>387131597</v>
      </c>
      <c r="H537" s="146" t="s">
        <v>247</v>
      </c>
      <c r="I537" s="52"/>
      <c r="J537" s="156" t="s">
        <v>271</v>
      </c>
      <c r="K537" s="53">
        <v>63300</v>
      </c>
      <c r="L537" s="151">
        <v>1</v>
      </c>
    </row>
    <row r="538" spans="1:12">
      <c r="A538" s="146" t="s">
        <v>310</v>
      </c>
      <c r="B538" s="155">
        <v>2528439277</v>
      </c>
      <c r="C538" s="153">
        <v>39451</v>
      </c>
      <c r="D538" s="51">
        <f t="shared" ca="1" si="16"/>
        <v>8</v>
      </c>
      <c r="E538" s="152" t="str">
        <f t="shared" si="17"/>
        <v>January</v>
      </c>
      <c r="F538" s="146" t="s">
        <v>767</v>
      </c>
      <c r="G538" s="154">
        <v>437460422</v>
      </c>
      <c r="H538" s="146" t="s">
        <v>261</v>
      </c>
      <c r="I538" s="52" t="s">
        <v>283</v>
      </c>
      <c r="J538" s="156" t="s">
        <v>266</v>
      </c>
      <c r="K538" s="53">
        <v>12756</v>
      </c>
      <c r="L538" s="151">
        <v>3</v>
      </c>
    </row>
    <row r="539" spans="1:12">
      <c r="A539" s="146" t="s">
        <v>578</v>
      </c>
      <c r="B539" s="155">
        <v>9191376854</v>
      </c>
      <c r="C539" s="153">
        <v>37121</v>
      </c>
      <c r="D539" s="51">
        <f t="shared" ca="1" si="16"/>
        <v>15</v>
      </c>
      <c r="E539" s="152" t="str">
        <f t="shared" si="17"/>
        <v>August</v>
      </c>
      <c r="F539" s="146" t="s">
        <v>767</v>
      </c>
      <c r="G539" s="154">
        <v>867100310</v>
      </c>
      <c r="H539" s="146" t="s">
        <v>256</v>
      </c>
      <c r="I539" s="52" t="s">
        <v>283</v>
      </c>
      <c r="J539" s="156" t="s">
        <v>271</v>
      </c>
      <c r="K539" s="53">
        <v>79092</v>
      </c>
      <c r="L539" s="151">
        <v>5</v>
      </c>
    </row>
    <row r="540" spans="1:12">
      <c r="A540" s="146" t="s">
        <v>696</v>
      </c>
      <c r="B540" s="155">
        <v>2522924678</v>
      </c>
      <c r="C540" s="153">
        <v>39151</v>
      </c>
      <c r="D540" s="51">
        <f t="shared" ca="1" si="16"/>
        <v>9</v>
      </c>
      <c r="E540" s="152" t="str">
        <f t="shared" si="17"/>
        <v>March</v>
      </c>
      <c r="F540" s="146" t="s">
        <v>767</v>
      </c>
      <c r="G540" s="154">
        <v>546159785</v>
      </c>
      <c r="H540" s="146" t="s">
        <v>256</v>
      </c>
      <c r="I540" s="52" t="s">
        <v>276</v>
      </c>
      <c r="J540" s="156" t="s">
        <v>266</v>
      </c>
      <c r="K540" s="53">
        <v>73596</v>
      </c>
      <c r="L540" s="151">
        <v>2</v>
      </c>
    </row>
    <row r="541" spans="1:12">
      <c r="A541" s="146" t="s">
        <v>352</v>
      </c>
      <c r="B541" s="155">
        <v>2521957923</v>
      </c>
      <c r="C541" s="153">
        <v>41352</v>
      </c>
      <c r="D541" s="51">
        <f t="shared" ca="1" si="16"/>
        <v>3</v>
      </c>
      <c r="E541" s="152" t="str">
        <f t="shared" si="17"/>
        <v>March</v>
      </c>
      <c r="F541" s="146" t="s">
        <v>767</v>
      </c>
      <c r="G541" s="154">
        <v>728567428</v>
      </c>
      <c r="H541" s="146" t="s">
        <v>256</v>
      </c>
      <c r="I541" s="52" t="s">
        <v>276</v>
      </c>
      <c r="J541" s="156" t="s">
        <v>271</v>
      </c>
      <c r="K541" s="53">
        <v>103800</v>
      </c>
      <c r="L541" s="151">
        <v>1</v>
      </c>
    </row>
    <row r="542" spans="1:12">
      <c r="A542" s="146" t="s">
        <v>582</v>
      </c>
      <c r="B542" s="155">
        <v>2525842116</v>
      </c>
      <c r="C542" s="153">
        <v>36756</v>
      </c>
      <c r="D542" s="51">
        <f t="shared" ca="1" si="16"/>
        <v>16</v>
      </c>
      <c r="E542" s="152" t="str">
        <f t="shared" si="17"/>
        <v>August</v>
      </c>
      <c r="F542" s="146" t="s">
        <v>767</v>
      </c>
      <c r="G542" s="154">
        <v>699386024</v>
      </c>
      <c r="H542" s="146" t="s">
        <v>252</v>
      </c>
      <c r="I542" s="52"/>
      <c r="J542" s="156" t="s">
        <v>285</v>
      </c>
      <c r="K542" s="53">
        <v>20026</v>
      </c>
      <c r="L542" s="151">
        <v>3</v>
      </c>
    </row>
    <row r="543" spans="1:12">
      <c r="A543" s="146" t="s">
        <v>584</v>
      </c>
      <c r="B543" s="155">
        <v>9192453666</v>
      </c>
      <c r="C543" s="153">
        <v>34188</v>
      </c>
      <c r="D543" s="51">
        <f t="shared" ca="1" si="16"/>
        <v>23</v>
      </c>
      <c r="E543" s="152" t="str">
        <f t="shared" si="17"/>
        <v>August</v>
      </c>
      <c r="F543" s="146" t="s">
        <v>767</v>
      </c>
      <c r="G543" s="154">
        <v>503036433</v>
      </c>
      <c r="H543" s="146" t="s">
        <v>256</v>
      </c>
      <c r="I543" s="52" t="s">
        <v>267</v>
      </c>
      <c r="J543" s="156" t="s">
        <v>271</v>
      </c>
      <c r="K543" s="53">
        <v>93288</v>
      </c>
      <c r="L543" s="151">
        <v>1</v>
      </c>
    </row>
    <row r="544" spans="1:12">
      <c r="A544" s="146" t="s">
        <v>445</v>
      </c>
      <c r="B544" s="155">
        <v>9196456972</v>
      </c>
      <c r="C544" s="153">
        <v>40071</v>
      </c>
      <c r="D544" s="51">
        <f t="shared" ca="1" si="16"/>
        <v>7</v>
      </c>
      <c r="E544" s="152" t="str">
        <f t="shared" si="17"/>
        <v>September</v>
      </c>
      <c r="F544" s="146" t="s">
        <v>767</v>
      </c>
      <c r="G544" s="154">
        <v>938723321</v>
      </c>
      <c r="H544" s="146" t="s">
        <v>247</v>
      </c>
      <c r="I544" s="52"/>
      <c r="J544" s="156" t="s">
        <v>285</v>
      </c>
      <c r="K544" s="53">
        <v>107568</v>
      </c>
      <c r="L544" s="151">
        <v>4</v>
      </c>
    </row>
    <row r="545" spans="1:12">
      <c r="A545" s="146" t="s">
        <v>762</v>
      </c>
      <c r="B545" s="155">
        <v>2523122083</v>
      </c>
      <c r="C545" s="153">
        <v>38296</v>
      </c>
      <c r="D545" s="51">
        <f t="shared" ca="1" si="16"/>
        <v>12</v>
      </c>
      <c r="E545" s="152" t="str">
        <f t="shared" si="17"/>
        <v>November</v>
      </c>
      <c r="F545" s="146" t="s">
        <v>767</v>
      </c>
      <c r="G545" s="154">
        <v>569882669</v>
      </c>
      <c r="H545" s="146" t="s">
        <v>256</v>
      </c>
      <c r="I545" s="52" t="s">
        <v>262</v>
      </c>
      <c r="J545" s="156" t="s">
        <v>285</v>
      </c>
      <c r="K545" s="53">
        <v>54120</v>
      </c>
      <c r="L545" s="151">
        <v>2</v>
      </c>
    </row>
    <row r="546" spans="1:12">
      <c r="A546" s="146" t="s">
        <v>832</v>
      </c>
      <c r="B546" s="155">
        <v>9191191599</v>
      </c>
      <c r="C546" s="153">
        <v>35521</v>
      </c>
      <c r="D546" s="51">
        <f t="shared" ca="1" si="16"/>
        <v>19</v>
      </c>
      <c r="E546" s="152" t="str">
        <f t="shared" si="17"/>
        <v>April</v>
      </c>
      <c r="F546" s="146" t="s">
        <v>767</v>
      </c>
      <c r="G546" s="154">
        <v>160184934</v>
      </c>
      <c r="H546" s="146" t="s">
        <v>261</v>
      </c>
      <c r="I546" s="52" t="s">
        <v>283</v>
      </c>
      <c r="J546" s="156" t="s">
        <v>245</v>
      </c>
      <c r="K546" s="53">
        <v>12840</v>
      </c>
      <c r="L546" s="151">
        <v>4</v>
      </c>
    </row>
    <row r="547" spans="1:12">
      <c r="A547" s="146" t="s">
        <v>913</v>
      </c>
      <c r="B547" s="155">
        <v>2528687353</v>
      </c>
      <c r="C547" s="153">
        <v>34089</v>
      </c>
      <c r="D547" s="51">
        <f t="shared" ca="1" si="16"/>
        <v>23</v>
      </c>
      <c r="E547" s="152" t="str">
        <f t="shared" si="17"/>
        <v>April</v>
      </c>
      <c r="F547" s="146" t="s">
        <v>767</v>
      </c>
      <c r="G547" s="154">
        <v>191359642</v>
      </c>
      <c r="H547" s="146" t="s">
        <v>256</v>
      </c>
      <c r="I547" s="52" t="s">
        <v>257</v>
      </c>
      <c r="J547" s="156" t="s">
        <v>271</v>
      </c>
      <c r="K547" s="53">
        <v>28908</v>
      </c>
      <c r="L547" s="151">
        <v>4</v>
      </c>
    </row>
    <row r="548" spans="1:12">
      <c r="A548" s="146" t="s">
        <v>739</v>
      </c>
      <c r="B548" s="155">
        <v>2528842613</v>
      </c>
      <c r="C548" s="153">
        <v>34877</v>
      </c>
      <c r="D548" s="51">
        <f t="shared" ca="1" si="16"/>
        <v>21</v>
      </c>
      <c r="E548" s="152" t="str">
        <f t="shared" si="17"/>
        <v>June</v>
      </c>
      <c r="F548" s="146" t="s">
        <v>767</v>
      </c>
      <c r="G548" s="154">
        <v>967035612</v>
      </c>
      <c r="H548" s="146" t="s">
        <v>256</v>
      </c>
      <c r="I548" s="52" t="s">
        <v>276</v>
      </c>
      <c r="J548" s="156" t="s">
        <v>285</v>
      </c>
      <c r="K548" s="53">
        <v>76128</v>
      </c>
      <c r="L548" s="151">
        <v>3</v>
      </c>
    </row>
    <row r="549" spans="1:12">
      <c r="A549" s="146" t="s">
        <v>447</v>
      </c>
      <c r="B549" s="155">
        <v>2524078104</v>
      </c>
      <c r="C549" s="153">
        <v>39518</v>
      </c>
      <c r="D549" s="51">
        <f t="shared" ca="1" si="16"/>
        <v>8</v>
      </c>
      <c r="E549" s="152" t="str">
        <f t="shared" si="17"/>
        <v>March</v>
      </c>
      <c r="F549" s="146" t="s">
        <v>767</v>
      </c>
      <c r="G549" s="154">
        <v>920265140</v>
      </c>
      <c r="H549" s="146" t="s">
        <v>256</v>
      </c>
      <c r="I549" s="52" t="s">
        <v>262</v>
      </c>
      <c r="J549" s="156" t="s">
        <v>266</v>
      </c>
      <c r="K549" s="53">
        <v>75226</v>
      </c>
      <c r="L549" s="151">
        <v>3</v>
      </c>
    </row>
    <row r="550" spans="1:12">
      <c r="A550" s="146" t="s">
        <v>596</v>
      </c>
      <c r="B550" s="155">
        <v>9192917217</v>
      </c>
      <c r="C550" s="153">
        <v>36427</v>
      </c>
      <c r="D550" s="51">
        <f t="shared" ca="1" si="16"/>
        <v>17</v>
      </c>
      <c r="E550" s="152" t="str">
        <f t="shared" si="17"/>
        <v>September</v>
      </c>
      <c r="F550" s="146" t="s">
        <v>767</v>
      </c>
      <c r="G550" s="154">
        <v>698472533</v>
      </c>
      <c r="H550" s="146" t="s">
        <v>247</v>
      </c>
      <c r="I550" s="52"/>
      <c r="J550" s="156" t="s">
        <v>251</v>
      </c>
      <c r="K550" s="53">
        <v>43476</v>
      </c>
      <c r="L550" s="151">
        <v>2</v>
      </c>
    </row>
    <row r="551" spans="1:12">
      <c r="A551" s="146" t="s">
        <v>917</v>
      </c>
      <c r="B551" s="155">
        <v>2522238535</v>
      </c>
      <c r="C551" s="153">
        <v>41149</v>
      </c>
      <c r="D551" s="51">
        <f t="shared" ca="1" si="16"/>
        <v>4</v>
      </c>
      <c r="E551" s="152" t="str">
        <f t="shared" si="17"/>
        <v>August</v>
      </c>
      <c r="F551" s="146" t="s">
        <v>767</v>
      </c>
      <c r="G551" s="154">
        <v>570756015</v>
      </c>
      <c r="H551" s="146" t="s">
        <v>261</v>
      </c>
      <c r="I551" s="52" t="s">
        <v>262</v>
      </c>
      <c r="J551" s="156" t="s">
        <v>245</v>
      </c>
      <c r="K551" s="53">
        <v>59226</v>
      </c>
      <c r="L551" s="151">
        <v>5</v>
      </c>
    </row>
    <row r="552" spans="1:12">
      <c r="A552" s="146" t="s">
        <v>670</v>
      </c>
      <c r="B552" s="155">
        <v>2522792063</v>
      </c>
      <c r="C552" s="153">
        <v>35874</v>
      </c>
      <c r="D552" s="51">
        <f t="shared" ca="1" si="16"/>
        <v>18</v>
      </c>
      <c r="E552" s="152" t="str">
        <f t="shared" si="17"/>
        <v>March</v>
      </c>
      <c r="F552" s="146" t="s">
        <v>767</v>
      </c>
      <c r="G552" s="154">
        <v>963000861</v>
      </c>
      <c r="H552" s="146" t="s">
        <v>247</v>
      </c>
      <c r="I552" s="52"/>
      <c r="J552" s="156" t="s">
        <v>285</v>
      </c>
      <c r="K552" s="53">
        <v>87828</v>
      </c>
      <c r="L552" s="151">
        <v>1</v>
      </c>
    </row>
    <row r="553" spans="1:12">
      <c r="A553" s="146" t="s">
        <v>287</v>
      </c>
      <c r="B553" s="155">
        <v>9196245634</v>
      </c>
      <c r="C553" s="153">
        <v>39775</v>
      </c>
      <c r="D553" s="51">
        <f t="shared" ca="1" si="16"/>
        <v>7</v>
      </c>
      <c r="E553" s="152" t="str">
        <f t="shared" si="17"/>
        <v>November</v>
      </c>
      <c r="F553" s="146" t="s">
        <v>767</v>
      </c>
      <c r="G553" s="154">
        <v>990843236</v>
      </c>
      <c r="H553" s="146" t="s">
        <v>256</v>
      </c>
      <c r="I553" s="52" t="s">
        <v>283</v>
      </c>
      <c r="J553" s="156" t="s">
        <v>271</v>
      </c>
      <c r="K553" s="53">
        <v>79056</v>
      </c>
      <c r="L553" s="151">
        <v>5</v>
      </c>
    </row>
    <row r="554" spans="1:12">
      <c r="A554" s="146" t="s">
        <v>841</v>
      </c>
      <c r="B554" s="155">
        <v>9193182167</v>
      </c>
      <c r="C554" s="153">
        <v>40982</v>
      </c>
      <c r="D554" s="51">
        <f t="shared" ca="1" si="16"/>
        <v>4</v>
      </c>
      <c r="E554" s="152" t="str">
        <f t="shared" si="17"/>
        <v>March</v>
      </c>
      <c r="F554" s="146" t="s">
        <v>767</v>
      </c>
      <c r="G554" s="154">
        <v>618775364</v>
      </c>
      <c r="H554" s="146" t="s">
        <v>261</v>
      </c>
      <c r="I554" s="52" t="s">
        <v>283</v>
      </c>
      <c r="J554" s="156" t="s">
        <v>251</v>
      </c>
      <c r="K554" s="53">
        <v>58440</v>
      </c>
      <c r="L554" s="151">
        <v>3</v>
      </c>
    </row>
    <row r="555" spans="1:12">
      <c r="A555" s="146" t="s">
        <v>744</v>
      </c>
      <c r="B555" s="155">
        <v>9193552027</v>
      </c>
      <c r="C555" s="153">
        <v>36421</v>
      </c>
      <c r="D555" s="51">
        <f t="shared" ca="1" si="16"/>
        <v>17</v>
      </c>
      <c r="E555" s="152" t="str">
        <f t="shared" si="17"/>
        <v>September</v>
      </c>
      <c r="F555" s="146" t="s">
        <v>767</v>
      </c>
      <c r="G555" s="154">
        <v>965916299</v>
      </c>
      <c r="H555" s="146" t="s">
        <v>256</v>
      </c>
      <c r="I555" s="52" t="s">
        <v>262</v>
      </c>
      <c r="J555" s="156" t="s">
        <v>285</v>
      </c>
      <c r="K555" s="53">
        <v>29208</v>
      </c>
      <c r="L555" s="151">
        <v>4</v>
      </c>
    </row>
    <row r="556" spans="1:12">
      <c r="A556" s="146" t="s">
        <v>362</v>
      </c>
      <c r="B556" s="155">
        <v>9198561246</v>
      </c>
      <c r="C556" s="153">
        <v>41132</v>
      </c>
      <c r="D556" s="51">
        <f t="shared" ca="1" si="16"/>
        <v>4</v>
      </c>
      <c r="E556" s="152" t="str">
        <f t="shared" si="17"/>
        <v>August</v>
      </c>
      <c r="F556" s="146" t="s">
        <v>767</v>
      </c>
      <c r="G556" s="154">
        <v>278129861</v>
      </c>
      <c r="H556" s="146" t="s">
        <v>247</v>
      </c>
      <c r="I556" s="52"/>
      <c r="J556" s="156" t="s">
        <v>271</v>
      </c>
      <c r="K556" s="53">
        <v>47460</v>
      </c>
      <c r="L556" s="151">
        <v>5</v>
      </c>
    </row>
    <row r="557" spans="1:12">
      <c r="A557" s="146" t="s">
        <v>449</v>
      </c>
      <c r="B557" s="155">
        <v>9193279828</v>
      </c>
      <c r="C557" s="153">
        <v>40894</v>
      </c>
      <c r="D557" s="51">
        <f t="shared" ca="1" si="16"/>
        <v>4</v>
      </c>
      <c r="E557" s="152" t="str">
        <f t="shared" si="17"/>
        <v>December</v>
      </c>
      <c r="F557" s="146" t="s">
        <v>767</v>
      </c>
      <c r="G557" s="154">
        <v>924942231</v>
      </c>
      <c r="H557" s="146" t="s">
        <v>261</v>
      </c>
      <c r="I557" s="52" t="s">
        <v>276</v>
      </c>
      <c r="J557" s="156" t="s">
        <v>271</v>
      </c>
      <c r="K557" s="53">
        <v>30294</v>
      </c>
      <c r="L557" s="151">
        <v>5</v>
      </c>
    </row>
    <row r="558" spans="1:12">
      <c r="A558" s="146" t="s">
        <v>607</v>
      </c>
      <c r="B558" s="155">
        <v>2522639452</v>
      </c>
      <c r="C558" s="153">
        <v>37977</v>
      </c>
      <c r="D558" s="51">
        <f t="shared" ca="1" si="16"/>
        <v>12</v>
      </c>
      <c r="E558" s="152" t="str">
        <f t="shared" si="17"/>
        <v>December</v>
      </c>
      <c r="F558" s="146" t="s">
        <v>767</v>
      </c>
      <c r="G558" s="154">
        <v>209846975</v>
      </c>
      <c r="H558" s="146" t="s">
        <v>261</v>
      </c>
      <c r="I558" s="52" t="s">
        <v>276</v>
      </c>
      <c r="J558" s="156" t="s">
        <v>271</v>
      </c>
      <c r="K558" s="53">
        <v>15054</v>
      </c>
      <c r="L558" s="151">
        <v>4</v>
      </c>
    </row>
    <row r="559" spans="1:12">
      <c r="A559" s="146" t="s">
        <v>609</v>
      </c>
      <c r="B559" s="155">
        <v>9196114005</v>
      </c>
      <c r="C559" s="153">
        <v>34306</v>
      </c>
      <c r="D559" s="51">
        <f t="shared" ca="1" si="16"/>
        <v>22</v>
      </c>
      <c r="E559" s="152" t="str">
        <f t="shared" si="17"/>
        <v>December</v>
      </c>
      <c r="F559" s="146" t="s">
        <v>767</v>
      </c>
      <c r="G559" s="154">
        <v>452255054</v>
      </c>
      <c r="H559" s="146" t="s">
        <v>247</v>
      </c>
      <c r="I559" s="52"/>
      <c r="J559" s="156" t="s">
        <v>245</v>
      </c>
      <c r="K559" s="53">
        <v>61008</v>
      </c>
      <c r="L559" s="151">
        <v>4</v>
      </c>
    </row>
    <row r="560" spans="1:12">
      <c r="A560" s="146" t="s">
        <v>364</v>
      </c>
      <c r="B560" s="155">
        <v>2527557761</v>
      </c>
      <c r="C560" s="153">
        <v>37866</v>
      </c>
      <c r="D560" s="51">
        <f t="shared" ca="1" si="16"/>
        <v>13</v>
      </c>
      <c r="E560" s="152" t="str">
        <f t="shared" si="17"/>
        <v>September</v>
      </c>
      <c r="F560" s="146" t="s">
        <v>767</v>
      </c>
      <c r="G560" s="154">
        <v>505680981</v>
      </c>
      <c r="H560" s="146" t="s">
        <v>256</v>
      </c>
      <c r="I560" s="52" t="s">
        <v>257</v>
      </c>
      <c r="J560" s="156" t="s">
        <v>271</v>
      </c>
      <c r="K560" s="53">
        <v>34956</v>
      </c>
      <c r="L560" s="151">
        <v>1</v>
      </c>
    </row>
    <row r="561" spans="1:12">
      <c r="A561" s="146" t="s">
        <v>763</v>
      </c>
      <c r="B561" s="155">
        <v>9196650531</v>
      </c>
      <c r="C561" s="153">
        <v>36686</v>
      </c>
      <c r="D561" s="51">
        <f t="shared" ca="1" si="16"/>
        <v>16</v>
      </c>
      <c r="E561" s="152" t="str">
        <f t="shared" si="17"/>
        <v>June</v>
      </c>
      <c r="F561" s="146" t="s">
        <v>767</v>
      </c>
      <c r="G561" s="154">
        <v>475671127</v>
      </c>
      <c r="H561" s="146" t="s">
        <v>256</v>
      </c>
      <c r="I561" s="52" t="s">
        <v>283</v>
      </c>
      <c r="J561" s="156" t="s">
        <v>285</v>
      </c>
      <c r="K561" s="53">
        <v>73704</v>
      </c>
      <c r="L561" s="151">
        <v>4</v>
      </c>
    </row>
    <row r="562" spans="1:12">
      <c r="A562" s="146" t="s">
        <v>367</v>
      </c>
      <c r="B562" s="155">
        <v>9194630903</v>
      </c>
      <c r="C562" s="153">
        <v>35879</v>
      </c>
      <c r="D562" s="51">
        <f t="shared" ca="1" si="16"/>
        <v>18</v>
      </c>
      <c r="E562" s="152" t="str">
        <f t="shared" si="17"/>
        <v>March</v>
      </c>
      <c r="F562" s="146" t="s">
        <v>767</v>
      </c>
      <c r="G562" s="154">
        <v>991221095</v>
      </c>
      <c r="H562" s="146" t="s">
        <v>256</v>
      </c>
      <c r="I562" s="52" t="s">
        <v>276</v>
      </c>
      <c r="J562" s="156" t="s">
        <v>245</v>
      </c>
      <c r="K562" s="53">
        <v>35712</v>
      </c>
      <c r="L562" s="151">
        <v>2</v>
      </c>
    </row>
    <row r="563" spans="1:12">
      <c r="A563" s="146" t="s">
        <v>1021</v>
      </c>
      <c r="B563" s="155">
        <v>9198400261</v>
      </c>
      <c r="C563" s="153">
        <v>36674</v>
      </c>
      <c r="D563" s="51">
        <f t="shared" ca="1" si="16"/>
        <v>16</v>
      </c>
      <c r="E563" s="152" t="str">
        <f t="shared" si="17"/>
        <v>May</v>
      </c>
      <c r="F563" s="146" t="s">
        <v>767</v>
      </c>
      <c r="G563" s="154">
        <v>525699951</v>
      </c>
      <c r="H563" s="146" t="s">
        <v>252</v>
      </c>
      <c r="I563" s="52"/>
      <c r="J563" s="156" t="s">
        <v>245</v>
      </c>
      <c r="K563" s="53">
        <v>17198</v>
      </c>
      <c r="L563" s="151">
        <v>5</v>
      </c>
    </row>
    <row r="564" spans="1:12">
      <c r="A564" s="146" t="s">
        <v>369</v>
      </c>
      <c r="B564" s="155">
        <v>2526712695</v>
      </c>
      <c r="C564" s="153">
        <v>37264</v>
      </c>
      <c r="D564" s="51">
        <f t="shared" ca="1" si="16"/>
        <v>14</v>
      </c>
      <c r="E564" s="152" t="str">
        <f t="shared" si="17"/>
        <v>January</v>
      </c>
      <c r="F564" s="146" t="s">
        <v>767</v>
      </c>
      <c r="G564" s="154">
        <v>113252240</v>
      </c>
      <c r="H564" s="146" t="s">
        <v>256</v>
      </c>
      <c r="I564" s="52" t="s">
        <v>257</v>
      </c>
      <c r="J564" s="156" t="s">
        <v>271</v>
      </c>
      <c r="K564" s="53">
        <v>74880</v>
      </c>
      <c r="L564" s="151">
        <v>4</v>
      </c>
    </row>
    <row r="565" spans="1:12">
      <c r="A565" s="146" t="s">
        <v>305</v>
      </c>
      <c r="B565" s="155">
        <v>9195442791</v>
      </c>
      <c r="C565" s="153">
        <v>34950</v>
      </c>
      <c r="D565" s="51">
        <f t="shared" ca="1" si="16"/>
        <v>21</v>
      </c>
      <c r="E565" s="152" t="str">
        <f t="shared" si="17"/>
        <v>September</v>
      </c>
      <c r="F565" s="146" t="s">
        <v>767</v>
      </c>
      <c r="G565" s="154">
        <v>313358310</v>
      </c>
      <c r="H565" s="146" t="s">
        <v>256</v>
      </c>
      <c r="I565" s="52" t="s">
        <v>257</v>
      </c>
      <c r="J565" s="156" t="s">
        <v>271</v>
      </c>
      <c r="K565" s="53">
        <v>75226</v>
      </c>
      <c r="L565" s="151">
        <v>2</v>
      </c>
    </row>
    <row r="566" spans="1:12">
      <c r="A566" s="146" t="s">
        <v>390</v>
      </c>
      <c r="B566" s="155">
        <v>9194479196</v>
      </c>
      <c r="C566" s="153">
        <v>41309</v>
      </c>
      <c r="D566" s="51">
        <f t="shared" ca="1" si="16"/>
        <v>3</v>
      </c>
      <c r="E566" s="152" t="str">
        <f t="shared" si="17"/>
        <v>February</v>
      </c>
      <c r="F566" s="146" t="s">
        <v>856</v>
      </c>
      <c r="G566" s="154">
        <v>323701315</v>
      </c>
      <c r="H566" s="146" t="s">
        <v>256</v>
      </c>
      <c r="I566" s="52" t="s">
        <v>267</v>
      </c>
      <c r="J566" s="156" t="s">
        <v>285</v>
      </c>
      <c r="K566" s="53">
        <v>96312</v>
      </c>
      <c r="L566" s="151">
        <v>3</v>
      </c>
    </row>
    <row r="567" spans="1:12">
      <c r="A567" s="146" t="s">
        <v>704</v>
      </c>
      <c r="B567" s="155">
        <v>9198252392</v>
      </c>
      <c r="C567" s="153">
        <v>36130</v>
      </c>
      <c r="D567" s="51">
        <f t="shared" ca="1" si="16"/>
        <v>17</v>
      </c>
      <c r="E567" s="152" t="str">
        <f t="shared" si="17"/>
        <v>December</v>
      </c>
      <c r="F567" s="146" t="s">
        <v>856</v>
      </c>
      <c r="G567" s="154">
        <v>412159105</v>
      </c>
      <c r="H567" s="146" t="s">
        <v>252</v>
      </c>
      <c r="I567" s="52"/>
      <c r="J567" s="156" t="s">
        <v>271</v>
      </c>
      <c r="K567" s="53">
        <v>40210</v>
      </c>
      <c r="L567" s="151">
        <v>4</v>
      </c>
    </row>
    <row r="568" spans="1:12">
      <c r="A568" s="146" t="s">
        <v>469</v>
      </c>
      <c r="B568" s="155">
        <v>2524563177</v>
      </c>
      <c r="C568" s="153">
        <v>36809</v>
      </c>
      <c r="D568" s="51">
        <f t="shared" ca="1" si="16"/>
        <v>16</v>
      </c>
      <c r="E568" s="152" t="str">
        <f t="shared" si="17"/>
        <v>October</v>
      </c>
      <c r="F568" s="146" t="s">
        <v>856</v>
      </c>
      <c r="G568" s="154">
        <v>291274360</v>
      </c>
      <c r="H568" s="146" t="s">
        <v>256</v>
      </c>
      <c r="I568" s="52" t="s">
        <v>283</v>
      </c>
      <c r="J568" s="156" t="s">
        <v>245</v>
      </c>
      <c r="K568" s="53">
        <v>80888</v>
      </c>
      <c r="L568" s="151">
        <v>5</v>
      </c>
    </row>
    <row r="569" spans="1:12">
      <c r="A569" s="146" t="s">
        <v>306</v>
      </c>
      <c r="B569" s="155">
        <v>2521868104</v>
      </c>
      <c r="C569" s="153">
        <v>35073</v>
      </c>
      <c r="D569" s="51">
        <f t="shared" ca="1" si="16"/>
        <v>20</v>
      </c>
      <c r="E569" s="152" t="str">
        <f t="shared" si="17"/>
        <v>January</v>
      </c>
      <c r="F569" s="146" t="s">
        <v>856</v>
      </c>
      <c r="G569" s="154">
        <v>102159909</v>
      </c>
      <c r="H569" s="146" t="s">
        <v>252</v>
      </c>
      <c r="I569" s="52"/>
      <c r="J569" s="156" t="s">
        <v>271</v>
      </c>
      <c r="K569" s="53">
        <v>44146</v>
      </c>
      <c r="L569" s="151">
        <v>4</v>
      </c>
    </row>
    <row r="570" spans="1:12">
      <c r="A570" s="146" t="s">
        <v>935</v>
      </c>
      <c r="B570" s="155">
        <v>2523838954</v>
      </c>
      <c r="C570" s="153">
        <v>35482</v>
      </c>
      <c r="D570" s="51">
        <f t="shared" ca="1" si="16"/>
        <v>19</v>
      </c>
      <c r="E570" s="152" t="str">
        <f t="shared" si="17"/>
        <v>February</v>
      </c>
      <c r="F570" s="146" t="s">
        <v>856</v>
      </c>
      <c r="G570" s="154">
        <v>709234421</v>
      </c>
      <c r="H570" s="146" t="s">
        <v>256</v>
      </c>
      <c r="I570" s="52" t="s">
        <v>257</v>
      </c>
      <c r="J570" s="156" t="s">
        <v>271</v>
      </c>
      <c r="K570" s="53">
        <v>46800</v>
      </c>
      <c r="L570" s="151">
        <v>5</v>
      </c>
    </row>
    <row r="571" spans="1:12">
      <c r="A571" s="146" t="s">
        <v>865</v>
      </c>
      <c r="B571" s="155">
        <v>9197963782</v>
      </c>
      <c r="C571" s="153">
        <v>36225</v>
      </c>
      <c r="D571" s="51">
        <f t="shared" ca="1" si="16"/>
        <v>17</v>
      </c>
      <c r="E571" s="152" t="str">
        <f t="shared" si="17"/>
        <v>March</v>
      </c>
      <c r="F571" s="146" t="s">
        <v>856</v>
      </c>
      <c r="G571" s="154">
        <v>110726520</v>
      </c>
      <c r="H571" s="146" t="s">
        <v>256</v>
      </c>
      <c r="I571" s="52" t="s">
        <v>257</v>
      </c>
      <c r="J571" s="156" t="s">
        <v>285</v>
      </c>
      <c r="K571" s="53">
        <v>94452</v>
      </c>
      <c r="L571" s="151">
        <v>4</v>
      </c>
    </row>
    <row r="572" spans="1:12">
      <c r="A572" s="146" t="s">
        <v>477</v>
      </c>
      <c r="B572" s="155">
        <v>9195804771</v>
      </c>
      <c r="C572" s="153">
        <v>36924</v>
      </c>
      <c r="D572" s="51">
        <f t="shared" ca="1" si="16"/>
        <v>15</v>
      </c>
      <c r="E572" s="152" t="str">
        <f t="shared" si="17"/>
        <v>February</v>
      </c>
      <c r="F572" s="146" t="s">
        <v>856</v>
      </c>
      <c r="G572" s="154">
        <v>718930584</v>
      </c>
      <c r="H572" s="146" t="s">
        <v>261</v>
      </c>
      <c r="I572" s="52" t="s">
        <v>257</v>
      </c>
      <c r="J572" s="156" t="s">
        <v>271</v>
      </c>
      <c r="K572" s="53">
        <v>41976</v>
      </c>
      <c r="L572" s="151">
        <v>2</v>
      </c>
    </row>
    <row r="573" spans="1:12">
      <c r="A573" s="146" t="s">
        <v>867</v>
      </c>
      <c r="B573" s="158">
        <v>9193355152</v>
      </c>
      <c r="C573" s="153">
        <v>34332</v>
      </c>
      <c r="D573" s="51">
        <f t="shared" ca="1" si="16"/>
        <v>22</v>
      </c>
      <c r="E573" s="152" t="str">
        <f t="shared" si="17"/>
        <v>December</v>
      </c>
      <c r="F573" s="146" t="s">
        <v>856</v>
      </c>
      <c r="G573" s="154">
        <v>784064156</v>
      </c>
      <c r="H573" s="146" t="s">
        <v>256</v>
      </c>
      <c r="I573" s="52" t="s">
        <v>257</v>
      </c>
      <c r="J573" s="156" t="s">
        <v>285</v>
      </c>
      <c r="K573" s="53">
        <v>65796</v>
      </c>
      <c r="L573" s="151">
        <v>1</v>
      </c>
    </row>
    <row r="574" spans="1:12">
      <c r="A574" s="146" t="s">
        <v>457</v>
      </c>
      <c r="B574" s="155">
        <v>2528502926</v>
      </c>
      <c r="C574" s="153">
        <v>34276</v>
      </c>
      <c r="D574" s="51">
        <f t="shared" ca="1" si="16"/>
        <v>23</v>
      </c>
      <c r="E574" s="152" t="str">
        <f t="shared" si="17"/>
        <v>November</v>
      </c>
      <c r="F574" s="146" t="s">
        <v>856</v>
      </c>
      <c r="G574" s="154">
        <v>781472289</v>
      </c>
      <c r="H574" s="146" t="s">
        <v>256</v>
      </c>
      <c r="I574" s="52" t="s">
        <v>283</v>
      </c>
      <c r="J574" s="156" t="s">
        <v>266</v>
      </c>
      <c r="K574" s="53">
        <v>75660</v>
      </c>
      <c r="L574" s="151">
        <v>3</v>
      </c>
    </row>
    <row r="575" spans="1:12">
      <c r="A575" s="146" t="s">
        <v>491</v>
      </c>
      <c r="B575" s="155">
        <v>9192390604</v>
      </c>
      <c r="C575" s="153">
        <v>37370</v>
      </c>
      <c r="D575" s="51">
        <f t="shared" ca="1" si="16"/>
        <v>14</v>
      </c>
      <c r="E575" s="152" t="str">
        <f t="shared" si="17"/>
        <v>April</v>
      </c>
      <c r="F575" s="146" t="s">
        <v>856</v>
      </c>
      <c r="G575" s="154">
        <v>975857784</v>
      </c>
      <c r="H575" s="146" t="s">
        <v>247</v>
      </c>
      <c r="I575" s="52"/>
      <c r="J575" s="156" t="s">
        <v>271</v>
      </c>
      <c r="K575" s="53">
        <v>93312</v>
      </c>
      <c r="L575" s="151">
        <v>3</v>
      </c>
    </row>
    <row r="576" spans="1:12">
      <c r="A576" s="146" t="s">
        <v>420</v>
      </c>
      <c r="B576" s="155">
        <v>9198244224</v>
      </c>
      <c r="C576" s="153">
        <v>36443</v>
      </c>
      <c r="D576" s="51">
        <f t="shared" ca="1" si="16"/>
        <v>17</v>
      </c>
      <c r="E576" s="152" t="str">
        <f t="shared" si="17"/>
        <v>October</v>
      </c>
      <c r="F576" s="146" t="s">
        <v>856</v>
      </c>
      <c r="G576" s="154">
        <v>269873478</v>
      </c>
      <c r="H576" s="146" t="s">
        <v>256</v>
      </c>
      <c r="I576" s="52" t="s">
        <v>283</v>
      </c>
      <c r="J576" s="156" t="s">
        <v>280</v>
      </c>
      <c r="K576" s="53">
        <v>38544</v>
      </c>
      <c r="L576" s="151">
        <v>1</v>
      </c>
    </row>
    <row r="577" spans="1:12">
      <c r="A577" s="146" t="s">
        <v>499</v>
      </c>
      <c r="B577" s="155">
        <v>9192822520</v>
      </c>
      <c r="C577" s="153">
        <v>38755</v>
      </c>
      <c r="D577" s="51">
        <f t="shared" ca="1" si="16"/>
        <v>10</v>
      </c>
      <c r="E577" s="152" t="str">
        <f t="shared" si="17"/>
        <v>February</v>
      </c>
      <c r="F577" s="146" t="s">
        <v>856</v>
      </c>
      <c r="G577" s="154">
        <v>626501093</v>
      </c>
      <c r="H577" s="146" t="s">
        <v>247</v>
      </c>
      <c r="I577" s="52"/>
      <c r="J577" s="156" t="s">
        <v>251</v>
      </c>
      <c r="K577" s="53">
        <v>77508</v>
      </c>
      <c r="L577" s="151">
        <v>1</v>
      </c>
    </row>
    <row r="578" spans="1:12">
      <c r="A578" s="146" t="s">
        <v>752</v>
      </c>
      <c r="B578" s="155">
        <v>9191155509</v>
      </c>
      <c r="C578" s="153">
        <v>34618</v>
      </c>
      <c r="D578" s="51">
        <f t="shared" ref="D578:D641" ca="1" si="18">DATEDIF(C578,TODAY(),"Y")</f>
        <v>22</v>
      </c>
      <c r="E578" s="152" t="str">
        <f t="shared" ref="E578:E641" si="19">CHOOSE(MONTH(C578),"January","February","March","April","May","June","July","August","September","October","November","December")</f>
        <v>October</v>
      </c>
      <c r="F578" s="146" t="s">
        <v>856</v>
      </c>
      <c r="G578" s="154">
        <v>878902154</v>
      </c>
      <c r="H578" s="146" t="s">
        <v>261</v>
      </c>
      <c r="I578" s="52" t="s">
        <v>283</v>
      </c>
      <c r="J578" s="156" t="s">
        <v>266</v>
      </c>
      <c r="K578" s="53">
        <v>31062</v>
      </c>
      <c r="L578" s="151">
        <v>5</v>
      </c>
    </row>
    <row r="579" spans="1:12">
      <c r="A579" s="146" t="s">
        <v>872</v>
      </c>
      <c r="B579" s="155">
        <v>9196098293</v>
      </c>
      <c r="C579" s="153">
        <v>35528</v>
      </c>
      <c r="D579" s="51">
        <f t="shared" ca="1" si="18"/>
        <v>19</v>
      </c>
      <c r="E579" s="152" t="str">
        <f t="shared" si="19"/>
        <v>April</v>
      </c>
      <c r="F579" s="146" t="s">
        <v>856</v>
      </c>
      <c r="G579" s="154">
        <v>744830329</v>
      </c>
      <c r="H579" s="146" t="s">
        <v>256</v>
      </c>
      <c r="I579" s="52" t="s">
        <v>262</v>
      </c>
      <c r="J579" s="156" t="s">
        <v>285</v>
      </c>
      <c r="K579" s="53">
        <v>99240</v>
      </c>
      <c r="L579" s="151">
        <v>3</v>
      </c>
    </row>
    <row r="580" spans="1:12">
      <c r="A580" s="146" t="s">
        <v>943</v>
      </c>
      <c r="B580" s="155">
        <v>2526801348</v>
      </c>
      <c r="C580" s="153">
        <v>40473</v>
      </c>
      <c r="D580" s="51">
        <f t="shared" ca="1" si="18"/>
        <v>6</v>
      </c>
      <c r="E580" s="152" t="str">
        <f t="shared" si="19"/>
        <v>October</v>
      </c>
      <c r="F580" s="146" t="s">
        <v>856</v>
      </c>
      <c r="G580" s="154">
        <v>826508763</v>
      </c>
      <c r="H580" s="146" t="s">
        <v>256</v>
      </c>
      <c r="I580" s="52" t="s">
        <v>283</v>
      </c>
      <c r="J580" s="156" t="s">
        <v>285</v>
      </c>
      <c r="K580" s="53">
        <v>35196</v>
      </c>
      <c r="L580" s="151">
        <v>5</v>
      </c>
    </row>
    <row r="581" spans="1:12">
      <c r="A581" s="146" t="s">
        <v>318</v>
      </c>
      <c r="B581" s="155">
        <v>2521240785</v>
      </c>
      <c r="C581" s="153">
        <v>39630</v>
      </c>
      <c r="D581" s="51">
        <f t="shared" ca="1" si="18"/>
        <v>8</v>
      </c>
      <c r="E581" s="152" t="str">
        <f t="shared" si="19"/>
        <v>July</v>
      </c>
      <c r="F581" s="146" t="s">
        <v>856</v>
      </c>
      <c r="G581" s="154">
        <v>647131956</v>
      </c>
      <c r="H581" s="146" t="s">
        <v>256</v>
      </c>
      <c r="I581" s="52" t="s">
        <v>257</v>
      </c>
      <c r="J581" s="156" t="s">
        <v>285</v>
      </c>
      <c r="K581" s="53">
        <v>88272</v>
      </c>
      <c r="L581" s="151">
        <v>3</v>
      </c>
    </row>
    <row r="582" spans="1:12">
      <c r="A582" s="146" t="s">
        <v>945</v>
      </c>
      <c r="B582" s="155">
        <v>9194729409</v>
      </c>
      <c r="C582" s="153">
        <v>37254</v>
      </c>
      <c r="D582" s="51">
        <f t="shared" ca="1" si="18"/>
        <v>14</v>
      </c>
      <c r="E582" s="152" t="str">
        <f t="shared" si="19"/>
        <v>December</v>
      </c>
      <c r="F582" s="146" t="s">
        <v>856</v>
      </c>
      <c r="G582" s="154">
        <v>337411408</v>
      </c>
      <c r="H582" s="146" t="s">
        <v>256</v>
      </c>
      <c r="I582" s="52" t="s">
        <v>257</v>
      </c>
      <c r="J582" s="156" t="s">
        <v>285</v>
      </c>
      <c r="K582" s="53">
        <v>35112</v>
      </c>
      <c r="L582" s="151">
        <v>4</v>
      </c>
    </row>
    <row r="583" spans="1:12">
      <c r="A583" s="146" t="s">
        <v>873</v>
      </c>
      <c r="B583" s="155">
        <v>2524316324</v>
      </c>
      <c r="C583" s="153">
        <v>38503</v>
      </c>
      <c r="D583" s="51">
        <f t="shared" ca="1" si="18"/>
        <v>11</v>
      </c>
      <c r="E583" s="152" t="str">
        <f t="shared" si="19"/>
        <v>May</v>
      </c>
      <c r="F583" s="146" t="s">
        <v>856</v>
      </c>
      <c r="G583" s="154">
        <v>357568979</v>
      </c>
      <c r="H583" s="146" t="s">
        <v>261</v>
      </c>
      <c r="I583" s="52" t="s">
        <v>262</v>
      </c>
      <c r="J583" s="156" t="s">
        <v>245</v>
      </c>
      <c r="K583" s="53">
        <v>34230</v>
      </c>
      <c r="L583" s="151">
        <v>4</v>
      </c>
    </row>
    <row r="584" spans="1:12">
      <c r="A584" s="146" t="s">
        <v>788</v>
      </c>
      <c r="B584" s="155">
        <v>2525013435</v>
      </c>
      <c r="C584" s="153">
        <v>39881</v>
      </c>
      <c r="D584" s="51">
        <f t="shared" ca="1" si="18"/>
        <v>7</v>
      </c>
      <c r="E584" s="152" t="str">
        <f t="shared" si="19"/>
        <v>March</v>
      </c>
      <c r="F584" s="146" t="s">
        <v>856</v>
      </c>
      <c r="G584" s="154">
        <v>765836666</v>
      </c>
      <c r="H584" s="146" t="s">
        <v>256</v>
      </c>
      <c r="I584" s="52" t="s">
        <v>283</v>
      </c>
      <c r="J584" s="156" t="s">
        <v>245</v>
      </c>
      <c r="K584" s="53">
        <v>52320</v>
      </c>
      <c r="L584" s="151">
        <v>5</v>
      </c>
    </row>
    <row r="585" spans="1:12">
      <c r="A585" s="146" t="s">
        <v>512</v>
      </c>
      <c r="B585" s="155">
        <v>2522238881</v>
      </c>
      <c r="C585" s="153">
        <v>37135</v>
      </c>
      <c r="D585" s="51">
        <f t="shared" ca="1" si="18"/>
        <v>15</v>
      </c>
      <c r="E585" s="152" t="str">
        <f t="shared" si="19"/>
        <v>September</v>
      </c>
      <c r="F585" s="146" t="s">
        <v>856</v>
      </c>
      <c r="G585" s="154">
        <v>489667166</v>
      </c>
      <c r="H585" s="146" t="s">
        <v>256</v>
      </c>
      <c r="I585" s="52" t="s">
        <v>262</v>
      </c>
      <c r="J585" s="156" t="s">
        <v>285</v>
      </c>
      <c r="K585" s="53">
        <v>55056</v>
      </c>
      <c r="L585" s="151">
        <v>5</v>
      </c>
    </row>
    <row r="586" spans="1:12">
      <c r="A586" s="146" t="s">
        <v>949</v>
      </c>
      <c r="B586" s="155">
        <v>2524111882</v>
      </c>
      <c r="C586" s="153">
        <v>36084</v>
      </c>
      <c r="D586" s="51">
        <f t="shared" ca="1" si="18"/>
        <v>18</v>
      </c>
      <c r="E586" s="152" t="str">
        <f t="shared" si="19"/>
        <v>October</v>
      </c>
      <c r="F586" s="146" t="s">
        <v>856</v>
      </c>
      <c r="G586" s="154">
        <v>562497973</v>
      </c>
      <c r="H586" s="146" t="s">
        <v>256</v>
      </c>
      <c r="I586" s="52" t="s">
        <v>262</v>
      </c>
      <c r="J586" s="156" t="s">
        <v>271</v>
      </c>
      <c r="K586" s="53">
        <v>75636</v>
      </c>
      <c r="L586" s="151">
        <v>1</v>
      </c>
    </row>
    <row r="587" spans="1:12">
      <c r="A587" s="157" t="s">
        <v>278</v>
      </c>
      <c r="B587" s="155">
        <v>2528678875</v>
      </c>
      <c r="C587" s="153">
        <v>36624</v>
      </c>
      <c r="D587" s="51">
        <f t="shared" ca="1" si="18"/>
        <v>16</v>
      </c>
      <c r="E587" s="152" t="str">
        <f t="shared" si="19"/>
        <v>April</v>
      </c>
      <c r="F587" s="146" t="s">
        <v>856</v>
      </c>
      <c r="G587" s="154">
        <v>331251341</v>
      </c>
      <c r="H587" s="146" t="s">
        <v>256</v>
      </c>
      <c r="I587" s="52" t="s">
        <v>283</v>
      </c>
      <c r="J587" s="156" t="s">
        <v>285</v>
      </c>
      <c r="K587" s="53">
        <v>84336</v>
      </c>
      <c r="L587" s="151">
        <v>3</v>
      </c>
    </row>
    <row r="588" spans="1:12">
      <c r="A588" s="146" t="s">
        <v>639</v>
      </c>
      <c r="B588" s="155">
        <v>9198545681</v>
      </c>
      <c r="C588" s="153">
        <v>36589</v>
      </c>
      <c r="D588" s="51">
        <f t="shared" ca="1" si="18"/>
        <v>16</v>
      </c>
      <c r="E588" s="152" t="str">
        <f t="shared" si="19"/>
        <v>March</v>
      </c>
      <c r="F588" s="146" t="s">
        <v>856</v>
      </c>
      <c r="G588" s="154">
        <v>843632637</v>
      </c>
      <c r="H588" s="146" t="s">
        <v>252</v>
      </c>
      <c r="I588" s="52"/>
      <c r="J588" s="156" t="s">
        <v>271</v>
      </c>
      <c r="K588" s="53">
        <v>15403</v>
      </c>
      <c r="L588" s="151">
        <v>5</v>
      </c>
    </row>
    <row r="589" spans="1:12">
      <c r="A589" s="146" t="s">
        <v>803</v>
      </c>
      <c r="B589" s="155">
        <v>9198097539</v>
      </c>
      <c r="C589" s="153">
        <v>36806</v>
      </c>
      <c r="D589" s="51">
        <f t="shared" ca="1" si="18"/>
        <v>16</v>
      </c>
      <c r="E589" s="152" t="str">
        <f t="shared" si="19"/>
        <v>October</v>
      </c>
      <c r="F589" s="146" t="s">
        <v>856</v>
      </c>
      <c r="G589" s="154">
        <v>180832423</v>
      </c>
      <c r="H589" s="146" t="s">
        <v>256</v>
      </c>
      <c r="I589" s="52" t="s">
        <v>276</v>
      </c>
      <c r="J589" s="156" t="s">
        <v>271</v>
      </c>
      <c r="K589" s="53">
        <v>95532</v>
      </c>
      <c r="L589" s="151">
        <v>2</v>
      </c>
    </row>
    <row r="590" spans="1:12">
      <c r="A590" s="146" t="s">
        <v>1033</v>
      </c>
      <c r="B590" s="155">
        <v>2526306545</v>
      </c>
      <c r="C590" s="153">
        <v>34413</v>
      </c>
      <c r="D590" s="51">
        <f t="shared" ca="1" si="18"/>
        <v>22</v>
      </c>
      <c r="E590" s="152" t="str">
        <f t="shared" si="19"/>
        <v>March</v>
      </c>
      <c r="F590" s="146" t="s">
        <v>856</v>
      </c>
      <c r="G590" s="154">
        <v>622200296</v>
      </c>
      <c r="H590" s="146" t="s">
        <v>256</v>
      </c>
      <c r="I590" s="52" t="s">
        <v>257</v>
      </c>
      <c r="J590" s="156" t="s">
        <v>285</v>
      </c>
      <c r="K590" s="53">
        <v>78685</v>
      </c>
      <c r="L590" s="151">
        <v>3</v>
      </c>
    </row>
    <row r="591" spans="1:12">
      <c r="A591" s="146" t="s">
        <v>523</v>
      </c>
      <c r="B591" s="155">
        <v>2526584511</v>
      </c>
      <c r="C591" s="153">
        <v>36101</v>
      </c>
      <c r="D591" s="51">
        <f t="shared" ca="1" si="18"/>
        <v>18</v>
      </c>
      <c r="E591" s="152" t="str">
        <f t="shared" si="19"/>
        <v>November</v>
      </c>
      <c r="F591" s="146" t="s">
        <v>856</v>
      </c>
      <c r="G591" s="154">
        <v>277925508</v>
      </c>
      <c r="H591" s="146" t="s">
        <v>256</v>
      </c>
      <c r="I591" s="52" t="s">
        <v>283</v>
      </c>
      <c r="J591" s="156" t="s">
        <v>271</v>
      </c>
      <c r="K591" s="53">
        <v>79728</v>
      </c>
      <c r="L591" s="151">
        <v>3</v>
      </c>
    </row>
    <row r="592" spans="1:12">
      <c r="A592" s="146" t="s">
        <v>641</v>
      </c>
      <c r="B592" s="155">
        <v>2521525844</v>
      </c>
      <c r="C592" s="153">
        <v>34580</v>
      </c>
      <c r="D592" s="51">
        <f t="shared" ca="1" si="18"/>
        <v>22</v>
      </c>
      <c r="E592" s="152" t="str">
        <f t="shared" si="19"/>
        <v>September</v>
      </c>
      <c r="F592" s="146" t="s">
        <v>856</v>
      </c>
      <c r="G592" s="154">
        <v>627977314</v>
      </c>
      <c r="H592" s="146" t="s">
        <v>256</v>
      </c>
      <c r="I592" s="52" t="s">
        <v>276</v>
      </c>
      <c r="J592" s="156" t="s">
        <v>271</v>
      </c>
      <c r="K592" s="53">
        <v>103488</v>
      </c>
      <c r="L592" s="151">
        <v>1</v>
      </c>
    </row>
    <row r="593" spans="1:12">
      <c r="A593" s="146" t="s">
        <v>758</v>
      </c>
      <c r="B593" s="155">
        <v>2524269081</v>
      </c>
      <c r="C593" s="153">
        <v>36942</v>
      </c>
      <c r="D593" s="51">
        <f t="shared" ca="1" si="18"/>
        <v>15</v>
      </c>
      <c r="E593" s="152" t="str">
        <f t="shared" si="19"/>
        <v>February</v>
      </c>
      <c r="F593" s="146" t="s">
        <v>856</v>
      </c>
      <c r="G593" s="154">
        <v>351003584</v>
      </c>
      <c r="H593" s="146" t="s">
        <v>247</v>
      </c>
      <c r="I593" s="52"/>
      <c r="J593" s="156" t="s">
        <v>285</v>
      </c>
      <c r="K593" s="53">
        <v>63972</v>
      </c>
      <c r="L593" s="151">
        <v>5</v>
      </c>
    </row>
    <row r="594" spans="1:12">
      <c r="A594" s="146" t="s">
        <v>621</v>
      </c>
      <c r="B594" s="155">
        <v>2526732103</v>
      </c>
      <c r="C594" s="153">
        <v>37207</v>
      </c>
      <c r="D594" s="51">
        <f t="shared" ca="1" si="18"/>
        <v>14</v>
      </c>
      <c r="E594" s="152" t="str">
        <f t="shared" si="19"/>
        <v>November</v>
      </c>
      <c r="F594" s="146" t="s">
        <v>856</v>
      </c>
      <c r="G594" s="154">
        <v>135633006</v>
      </c>
      <c r="H594" s="146" t="s">
        <v>247</v>
      </c>
      <c r="I594" s="52"/>
      <c r="J594" s="156" t="s">
        <v>285</v>
      </c>
      <c r="K594" s="53">
        <v>65808</v>
      </c>
      <c r="L594" s="151">
        <v>4</v>
      </c>
    </row>
    <row r="595" spans="1:12">
      <c r="A595" s="146" t="s">
        <v>332</v>
      </c>
      <c r="B595" s="155">
        <v>2522447501</v>
      </c>
      <c r="C595" s="153">
        <v>35762</v>
      </c>
      <c r="D595" s="51">
        <f t="shared" ca="1" si="18"/>
        <v>18</v>
      </c>
      <c r="E595" s="152" t="str">
        <f t="shared" si="19"/>
        <v>November</v>
      </c>
      <c r="F595" s="146" t="s">
        <v>856</v>
      </c>
      <c r="G595" s="154">
        <v>687623890</v>
      </c>
      <c r="H595" s="146" t="s">
        <v>252</v>
      </c>
      <c r="I595" s="52"/>
      <c r="J595" s="156" t="s">
        <v>266</v>
      </c>
      <c r="K595" s="53">
        <v>28430</v>
      </c>
      <c r="L595" s="151">
        <v>4</v>
      </c>
    </row>
    <row r="596" spans="1:12">
      <c r="A596" s="146" t="s">
        <v>334</v>
      </c>
      <c r="B596" s="155">
        <v>9191952821</v>
      </c>
      <c r="C596" s="153">
        <v>36534</v>
      </c>
      <c r="D596" s="51">
        <f t="shared" ca="1" si="18"/>
        <v>16</v>
      </c>
      <c r="E596" s="152" t="str">
        <f t="shared" si="19"/>
        <v>January</v>
      </c>
      <c r="F596" s="146" t="s">
        <v>856</v>
      </c>
      <c r="G596" s="154">
        <v>668708287</v>
      </c>
      <c r="H596" s="146" t="s">
        <v>247</v>
      </c>
      <c r="I596" s="52"/>
      <c r="J596" s="156" t="s">
        <v>271</v>
      </c>
      <c r="K596" s="53">
        <v>103320</v>
      </c>
      <c r="L596" s="151">
        <v>4</v>
      </c>
    </row>
    <row r="597" spans="1:12">
      <c r="A597" s="146" t="s">
        <v>971</v>
      </c>
      <c r="B597" s="155">
        <v>2522889182</v>
      </c>
      <c r="C597" s="153">
        <v>36179</v>
      </c>
      <c r="D597" s="51">
        <f t="shared" ca="1" si="18"/>
        <v>17</v>
      </c>
      <c r="E597" s="152" t="str">
        <f t="shared" si="19"/>
        <v>January</v>
      </c>
      <c r="F597" s="146" t="s">
        <v>856</v>
      </c>
      <c r="G597" s="154">
        <v>426014550</v>
      </c>
      <c r="H597" s="146" t="s">
        <v>256</v>
      </c>
      <c r="I597" s="52" t="s">
        <v>276</v>
      </c>
      <c r="J597" s="156" t="s">
        <v>245</v>
      </c>
      <c r="K597" s="53">
        <v>75558</v>
      </c>
      <c r="L597" s="151">
        <v>1</v>
      </c>
    </row>
    <row r="598" spans="1:12">
      <c r="A598" s="146" t="s">
        <v>648</v>
      </c>
      <c r="B598" s="155">
        <v>2528433766</v>
      </c>
      <c r="C598" s="153">
        <v>41078</v>
      </c>
      <c r="D598" s="51">
        <f t="shared" ca="1" si="18"/>
        <v>4</v>
      </c>
      <c r="E598" s="152" t="str">
        <f t="shared" si="19"/>
        <v>June</v>
      </c>
      <c r="F598" s="146" t="s">
        <v>856</v>
      </c>
      <c r="G598" s="154">
        <v>750581894</v>
      </c>
      <c r="H598" s="146" t="s">
        <v>247</v>
      </c>
      <c r="I598" s="52"/>
      <c r="J598" s="156" t="s">
        <v>271</v>
      </c>
      <c r="K598" s="53">
        <v>25896</v>
      </c>
      <c r="L598" s="151">
        <v>3</v>
      </c>
    </row>
    <row r="599" spans="1:12">
      <c r="A599" s="146" t="s">
        <v>386</v>
      </c>
      <c r="B599" s="155">
        <v>2526458440</v>
      </c>
      <c r="C599" s="153">
        <v>37134</v>
      </c>
      <c r="D599" s="51">
        <f t="shared" ca="1" si="18"/>
        <v>15</v>
      </c>
      <c r="E599" s="152" t="str">
        <f t="shared" si="19"/>
        <v>August</v>
      </c>
      <c r="F599" s="146" t="s">
        <v>856</v>
      </c>
      <c r="G599" s="154">
        <v>548704405</v>
      </c>
      <c r="H599" s="146" t="s">
        <v>247</v>
      </c>
      <c r="I599" s="52"/>
      <c r="J599" s="156" t="s">
        <v>271</v>
      </c>
      <c r="K599" s="53">
        <v>72960</v>
      </c>
      <c r="L599" s="151">
        <v>4</v>
      </c>
    </row>
    <row r="600" spans="1:12">
      <c r="A600" s="146" t="s">
        <v>759</v>
      </c>
      <c r="B600" s="155">
        <v>9195866887</v>
      </c>
      <c r="C600" s="153">
        <v>33950</v>
      </c>
      <c r="D600" s="51">
        <f t="shared" ca="1" si="18"/>
        <v>23</v>
      </c>
      <c r="E600" s="152" t="str">
        <f t="shared" si="19"/>
        <v>December</v>
      </c>
      <c r="F600" s="146" t="s">
        <v>856</v>
      </c>
      <c r="G600" s="154">
        <v>693055639</v>
      </c>
      <c r="H600" s="146" t="s">
        <v>256</v>
      </c>
      <c r="I600" s="52" t="s">
        <v>257</v>
      </c>
      <c r="J600" s="156" t="s">
        <v>285</v>
      </c>
      <c r="K600" s="53">
        <v>64680</v>
      </c>
      <c r="L600" s="151">
        <v>5</v>
      </c>
    </row>
    <row r="601" spans="1:12">
      <c r="A601" s="146" t="s">
        <v>896</v>
      </c>
      <c r="B601" s="155">
        <v>2527126482</v>
      </c>
      <c r="C601" s="153">
        <v>34749</v>
      </c>
      <c r="D601" s="51">
        <f t="shared" ca="1" si="18"/>
        <v>21</v>
      </c>
      <c r="E601" s="152" t="str">
        <f t="shared" si="19"/>
        <v>February</v>
      </c>
      <c r="F601" s="146" t="s">
        <v>856</v>
      </c>
      <c r="G601" s="154">
        <v>462461365</v>
      </c>
      <c r="H601" s="146" t="s">
        <v>256</v>
      </c>
      <c r="I601" s="52" t="s">
        <v>283</v>
      </c>
      <c r="J601" s="156" t="s">
        <v>251</v>
      </c>
      <c r="K601" s="53">
        <v>54132</v>
      </c>
      <c r="L601" s="151">
        <v>2</v>
      </c>
    </row>
    <row r="602" spans="1:12">
      <c r="A602" s="146" t="s">
        <v>978</v>
      </c>
      <c r="B602" s="155">
        <v>9194919822</v>
      </c>
      <c r="C602" s="153">
        <v>37040</v>
      </c>
      <c r="D602" s="51">
        <f t="shared" ca="1" si="18"/>
        <v>15</v>
      </c>
      <c r="E602" s="152" t="str">
        <f t="shared" si="19"/>
        <v>May</v>
      </c>
      <c r="F602" s="146" t="s">
        <v>856</v>
      </c>
      <c r="G602" s="154">
        <v>708082156</v>
      </c>
      <c r="H602" s="146" t="s">
        <v>256</v>
      </c>
      <c r="I602" s="52" t="s">
        <v>257</v>
      </c>
      <c r="J602" s="156" t="s">
        <v>285</v>
      </c>
      <c r="K602" s="53">
        <v>83040</v>
      </c>
      <c r="L602" s="151">
        <v>4</v>
      </c>
    </row>
    <row r="603" spans="1:12">
      <c r="A603" s="146" t="s">
        <v>907</v>
      </c>
      <c r="B603" s="155">
        <v>9198413896</v>
      </c>
      <c r="C603" s="153">
        <v>38965</v>
      </c>
      <c r="D603" s="51">
        <f t="shared" ca="1" si="18"/>
        <v>10</v>
      </c>
      <c r="E603" s="152" t="str">
        <f t="shared" si="19"/>
        <v>September</v>
      </c>
      <c r="F603" s="146" t="s">
        <v>856</v>
      </c>
      <c r="G603" s="154">
        <v>649292883</v>
      </c>
      <c r="H603" s="146" t="s">
        <v>256</v>
      </c>
      <c r="I603" s="52" t="s">
        <v>283</v>
      </c>
      <c r="J603" s="156" t="s">
        <v>245</v>
      </c>
      <c r="K603" s="53">
        <v>38292</v>
      </c>
      <c r="L603" s="151">
        <v>5</v>
      </c>
    </row>
    <row r="604" spans="1:12">
      <c r="A604" s="146" t="s">
        <v>438</v>
      </c>
      <c r="B604" s="155">
        <v>9197785583</v>
      </c>
      <c r="C604" s="153">
        <v>33997</v>
      </c>
      <c r="D604" s="51">
        <f t="shared" ca="1" si="18"/>
        <v>23</v>
      </c>
      <c r="E604" s="152" t="str">
        <f t="shared" si="19"/>
        <v>January</v>
      </c>
      <c r="F604" s="146" t="s">
        <v>856</v>
      </c>
      <c r="G604" s="154">
        <v>420739404</v>
      </c>
      <c r="H604" s="146" t="s">
        <v>256</v>
      </c>
      <c r="I604" s="52" t="s">
        <v>283</v>
      </c>
      <c r="J604" s="156" t="s">
        <v>285</v>
      </c>
      <c r="K604" s="53">
        <v>29808</v>
      </c>
      <c r="L604" s="151">
        <v>1</v>
      </c>
    </row>
    <row r="605" spans="1:12">
      <c r="A605" s="146" t="s">
        <v>694</v>
      </c>
      <c r="B605" s="155">
        <v>2523631883</v>
      </c>
      <c r="C605" s="153">
        <v>36297</v>
      </c>
      <c r="D605" s="51">
        <f t="shared" ca="1" si="18"/>
        <v>17</v>
      </c>
      <c r="E605" s="152" t="str">
        <f t="shared" si="19"/>
        <v>May</v>
      </c>
      <c r="F605" s="146" t="s">
        <v>856</v>
      </c>
      <c r="G605" s="154">
        <v>750722934</v>
      </c>
      <c r="H605" s="146" t="s">
        <v>256</v>
      </c>
      <c r="I605" s="52" t="s">
        <v>283</v>
      </c>
      <c r="J605" s="156" t="s">
        <v>285</v>
      </c>
      <c r="K605" s="53">
        <v>45324</v>
      </c>
      <c r="L605" s="151">
        <v>5</v>
      </c>
    </row>
    <row r="606" spans="1:12">
      <c r="A606" s="146" t="s">
        <v>1034</v>
      </c>
      <c r="B606" s="155">
        <v>9193976775</v>
      </c>
      <c r="C606" s="153">
        <v>37018</v>
      </c>
      <c r="D606" s="51">
        <f t="shared" ca="1" si="18"/>
        <v>15</v>
      </c>
      <c r="E606" s="152" t="str">
        <f t="shared" si="19"/>
        <v>May</v>
      </c>
      <c r="F606" s="146" t="s">
        <v>856</v>
      </c>
      <c r="G606" s="154">
        <v>512404764</v>
      </c>
      <c r="H606" s="146" t="s">
        <v>256</v>
      </c>
      <c r="I606" s="52" t="s">
        <v>283</v>
      </c>
      <c r="J606" s="156" t="s">
        <v>245</v>
      </c>
      <c r="K606" s="53">
        <v>46800</v>
      </c>
      <c r="L606" s="151">
        <v>3</v>
      </c>
    </row>
    <row r="607" spans="1:12">
      <c r="A607" s="146" t="s">
        <v>994</v>
      </c>
      <c r="B607" s="155">
        <v>9196865606</v>
      </c>
      <c r="C607" s="153">
        <v>36570</v>
      </c>
      <c r="D607" s="51">
        <f t="shared" ca="1" si="18"/>
        <v>16</v>
      </c>
      <c r="E607" s="152" t="str">
        <f t="shared" si="19"/>
        <v>February</v>
      </c>
      <c r="F607" s="146" t="s">
        <v>856</v>
      </c>
      <c r="G607" s="154">
        <v>619456809</v>
      </c>
      <c r="H607" s="146" t="s">
        <v>261</v>
      </c>
      <c r="I607" s="52" t="s">
        <v>267</v>
      </c>
      <c r="J607" s="156" t="s">
        <v>280</v>
      </c>
      <c r="K607" s="53">
        <v>47436</v>
      </c>
      <c r="L607" s="151">
        <v>5</v>
      </c>
    </row>
    <row r="608" spans="1:12">
      <c r="A608" s="146" t="s">
        <v>568</v>
      </c>
      <c r="B608" s="155">
        <v>9192244880</v>
      </c>
      <c r="C608" s="153">
        <v>34149</v>
      </c>
      <c r="D608" s="51">
        <f t="shared" ca="1" si="18"/>
        <v>23</v>
      </c>
      <c r="E608" s="152" t="str">
        <f t="shared" si="19"/>
        <v>June</v>
      </c>
      <c r="F608" s="146" t="s">
        <v>856</v>
      </c>
      <c r="G608" s="154">
        <v>304024314</v>
      </c>
      <c r="H608" s="146" t="s">
        <v>247</v>
      </c>
      <c r="I608" s="52"/>
      <c r="J608" s="156" t="s">
        <v>271</v>
      </c>
      <c r="K608" s="53">
        <v>55980</v>
      </c>
      <c r="L608" s="151">
        <v>2</v>
      </c>
    </row>
    <row r="609" spans="1:12">
      <c r="A609" s="146" t="s">
        <v>660</v>
      </c>
      <c r="B609" s="155">
        <v>2528527032</v>
      </c>
      <c r="C609" s="153">
        <v>34738</v>
      </c>
      <c r="D609" s="51">
        <f t="shared" ca="1" si="18"/>
        <v>21</v>
      </c>
      <c r="E609" s="152" t="str">
        <f t="shared" si="19"/>
        <v>February</v>
      </c>
      <c r="F609" s="146" t="s">
        <v>856</v>
      </c>
      <c r="G609" s="154">
        <v>186821354</v>
      </c>
      <c r="H609" s="146" t="s">
        <v>256</v>
      </c>
      <c r="I609" s="52" t="s">
        <v>257</v>
      </c>
      <c r="J609" s="156" t="s">
        <v>245</v>
      </c>
      <c r="K609" s="53">
        <v>65124</v>
      </c>
      <c r="L609" s="151">
        <v>3</v>
      </c>
    </row>
    <row r="610" spans="1:12">
      <c r="A610" s="146" t="s">
        <v>348</v>
      </c>
      <c r="B610" s="155">
        <v>2522778445</v>
      </c>
      <c r="C610" s="153">
        <v>36416</v>
      </c>
      <c r="D610" s="51">
        <f t="shared" ca="1" si="18"/>
        <v>17</v>
      </c>
      <c r="E610" s="152" t="str">
        <f t="shared" si="19"/>
        <v>September</v>
      </c>
      <c r="F610" s="146" t="s">
        <v>856</v>
      </c>
      <c r="G610" s="154">
        <v>863736129</v>
      </c>
      <c r="H610" s="146" t="s">
        <v>261</v>
      </c>
      <c r="I610" s="52" t="s">
        <v>283</v>
      </c>
      <c r="J610" s="156" t="s">
        <v>271</v>
      </c>
      <c r="K610" s="53">
        <v>51288</v>
      </c>
      <c r="L610" s="151">
        <v>2</v>
      </c>
    </row>
    <row r="611" spans="1:12">
      <c r="A611" s="157" t="s">
        <v>282</v>
      </c>
      <c r="B611" s="155">
        <v>2522869792</v>
      </c>
      <c r="C611" s="153">
        <v>37151</v>
      </c>
      <c r="D611" s="51">
        <f t="shared" ca="1" si="18"/>
        <v>15</v>
      </c>
      <c r="E611" s="152" t="str">
        <f t="shared" si="19"/>
        <v>September</v>
      </c>
      <c r="F611" s="146" t="s">
        <v>856</v>
      </c>
      <c r="G611" s="154">
        <v>393973492</v>
      </c>
      <c r="H611" s="146" t="s">
        <v>261</v>
      </c>
      <c r="I611" s="52" t="s">
        <v>276</v>
      </c>
      <c r="J611" s="156" t="s">
        <v>285</v>
      </c>
      <c r="K611" s="53">
        <v>56820</v>
      </c>
      <c r="L611" s="151">
        <v>1</v>
      </c>
    </row>
    <row r="612" spans="1:12">
      <c r="A612" s="146" t="s">
        <v>444</v>
      </c>
      <c r="B612" s="155">
        <v>9195770085</v>
      </c>
      <c r="C612" s="153">
        <v>38521</v>
      </c>
      <c r="D612" s="51">
        <f t="shared" ca="1" si="18"/>
        <v>11</v>
      </c>
      <c r="E612" s="152" t="str">
        <f t="shared" si="19"/>
        <v>June</v>
      </c>
      <c r="F612" s="146" t="s">
        <v>856</v>
      </c>
      <c r="G612" s="154">
        <v>531654742</v>
      </c>
      <c r="H612" s="146" t="s">
        <v>256</v>
      </c>
      <c r="I612" s="52" t="s">
        <v>257</v>
      </c>
      <c r="J612" s="156" t="s">
        <v>280</v>
      </c>
      <c r="K612" s="53">
        <v>35052</v>
      </c>
      <c r="L612" s="151">
        <v>5</v>
      </c>
    </row>
    <row r="613" spans="1:12">
      <c r="A613" s="146" t="s">
        <v>1035</v>
      </c>
      <c r="B613" s="155">
        <v>9194626281</v>
      </c>
      <c r="C613" s="153">
        <v>34182</v>
      </c>
      <c r="D613" s="51">
        <f t="shared" ca="1" si="18"/>
        <v>23</v>
      </c>
      <c r="E613" s="152" t="str">
        <f t="shared" si="19"/>
        <v>August</v>
      </c>
      <c r="F613" s="146" t="s">
        <v>856</v>
      </c>
      <c r="G613" s="154">
        <v>593584018</v>
      </c>
      <c r="H613" s="146" t="s">
        <v>256</v>
      </c>
      <c r="I613" s="52" t="s">
        <v>257</v>
      </c>
      <c r="J613" s="156" t="s">
        <v>251</v>
      </c>
      <c r="K613" s="53">
        <v>81504</v>
      </c>
      <c r="L613" s="151">
        <v>4</v>
      </c>
    </row>
    <row r="614" spans="1:12">
      <c r="A614" s="146" t="s">
        <v>666</v>
      </c>
      <c r="B614" s="155">
        <v>2526853122</v>
      </c>
      <c r="C614" s="153">
        <v>36798</v>
      </c>
      <c r="D614" s="51">
        <f t="shared" ca="1" si="18"/>
        <v>16</v>
      </c>
      <c r="E614" s="152" t="str">
        <f t="shared" si="19"/>
        <v>September</v>
      </c>
      <c r="F614" s="146" t="s">
        <v>856</v>
      </c>
      <c r="G614" s="154">
        <v>221347766</v>
      </c>
      <c r="H614" s="146" t="s">
        <v>247</v>
      </c>
      <c r="I614" s="52"/>
      <c r="J614" s="156" t="s">
        <v>245</v>
      </c>
      <c r="K614" s="53">
        <v>70860</v>
      </c>
      <c r="L614" s="151">
        <v>4</v>
      </c>
    </row>
    <row r="615" spans="1:12">
      <c r="A615" s="146" t="s">
        <v>590</v>
      </c>
      <c r="B615" s="155">
        <v>2527422559</v>
      </c>
      <c r="C615" s="153">
        <v>37242</v>
      </c>
      <c r="D615" s="51">
        <f t="shared" ca="1" si="18"/>
        <v>14</v>
      </c>
      <c r="E615" s="152" t="str">
        <f t="shared" si="19"/>
        <v>December</v>
      </c>
      <c r="F615" s="146" t="s">
        <v>856</v>
      </c>
      <c r="G615" s="154">
        <v>889210902</v>
      </c>
      <c r="H615" s="146" t="s">
        <v>256</v>
      </c>
      <c r="I615" s="52" t="s">
        <v>283</v>
      </c>
      <c r="J615" s="156" t="s">
        <v>266</v>
      </c>
      <c r="K615" s="53">
        <v>57900</v>
      </c>
      <c r="L615" s="151">
        <v>3</v>
      </c>
    </row>
    <row r="616" spans="1:12">
      <c r="A616" s="146" t="s">
        <v>1007</v>
      </c>
      <c r="B616" s="155">
        <v>2524998145</v>
      </c>
      <c r="C616" s="153">
        <v>38353</v>
      </c>
      <c r="D616" s="51">
        <f t="shared" ca="1" si="18"/>
        <v>11</v>
      </c>
      <c r="E616" s="152" t="str">
        <f t="shared" si="19"/>
        <v>January</v>
      </c>
      <c r="F616" s="146" t="s">
        <v>856</v>
      </c>
      <c r="G616" s="154">
        <v>313648228</v>
      </c>
      <c r="H616" s="146" t="s">
        <v>256</v>
      </c>
      <c r="I616" s="52" t="s">
        <v>283</v>
      </c>
      <c r="J616" s="156" t="s">
        <v>266</v>
      </c>
      <c r="K616" s="53">
        <v>98988</v>
      </c>
      <c r="L616" s="151">
        <v>5</v>
      </c>
    </row>
    <row r="617" spans="1:12">
      <c r="A617" s="146" t="s">
        <v>833</v>
      </c>
      <c r="B617" s="155">
        <v>9198451642</v>
      </c>
      <c r="C617" s="153">
        <v>39521</v>
      </c>
      <c r="D617" s="51">
        <f t="shared" ca="1" si="18"/>
        <v>8</v>
      </c>
      <c r="E617" s="152" t="str">
        <f t="shared" si="19"/>
        <v>March</v>
      </c>
      <c r="F617" s="146" t="s">
        <v>856</v>
      </c>
      <c r="G617" s="154">
        <v>983047016</v>
      </c>
      <c r="H617" s="146" t="s">
        <v>247</v>
      </c>
      <c r="I617" s="52"/>
      <c r="J617" s="156" t="s">
        <v>285</v>
      </c>
      <c r="K617" s="53">
        <v>103116</v>
      </c>
      <c r="L617" s="151">
        <v>2</v>
      </c>
    </row>
    <row r="618" spans="1:12">
      <c r="A618" s="146" t="s">
        <v>835</v>
      </c>
      <c r="B618" s="158">
        <v>2525441252</v>
      </c>
      <c r="C618" s="153">
        <v>33984</v>
      </c>
      <c r="D618" s="51">
        <f t="shared" ca="1" si="18"/>
        <v>23</v>
      </c>
      <c r="E618" s="152" t="str">
        <f t="shared" si="19"/>
        <v>January</v>
      </c>
      <c r="F618" s="146" t="s">
        <v>856</v>
      </c>
      <c r="G618" s="154">
        <v>352371400</v>
      </c>
      <c r="H618" s="146" t="s">
        <v>252</v>
      </c>
      <c r="I618" s="52"/>
      <c r="J618" s="156" t="s">
        <v>245</v>
      </c>
      <c r="K618" s="53">
        <v>36562</v>
      </c>
      <c r="L618" s="151">
        <v>2</v>
      </c>
    </row>
    <row r="619" spans="1:12">
      <c r="A619" s="146" t="s">
        <v>595</v>
      </c>
      <c r="B619" s="155">
        <v>2527853314</v>
      </c>
      <c r="C619" s="153">
        <v>34439</v>
      </c>
      <c r="D619" s="51">
        <f t="shared" ca="1" si="18"/>
        <v>22</v>
      </c>
      <c r="E619" s="152" t="str">
        <f t="shared" si="19"/>
        <v>April</v>
      </c>
      <c r="F619" s="146" t="s">
        <v>856</v>
      </c>
      <c r="G619" s="154">
        <v>693965055</v>
      </c>
      <c r="H619" s="146" t="s">
        <v>256</v>
      </c>
      <c r="I619" s="52" t="s">
        <v>257</v>
      </c>
      <c r="J619" s="156" t="s">
        <v>285</v>
      </c>
      <c r="K619" s="53">
        <v>82164</v>
      </c>
      <c r="L619" s="151">
        <v>4</v>
      </c>
    </row>
    <row r="620" spans="1:12">
      <c r="A620" s="146" t="s">
        <v>838</v>
      </c>
      <c r="B620" s="155">
        <v>9193123940</v>
      </c>
      <c r="C620" s="153">
        <v>34642</v>
      </c>
      <c r="D620" s="51">
        <f t="shared" ca="1" si="18"/>
        <v>22</v>
      </c>
      <c r="E620" s="152" t="str">
        <f t="shared" si="19"/>
        <v>November</v>
      </c>
      <c r="F620" s="146" t="s">
        <v>856</v>
      </c>
      <c r="G620" s="154">
        <v>195772503</v>
      </c>
      <c r="H620" s="146" t="s">
        <v>247</v>
      </c>
      <c r="I620" s="52"/>
      <c r="J620" s="156" t="s">
        <v>285</v>
      </c>
      <c r="K620" s="53">
        <v>66828</v>
      </c>
      <c r="L620" s="151">
        <v>2</v>
      </c>
    </row>
    <row r="621" spans="1:12">
      <c r="A621" s="146" t="s">
        <v>356</v>
      </c>
      <c r="B621" s="155">
        <v>2524589262</v>
      </c>
      <c r="C621" s="153">
        <v>36973</v>
      </c>
      <c r="D621" s="51">
        <f t="shared" ca="1" si="18"/>
        <v>15</v>
      </c>
      <c r="E621" s="152" t="str">
        <f t="shared" si="19"/>
        <v>March</v>
      </c>
      <c r="F621" s="146" t="s">
        <v>856</v>
      </c>
      <c r="G621" s="154">
        <v>125540405</v>
      </c>
      <c r="H621" s="146" t="s">
        <v>256</v>
      </c>
      <c r="I621" s="52" t="s">
        <v>257</v>
      </c>
      <c r="J621" s="156" t="s">
        <v>285</v>
      </c>
      <c r="K621" s="53">
        <v>70092</v>
      </c>
      <c r="L621" s="151">
        <v>5</v>
      </c>
    </row>
    <row r="622" spans="1:12">
      <c r="A622" s="146" t="s">
        <v>597</v>
      </c>
      <c r="B622" s="155">
        <v>2528792521</v>
      </c>
      <c r="C622" s="153">
        <v>36597</v>
      </c>
      <c r="D622" s="51">
        <f t="shared" ca="1" si="18"/>
        <v>16</v>
      </c>
      <c r="E622" s="152" t="str">
        <f t="shared" si="19"/>
        <v>March</v>
      </c>
      <c r="F622" s="146" t="s">
        <v>856</v>
      </c>
      <c r="G622" s="154">
        <v>518009092</v>
      </c>
      <c r="H622" s="146" t="s">
        <v>252</v>
      </c>
      <c r="I622" s="52"/>
      <c r="J622" s="156" t="s">
        <v>245</v>
      </c>
      <c r="K622" s="53">
        <v>21494</v>
      </c>
      <c r="L622" s="151">
        <v>5</v>
      </c>
    </row>
    <row r="623" spans="1:12">
      <c r="A623" s="146" t="s">
        <v>359</v>
      </c>
      <c r="B623" s="155">
        <v>9192485673</v>
      </c>
      <c r="C623" s="153">
        <v>38543</v>
      </c>
      <c r="D623" s="51">
        <f t="shared" ca="1" si="18"/>
        <v>11</v>
      </c>
      <c r="E623" s="152" t="str">
        <f t="shared" si="19"/>
        <v>July</v>
      </c>
      <c r="F623" s="146" t="s">
        <v>856</v>
      </c>
      <c r="G623" s="154">
        <v>614562070</v>
      </c>
      <c r="H623" s="146" t="s">
        <v>261</v>
      </c>
      <c r="I623" s="52" t="s">
        <v>257</v>
      </c>
      <c r="J623" s="156" t="s">
        <v>280</v>
      </c>
      <c r="K623" s="53">
        <v>58488</v>
      </c>
      <c r="L623" s="151">
        <v>1</v>
      </c>
    </row>
    <row r="624" spans="1:12">
      <c r="A624" s="146" t="s">
        <v>918</v>
      </c>
      <c r="B624" s="155">
        <v>2524072342</v>
      </c>
      <c r="C624" s="153">
        <v>37285</v>
      </c>
      <c r="D624" s="51">
        <f t="shared" ca="1" si="18"/>
        <v>14</v>
      </c>
      <c r="E624" s="152" t="str">
        <f t="shared" si="19"/>
        <v>January</v>
      </c>
      <c r="F624" s="146" t="s">
        <v>856</v>
      </c>
      <c r="G624" s="154">
        <v>733881041</v>
      </c>
      <c r="H624" s="146" t="s">
        <v>252</v>
      </c>
      <c r="I624" s="52"/>
      <c r="J624" s="156" t="s">
        <v>266</v>
      </c>
      <c r="K624" s="53">
        <v>18662</v>
      </c>
      <c r="L624" s="151">
        <v>4</v>
      </c>
    </row>
    <row r="625" spans="1:12">
      <c r="A625" s="146" t="s">
        <v>1015</v>
      </c>
      <c r="B625" s="155">
        <v>2526593848</v>
      </c>
      <c r="C625" s="153">
        <v>39081</v>
      </c>
      <c r="D625" s="51">
        <f t="shared" ca="1" si="18"/>
        <v>9</v>
      </c>
      <c r="E625" s="152" t="str">
        <f t="shared" si="19"/>
        <v>December</v>
      </c>
      <c r="F625" s="146" t="s">
        <v>856</v>
      </c>
      <c r="G625" s="154">
        <v>666194498</v>
      </c>
      <c r="H625" s="146" t="s">
        <v>256</v>
      </c>
      <c r="I625" s="52" t="s">
        <v>283</v>
      </c>
      <c r="J625" s="156" t="s">
        <v>280</v>
      </c>
      <c r="K625" s="53">
        <v>100452</v>
      </c>
      <c r="L625" s="151">
        <v>3</v>
      </c>
    </row>
    <row r="626" spans="1:12">
      <c r="A626" s="146" t="s">
        <v>360</v>
      </c>
      <c r="B626" s="155">
        <v>9193922813</v>
      </c>
      <c r="C626" s="153">
        <v>34908</v>
      </c>
      <c r="D626" s="51">
        <f t="shared" ca="1" si="18"/>
        <v>21</v>
      </c>
      <c r="E626" s="152" t="str">
        <f t="shared" si="19"/>
        <v>July</v>
      </c>
      <c r="F626" s="146" t="s">
        <v>856</v>
      </c>
      <c r="G626" s="154">
        <v>705186668</v>
      </c>
      <c r="H626" s="146" t="s">
        <v>252</v>
      </c>
      <c r="I626" s="52"/>
      <c r="J626" s="156" t="s">
        <v>271</v>
      </c>
      <c r="K626" s="53">
        <v>31781</v>
      </c>
      <c r="L626" s="151">
        <v>5</v>
      </c>
    </row>
    <row r="627" spans="1:12">
      <c r="A627" s="146" t="s">
        <v>288</v>
      </c>
      <c r="B627" s="155">
        <v>9192376215</v>
      </c>
      <c r="C627" s="153">
        <v>40448</v>
      </c>
      <c r="D627" s="51">
        <f t="shared" ca="1" si="18"/>
        <v>6</v>
      </c>
      <c r="E627" s="152" t="str">
        <f t="shared" si="19"/>
        <v>September</v>
      </c>
      <c r="F627" s="146" t="s">
        <v>856</v>
      </c>
      <c r="G627" s="154">
        <v>932553359</v>
      </c>
      <c r="H627" s="146" t="s">
        <v>247</v>
      </c>
      <c r="I627" s="52"/>
      <c r="J627" s="156" t="s">
        <v>285</v>
      </c>
      <c r="K627" s="53">
        <v>51984</v>
      </c>
      <c r="L627" s="151">
        <v>5</v>
      </c>
    </row>
    <row r="628" spans="1:12">
      <c r="A628" s="146" t="s">
        <v>1016</v>
      </c>
      <c r="B628" s="155">
        <v>9195157047</v>
      </c>
      <c r="C628" s="153">
        <v>34888</v>
      </c>
      <c r="D628" s="51">
        <f t="shared" ca="1" si="18"/>
        <v>21</v>
      </c>
      <c r="E628" s="152" t="str">
        <f t="shared" si="19"/>
        <v>July</v>
      </c>
      <c r="F628" s="146" t="s">
        <v>856</v>
      </c>
      <c r="G628" s="154">
        <v>100703382</v>
      </c>
      <c r="H628" s="146" t="s">
        <v>256</v>
      </c>
      <c r="I628" s="52" t="s">
        <v>257</v>
      </c>
      <c r="J628" s="156" t="s">
        <v>285</v>
      </c>
      <c r="K628" s="53">
        <v>65040</v>
      </c>
      <c r="L628" s="151">
        <v>4</v>
      </c>
    </row>
    <row r="629" spans="1:12">
      <c r="A629" s="146" t="s">
        <v>605</v>
      </c>
      <c r="B629" s="155">
        <v>9198407416</v>
      </c>
      <c r="C629" s="153">
        <v>34756</v>
      </c>
      <c r="D629" s="51">
        <f t="shared" ca="1" si="18"/>
        <v>21</v>
      </c>
      <c r="E629" s="152" t="str">
        <f t="shared" si="19"/>
        <v>February</v>
      </c>
      <c r="F629" s="146" t="s">
        <v>856</v>
      </c>
      <c r="G629" s="154">
        <v>404589373</v>
      </c>
      <c r="H629" s="146" t="s">
        <v>256</v>
      </c>
      <c r="I629" s="52" t="s">
        <v>283</v>
      </c>
      <c r="J629" s="156" t="s">
        <v>271</v>
      </c>
      <c r="K629" s="53">
        <v>80189</v>
      </c>
      <c r="L629" s="151">
        <v>2</v>
      </c>
    </row>
    <row r="630" spans="1:12">
      <c r="A630" s="146" t="s">
        <v>1017</v>
      </c>
      <c r="B630" s="155">
        <v>2522842668</v>
      </c>
      <c r="C630" s="153">
        <v>37088</v>
      </c>
      <c r="D630" s="51">
        <f t="shared" ca="1" si="18"/>
        <v>15</v>
      </c>
      <c r="E630" s="152" t="str">
        <f t="shared" si="19"/>
        <v>July</v>
      </c>
      <c r="F630" s="146" t="s">
        <v>856</v>
      </c>
      <c r="G630" s="154">
        <v>288741910</v>
      </c>
      <c r="H630" s="146" t="s">
        <v>256</v>
      </c>
      <c r="I630" s="52" t="s">
        <v>283</v>
      </c>
      <c r="J630" s="156" t="s">
        <v>245</v>
      </c>
      <c r="K630" s="53">
        <v>80424</v>
      </c>
      <c r="L630" s="151">
        <v>1</v>
      </c>
    </row>
    <row r="631" spans="1:12">
      <c r="A631" s="146" t="s">
        <v>745</v>
      </c>
      <c r="B631" s="155">
        <v>2524713634</v>
      </c>
      <c r="C631" s="153">
        <v>40806</v>
      </c>
      <c r="D631" s="51">
        <f t="shared" ca="1" si="18"/>
        <v>5</v>
      </c>
      <c r="E631" s="152" t="str">
        <f t="shared" si="19"/>
        <v>September</v>
      </c>
      <c r="F631" s="146" t="s">
        <v>856</v>
      </c>
      <c r="G631" s="154">
        <v>491830893</v>
      </c>
      <c r="H631" s="146" t="s">
        <v>256</v>
      </c>
      <c r="I631" s="52" t="s">
        <v>283</v>
      </c>
      <c r="J631" s="156" t="s">
        <v>280</v>
      </c>
      <c r="K631" s="53">
        <v>27828</v>
      </c>
      <c r="L631" s="151">
        <v>5</v>
      </c>
    </row>
    <row r="632" spans="1:12">
      <c r="A632" s="146" t="s">
        <v>379</v>
      </c>
      <c r="B632" s="155">
        <v>9196973131</v>
      </c>
      <c r="C632" s="153">
        <v>36136</v>
      </c>
      <c r="D632" s="51">
        <f t="shared" ca="1" si="18"/>
        <v>17</v>
      </c>
      <c r="E632" s="152" t="str">
        <f t="shared" si="19"/>
        <v>December</v>
      </c>
      <c r="F632" s="146" t="s">
        <v>856</v>
      </c>
      <c r="G632" s="154">
        <v>984881714</v>
      </c>
      <c r="H632" s="146" t="s">
        <v>256</v>
      </c>
      <c r="I632" s="52" t="s">
        <v>283</v>
      </c>
      <c r="J632" s="156" t="s">
        <v>285</v>
      </c>
      <c r="K632" s="53">
        <v>41196</v>
      </c>
      <c r="L632" s="151">
        <v>3</v>
      </c>
    </row>
    <row r="633" spans="1:12">
      <c r="A633" s="146" t="s">
        <v>847</v>
      </c>
      <c r="B633" s="155">
        <v>9195526537</v>
      </c>
      <c r="C633" s="153">
        <v>37810</v>
      </c>
      <c r="D633" s="51">
        <f t="shared" ca="1" si="18"/>
        <v>13</v>
      </c>
      <c r="E633" s="152" t="str">
        <f t="shared" si="19"/>
        <v>July</v>
      </c>
      <c r="F633" s="146" t="s">
        <v>856</v>
      </c>
      <c r="G633" s="154">
        <v>368385341</v>
      </c>
      <c r="H633" s="146" t="s">
        <v>247</v>
      </c>
      <c r="I633" s="52"/>
      <c r="J633" s="156" t="s">
        <v>251</v>
      </c>
      <c r="K633" s="53">
        <v>56136</v>
      </c>
      <c r="L633" s="151">
        <v>2</v>
      </c>
    </row>
    <row r="634" spans="1:12">
      <c r="A634" s="146" t="s">
        <v>848</v>
      </c>
      <c r="B634" s="155">
        <v>2526532463</v>
      </c>
      <c r="C634" s="153">
        <v>36740</v>
      </c>
      <c r="D634" s="51">
        <f t="shared" ca="1" si="18"/>
        <v>16</v>
      </c>
      <c r="E634" s="152" t="str">
        <f t="shared" si="19"/>
        <v>August</v>
      </c>
      <c r="F634" s="146" t="s">
        <v>856</v>
      </c>
      <c r="G634" s="154">
        <v>644489557</v>
      </c>
      <c r="H634" s="146" t="s">
        <v>256</v>
      </c>
      <c r="I634" s="52" t="s">
        <v>262</v>
      </c>
      <c r="J634" s="156" t="s">
        <v>271</v>
      </c>
      <c r="K634" s="53">
        <v>94740</v>
      </c>
      <c r="L634" s="151">
        <v>1</v>
      </c>
    </row>
    <row r="635" spans="1:12">
      <c r="A635" s="146" t="s">
        <v>1020</v>
      </c>
      <c r="B635" s="155">
        <v>2526443692</v>
      </c>
      <c r="C635" s="153">
        <v>37259</v>
      </c>
      <c r="D635" s="51">
        <f t="shared" ca="1" si="18"/>
        <v>14</v>
      </c>
      <c r="E635" s="152" t="str">
        <f t="shared" si="19"/>
        <v>January</v>
      </c>
      <c r="F635" s="146" t="s">
        <v>856</v>
      </c>
      <c r="G635" s="154">
        <v>836953739</v>
      </c>
      <c r="H635" s="146" t="s">
        <v>261</v>
      </c>
      <c r="I635" s="52" t="s">
        <v>267</v>
      </c>
      <c r="J635" s="156" t="s">
        <v>271</v>
      </c>
      <c r="K635" s="53">
        <v>25188</v>
      </c>
      <c r="L635" s="151">
        <v>4</v>
      </c>
    </row>
    <row r="636" spans="1:12">
      <c r="A636" s="146" t="s">
        <v>851</v>
      </c>
      <c r="B636" s="155">
        <v>9193558443</v>
      </c>
      <c r="C636" s="153">
        <v>34010</v>
      </c>
      <c r="D636" s="51">
        <f t="shared" ca="1" si="18"/>
        <v>23</v>
      </c>
      <c r="E636" s="152" t="str">
        <f t="shared" si="19"/>
        <v>February</v>
      </c>
      <c r="F636" s="146" t="s">
        <v>856</v>
      </c>
      <c r="G636" s="154">
        <v>265993407</v>
      </c>
      <c r="H636" s="146" t="s">
        <v>247</v>
      </c>
      <c r="I636" s="52"/>
      <c r="J636" s="156" t="s">
        <v>251</v>
      </c>
      <c r="K636" s="53">
        <v>107340</v>
      </c>
      <c r="L636" s="151">
        <v>2</v>
      </c>
    </row>
    <row r="637" spans="1:12">
      <c r="A637" s="146" t="s">
        <v>853</v>
      </c>
      <c r="B637" s="155">
        <v>9196408497</v>
      </c>
      <c r="C637" s="153">
        <v>40543</v>
      </c>
      <c r="D637" s="51">
        <f t="shared" ca="1" si="18"/>
        <v>5</v>
      </c>
      <c r="E637" s="152" t="str">
        <f t="shared" si="19"/>
        <v>December</v>
      </c>
      <c r="F637" s="146" t="s">
        <v>856</v>
      </c>
      <c r="G637" s="154">
        <v>855135948</v>
      </c>
      <c r="H637" s="146" t="s">
        <v>256</v>
      </c>
      <c r="I637" s="52" t="s">
        <v>283</v>
      </c>
      <c r="J637" s="156" t="s">
        <v>245</v>
      </c>
      <c r="K637" s="53">
        <v>86472</v>
      </c>
      <c r="L637" s="151">
        <v>2</v>
      </c>
    </row>
    <row r="638" spans="1:12">
      <c r="A638" s="146" t="s">
        <v>454</v>
      </c>
      <c r="B638" s="155">
        <v>9194127875</v>
      </c>
      <c r="C638" s="153">
        <v>35013</v>
      </c>
      <c r="D638" s="51">
        <f t="shared" ca="1" si="18"/>
        <v>21</v>
      </c>
      <c r="E638" s="152" t="str">
        <f t="shared" si="19"/>
        <v>November</v>
      </c>
      <c r="F638" s="146" t="s">
        <v>856</v>
      </c>
      <c r="G638" s="154">
        <v>272659955</v>
      </c>
      <c r="H638" s="146" t="s">
        <v>256</v>
      </c>
      <c r="I638" s="52" t="s">
        <v>267</v>
      </c>
      <c r="J638" s="156" t="s">
        <v>271</v>
      </c>
      <c r="K638" s="53">
        <v>58188</v>
      </c>
      <c r="L638" s="151">
        <v>2</v>
      </c>
    </row>
    <row r="639" spans="1:12">
      <c r="A639" s="146" t="s">
        <v>859</v>
      </c>
      <c r="B639" s="155">
        <v>9192416398</v>
      </c>
      <c r="C639" s="153">
        <v>39354</v>
      </c>
      <c r="D639" s="51">
        <f t="shared" ca="1" si="18"/>
        <v>9</v>
      </c>
      <c r="E639" s="152" t="str">
        <f t="shared" si="19"/>
        <v>September</v>
      </c>
      <c r="F639" s="146" t="s">
        <v>930</v>
      </c>
      <c r="G639" s="154">
        <v>688769770</v>
      </c>
      <c r="H639" s="146" t="s">
        <v>256</v>
      </c>
      <c r="I639" s="52" t="s">
        <v>257</v>
      </c>
      <c r="J639" s="156" t="s">
        <v>251</v>
      </c>
      <c r="K639" s="53">
        <v>53436</v>
      </c>
      <c r="L639" s="151">
        <v>2</v>
      </c>
    </row>
    <row r="640" spans="1:12">
      <c r="A640" s="146" t="s">
        <v>769</v>
      </c>
      <c r="B640" s="155">
        <v>2526049607</v>
      </c>
      <c r="C640" s="153">
        <v>37058</v>
      </c>
      <c r="D640" s="51">
        <f t="shared" ca="1" si="18"/>
        <v>15</v>
      </c>
      <c r="E640" s="152" t="str">
        <f t="shared" si="19"/>
        <v>June</v>
      </c>
      <c r="F640" s="146" t="s">
        <v>930</v>
      </c>
      <c r="G640" s="154">
        <v>876082195</v>
      </c>
      <c r="H640" s="146" t="s">
        <v>256</v>
      </c>
      <c r="I640" s="52" t="s">
        <v>276</v>
      </c>
      <c r="J640" s="156" t="s">
        <v>271</v>
      </c>
      <c r="K640" s="53">
        <v>74220</v>
      </c>
      <c r="L640" s="151">
        <v>2</v>
      </c>
    </row>
    <row r="641" spans="1:12">
      <c r="A641" s="146" t="s">
        <v>771</v>
      </c>
      <c r="B641" s="155">
        <v>9193679666</v>
      </c>
      <c r="C641" s="153">
        <v>34702</v>
      </c>
      <c r="D641" s="51">
        <f t="shared" ca="1" si="18"/>
        <v>21</v>
      </c>
      <c r="E641" s="152" t="str">
        <f t="shared" si="19"/>
        <v>January</v>
      </c>
      <c r="F641" s="146" t="s">
        <v>930</v>
      </c>
      <c r="G641" s="154">
        <v>656572514</v>
      </c>
      <c r="H641" s="146" t="s">
        <v>247</v>
      </c>
      <c r="I641" s="52"/>
      <c r="J641" s="156" t="s">
        <v>285</v>
      </c>
      <c r="K641" s="53">
        <v>84180</v>
      </c>
      <c r="L641" s="151">
        <v>2</v>
      </c>
    </row>
    <row r="642" spans="1:12">
      <c r="A642" s="146" t="s">
        <v>467</v>
      </c>
      <c r="B642" s="155">
        <v>2524100997</v>
      </c>
      <c r="C642" s="153">
        <v>34129</v>
      </c>
      <c r="D642" s="51">
        <f t="shared" ref="D642:D705" ca="1" si="20">DATEDIF(C642,TODAY(),"Y")</f>
        <v>23</v>
      </c>
      <c r="E642" s="152" t="str">
        <f t="shared" ref="E642:E705" si="21">CHOOSE(MONTH(C642),"January","February","March","April","May","June","July","August","September","October","November","December")</f>
        <v>June</v>
      </c>
      <c r="F642" s="146" t="s">
        <v>930</v>
      </c>
      <c r="G642" s="154">
        <v>877574472</v>
      </c>
      <c r="H642" s="146" t="s">
        <v>247</v>
      </c>
      <c r="I642" s="52"/>
      <c r="J642" s="156" t="s">
        <v>245</v>
      </c>
      <c r="K642" s="53">
        <v>41616</v>
      </c>
      <c r="L642" s="151">
        <v>5</v>
      </c>
    </row>
    <row r="643" spans="1:12">
      <c r="A643" s="146" t="s">
        <v>773</v>
      </c>
      <c r="B643" s="155">
        <v>9196799516</v>
      </c>
      <c r="C643" s="153">
        <v>40011</v>
      </c>
      <c r="D643" s="51">
        <f t="shared" ca="1" si="20"/>
        <v>7</v>
      </c>
      <c r="E643" s="152" t="str">
        <f t="shared" si="21"/>
        <v>July</v>
      </c>
      <c r="F643" s="146" t="s">
        <v>930</v>
      </c>
      <c r="G643" s="154">
        <v>771110153</v>
      </c>
      <c r="H643" s="146" t="s">
        <v>256</v>
      </c>
      <c r="I643" s="52" t="s">
        <v>257</v>
      </c>
      <c r="J643" s="156" t="s">
        <v>285</v>
      </c>
      <c r="K643" s="53">
        <v>29976</v>
      </c>
      <c r="L643" s="151">
        <v>3</v>
      </c>
    </row>
    <row r="644" spans="1:12">
      <c r="A644" s="146" t="s">
        <v>711</v>
      </c>
      <c r="B644" s="155">
        <v>9191838930</v>
      </c>
      <c r="C644" s="153">
        <v>41366</v>
      </c>
      <c r="D644" s="51">
        <f t="shared" ca="1" si="20"/>
        <v>3</v>
      </c>
      <c r="E644" s="152" t="str">
        <f t="shared" si="21"/>
        <v>April</v>
      </c>
      <c r="F644" s="146" t="s">
        <v>930</v>
      </c>
      <c r="G644" s="154">
        <v>995590510</v>
      </c>
      <c r="H644" s="146" t="s">
        <v>247</v>
      </c>
      <c r="I644" s="52"/>
      <c r="J644" s="156" t="s">
        <v>251</v>
      </c>
      <c r="K644" s="53">
        <v>51588</v>
      </c>
      <c r="L644" s="151">
        <v>4</v>
      </c>
    </row>
    <row r="645" spans="1:12">
      <c r="A645" s="146" t="s">
        <v>295</v>
      </c>
      <c r="B645" s="155">
        <v>9196259106</v>
      </c>
      <c r="C645" s="153">
        <v>39075</v>
      </c>
      <c r="D645" s="51">
        <f t="shared" ca="1" si="20"/>
        <v>9</v>
      </c>
      <c r="E645" s="152" t="str">
        <f t="shared" si="21"/>
        <v>December</v>
      </c>
      <c r="F645" s="146" t="s">
        <v>930</v>
      </c>
      <c r="G645" s="154">
        <v>683670378</v>
      </c>
      <c r="H645" s="146" t="s">
        <v>256</v>
      </c>
      <c r="I645" s="52" t="s">
        <v>283</v>
      </c>
      <c r="J645" s="156" t="s">
        <v>245</v>
      </c>
      <c r="K645" s="53">
        <v>97608</v>
      </c>
      <c r="L645" s="151">
        <v>2</v>
      </c>
    </row>
    <row r="646" spans="1:12">
      <c r="A646" s="146" t="s">
        <v>308</v>
      </c>
      <c r="B646" s="155">
        <v>2526757210</v>
      </c>
      <c r="C646" s="153">
        <v>36035</v>
      </c>
      <c r="D646" s="51">
        <f t="shared" ca="1" si="20"/>
        <v>18</v>
      </c>
      <c r="E646" s="152" t="str">
        <f t="shared" si="21"/>
        <v>August</v>
      </c>
      <c r="F646" s="146" t="s">
        <v>930</v>
      </c>
      <c r="G646" s="154">
        <v>799754905</v>
      </c>
      <c r="H646" s="146" t="s">
        <v>256</v>
      </c>
      <c r="I646" s="52" t="s">
        <v>257</v>
      </c>
      <c r="J646" s="156" t="s">
        <v>251</v>
      </c>
      <c r="K646" s="53">
        <v>38028</v>
      </c>
      <c r="L646" s="151">
        <v>4</v>
      </c>
    </row>
    <row r="647" spans="1:12">
      <c r="A647" s="146" t="s">
        <v>479</v>
      </c>
      <c r="B647" s="155">
        <v>2526466230</v>
      </c>
      <c r="C647" s="153">
        <v>37400</v>
      </c>
      <c r="D647" s="51">
        <f t="shared" ca="1" si="20"/>
        <v>14</v>
      </c>
      <c r="E647" s="152" t="str">
        <f t="shared" si="21"/>
        <v>May</v>
      </c>
      <c r="F647" s="146" t="s">
        <v>930</v>
      </c>
      <c r="G647" s="154">
        <v>163350417</v>
      </c>
      <c r="H647" s="146" t="s">
        <v>256</v>
      </c>
      <c r="I647" s="52" t="s">
        <v>262</v>
      </c>
      <c r="J647" s="156" t="s">
        <v>285</v>
      </c>
      <c r="K647" s="53">
        <v>78384</v>
      </c>
      <c r="L647" s="151">
        <v>5</v>
      </c>
    </row>
    <row r="648" spans="1:12">
      <c r="A648" s="146" t="s">
        <v>1030</v>
      </c>
      <c r="B648" s="155">
        <v>2523014821</v>
      </c>
      <c r="C648" s="153">
        <v>40407</v>
      </c>
      <c r="D648" s="51">
        <f t="shared" ca="1" si="20"/>
        <v>6</v>
      </c>
      <c r="E648" s="152" t="str">
        <f t="shared" si="21"/>
        <v>August</v>
      </c>
      <c r="F648" s="146" t="s">
        <v>930</v>
      </c>
      <c r="G648" s="154">
        <v>651999482</v>
      </c>
      <c r="H648" s="146" t="s">
        <v>256</v>
      </c>
      <c r="I648" s="52" t="s">
        <v>257</v>
      </c>
      <c r="J648" s="156" t="s">
        <v>280</v>
      </c>
      <c r="K648" s="53">
        <v>27384</v>
      </c>
      <c r="L648" s="151">
        <v>5</v>
      </c>
    </row>
    <row r="649" spans="1:12">
      <c r="A649" s="146" t="s">
        <v>938</v>
      </c>
      <c r="B649" s="155">
        <v>2526459263</v>
      </c>
      <c r="C649" s="153">
        <v>35865</v>
      </c>
      <c r="D649" s="51">
        <f t="shared" ca="1" si="20"/>
        <v>18</v>
      </c>
      <c r="E649" s="152" t="str">
        <f t="shared" si="21"/>
        <v>March</v>
      </c>
      <c r="F649" s="146" t="s">
        <v>930</v>
      </c>
      <c r="G649" s="154">
        <v>483483618</v>
      </c>
      <c r="H649" s="146" t="s">
        <v>256</v>
      </c>
      <c r="I649" s="52" t="s">
        <v>283</v>
      </c>
      <c r="J649" s="156" t="s">
        <v>285</v>
      </c>
      <c r="K649" s="53">
        <v>40308</v>
      </c>
      <c r="L649" s="151">
        <v>5</v>
      </c>
    </row>
    <row r="650" spans="1:12">
      <c r="A650" s="146" t="s">
        <v>777</v>
      </c>
      <c r="B650" s="155">
        <v>9198399625</v>
      </c>
      <c r="C650" s="153">
        <v>34887</v>
      </c>
      <c r="D650" s="51">
        <f t="shared" ca="1" si="20"/>
        <v>21</v>
      </c>
      <c r="E650" s="152" t="str">
        <f t="shared" si="21"/>
        <v>July</v>
      </c>
      <c r="F650" s="146" t="s">
        <v>930</v>
      </c>
      <c r="G650" s="154">
        <v>426812736</v>
      </c>
      <c r="H650" s="146" t="s">
        <v>247</v>
      </c>
      <c r="I650" s="52"/>
      <c r="J650" s="156" t="s">
        <v>280</v>
      </c>
      <c r="K650" s="53">
        <v>42288</v>
      </c>
      <c r="L650" s="151">
        <v>3</v>
      </c>
    </row>
    <row r="651" spans="1:12">
      <c r="A651" s="146" t="s">
        <v>487</v>
      </c>
      <c r="B651" s="155">
        <v>9194483888</v>
      </c>
      <c r="C651" s="153">
        <v>41264</v>
      </c>
      <c r="D651" s="51">
        <f t="shared" ca="1" si="20"/>
        <v>3</v>
      </c>
      <c r="E651" s="152" t="str">
        <f t="shared" si="21"/>
        <v>December</v>
      </c>
      <c r="F651" s="146" t="s">
        <v>930</v>
      </c>
      <c r="G651" s="154">
        <v>929694686</v>
      </c>
      <c r="H651" s="146" t="s">
        <v>256</v>
      </c>
      <c r="I651" s="52" t="s">
        <v>283</v>
      </c>
      <c r="J651" s="156" t="s">
        <v>266</v>
      </c>
      <c r="K651" s="53">
        <v>84876</v>
      </c>
      <c r="L651" s="151">
        <v>1</v>
      </c>
    </row>
    <row r="652" spans="1:12">
      <c r="A652" s="146" t="s">
        <v>488</v>
      </c>
      <c r="B652" s="155">
        <v>9194557504</v>
      </c>
      <c r="C652" s="153">
        <v>37646</v>
      </c>
      <c r="D652" s="51">
        <f t="shared" ca="1" si="20"/>
        <v>13</v>
      </c>
      <c r="E652" s="152" t="str">
        <f t="shared" si="21"/>
        <v>January</v>
      </c>
      <c r="F652" s="146" t="s">
        <v>930</v>
      </c>
      <c r="G652" s="154">
        <v>879114558</v>
      </c>
      <c r="H652" s="146" t="s">
        <v>261</v>
      </c>
      <c r="I652" s="52" t="s">
        <v>257</v>
      </c>
      <c r="J652" s="156" t="s">
        <v>285</v>
      </c>
      <c r="K652" s="53">
        <v>20646</v>
      </c>
      <c r="L652" s="151">
        <v>5</v>
      </c>
    </row>
    <row r="653" spans="1:12">
      <c r="A653" s="146" t="s">
        <v>1059</v>
      </c>
      <c r="B653" s="155">
        <v>9196965088</v>
      </c>
      <c r="C653" s="153">
        <v>34863</v>
      </c>
      <c r="D653" s="51">
        <f t="shared" ca="1" si="20"/>
        <v>21</v>
      </c>
      <c r="E653" s="152" t="str">
        <f t="shared" si="21"/>
        <v>June</v>
      </c>
      <c r="F653" s="146" t="s">
        <v>930</v>
      </c>
      <c r="G653" s="154">
        <v>641962645</v>
      </c>
      <c r="H653" s="146" t="s">
        <v>247</v>
      </c>
      <c r="I653" s="52"/>
      <c r="J653" s="156" t="s">
        <v>280</v>
      </c>
      <c r="K653" s="53">
        <v>94308</v>
      </c>
      <c r="L653" s="151">
        <v>1</v>
      </c>
    </row>
    <row r="654" spans="1:12">
      <c r="A654" s="146" t="s">
        <v>297</v>
      </c>
      <c r="B654" s="155">
        <v>9193936198</v>
      </c>
      <c r="C654" s="153">
        <v>36194</v>
      </c>
      <c r="D654" s="51">
        <f t="shared" ca="1" si="20"/>
        <v>17</v>
      </c>
      <c r="E654" s="152" t="str">
        <f t="shared" si="21"/>
        <v>February</v>
      </c>
      <c r="F654" s="146" t="s">
        <v>930</v>
      </c>
      <c r="G654" s="154">
        <v>894855096</v>
      </c>
      <c r="H654" s="146" t="s">
        <v>261</v>
      </c>
      <c r="I654" s="52" t="s">
        <v>262</v>
      </c>
      <c r="J654" s="156" t="s">
        <v>285</v>
      </c>
      <c r="K654" s="53">
        <v>45192</v>
      </c>
      <c r="L654" s="151">
        <v>4</v>
      </c>
    </row>
    <row r="655" spans="1:12">
      <c r="A655" s="146" t="s">
        <v>373</v>
      </c>
      <c r="B655" s="155">
        <v>9195797109</v>
      </c>
      <c r="C655" s="153">
        <v>35398</v>
      </c>
      <c r="D655" s="51">
        <f t="shared" ca="1" si="20"/>
        <v>19</v>
      </c>
      <c r="E655" s="152" t="str">
        <f t="shared" si="21"/>
        <v>November</v>
      </c>
      <c r="F655" s="146" t="s">
        <v>930</v>
      </c>
      <c r="G655" s="154">
        <v>855663308</v>
      </c>
      <c r="H655" s="146" t="s">
        <v>256</v>
      </c>
      <c r="I655" s="52" t="s">
        <v>257</v>
      </c>
      <c r="J655" s="156" t="s">
        <v>271</v>
      </c>
      <c r="K655" s="53">
        <v>83412</v>
      </c>
      <c r="L655" s="151">
        <v>5</v>
      </c>
    </row>
    <row r="656" spans="1:12">
      <c r="A656" s="146" t="s">
        <v>501</v>
      </c>
      <c r="B656" s="155">
        <v>9194084456</v>
      </c>
      <c r="C656" s="153">
        <v>41408</v>
      </c>
      <c r="D656" s="51">
        <f t="shared" ca="1" si="20"/>
        <v>3</v>
      </c>
      <c r="E656" s="152" t="str">
        <f t="shared" si="21"/>
        <v>May</v>
      </c>
      <c r="F656" s="146" t="s">
        <v>930</v>
      </c>
      <c r="G656" s="154">
        <v>159594851</v>
      </c>
      <c r="H656" s="146" t="s">
        <v>256</v>
      </c>
      <c r="I656" s="52" t="s">
        <v>276</v>
      </c>
      <c r="J656" s="156" t="s">
        <v>271</v>
      </c>
      <c r="K656" s="53">
        <v>48312</v>
      </c>
      <c r="L656" s="151">
        <v>5</v>
      </c>
    </row>
    <row r="657" spans="1:12">
      <c r="A657" s="146" t="s">
        <v>787</v>
      </c>
      <c r="B657" s="155">
        <v>9191800673</v>
      </c>
      <c r="C657" s="153">
        <v>35553</v>
      </c>
      <c r="D657" s="51">
        <f t="shared" ca="1" si="20"/>
        <v>19</v>
      </c>
      <c r="E657" s="152" t="str">
        <f t="shared" si="21"/>
        <v>May</v>
      </c>
      <c r="F657" s="146" t="s">
        <v>930</v>
      </c>
      <c r="G657" s="154">
        <v>471064761</v>
      </c>
      <c r="H657" s="146" t="s">
        <v>252</v>
      </c>
      <c r="I657" s="52"/>
      <c r="J657" s="156" t="s">
        <v>285</v>
      </c>
      <c r="K657" s="53">
        <v>32333</v>
      </c>
      <c r="L657" s="151">
        <v>4</v>
      </c>
    </row>
    <row r="658" spans="1:12">
      <c r="A658" s="146" t="s">
        <v>754</v>
      </c>
      <c r="B658" s="155">
        <v>9191509619</v>
      </c>
      <c r="C658" s="153">
        <v>34733</v>
      </c>
      <c r="D658" s="51">
        <f t="shared" ca="1" si="20"/>
        <v>21</v>
      </c>
      <c r="E658" s="152" t="str">
        <f t="shared" si="21"/>
        <v>February</v>
      </c>
      <c r="F658" s="146" t="s">
        <v>930</v>
      </c>
      <c r="G658" s="154">
        <v>287476507</v>
      </c>
      <c r="H658" s="146" t="s">
        <v>261</v>
      </c>
      <c r="I658" s="52" t="s">
        <v>257</v>
      </c>
      <c r="J658" s="156" t="s">
        <v>285</v>
      </c>
      <c r="K658" s="53">
        <v>23922</v>
      </c>
      <c r="L658" s="151">
        <v>1</v>
      </c>
    </row>
    <row r="659" spans="1:12">
      <c r="A659" s="146" t="s">
        <v>508</v>
      </c>
      <c r="B659" s="155">
        <v>2524907564</v>
      </c>
      <c r="C659" s="153">
        <v>37827</v>
      </c>
      <c r="D659" s="51">
        <f t="shared" ca="1" si="20"/>
        <v>13</v>
      </c>
      <c r="E659" s="152" t="str">
        <f t="shared" si="21"/>
        <v>July</v>
      </c>
      <c r="F659" s="146" t="s">
        <v>930</v>
      </c>
      <c r="G659" s="154">
        <v>916944119</v>
      </c>
      <c r="H659" s="146" t="s">
        <v>247</v>
      </c>
      <c r="I659" s="52"/>
      <c r="J659" s="156" t="s">
        <v>271</v>
      </c>
      <c r="K659" s="53">
        <v>33924</v>
      </c>
      <c r="L659" s="151">
        <v>5</v>
      </c>
    </row>
    <row r="660" spans="1:12">
      <c r="A660" s="146" t="s">
        <v>509</v>
      </c>
      <c r="B660" s="155">
        <v>9192683895</v>
      </c>
      <c r="C660" s="153">
        <v>34534</v>
      </c>
      <c r="D660" s="51">
        <f t="shared" ca="1" si="20"/>
        <v>22</v>
      </c>
      <c r="E660" s="152" t="str">
        <f t="shared" si="21"/>
        <v>July</v>
      </c>
      <c r="F660" s="146" t="s">
        <v>930</v>
      </c>
      <c r="G660" s="154">
        <v>693214759</v>
      </c>
      <c r="H660" s="146" t="s">
        <v>256</v>
      </c>
      <c r="I660" s="52" t="s">
        <v>262</v>
      </c>
      <c r="J660" s="156" t="s">
        <v>271</v>
      </c>
      <c r="K660" s="53">
        <v>75336</v>
      </c>
      <c r="L660" s="151">
        <v>3</v>
      </c>
    </row>
    <row r="661" spans="1:12">
      <c r="A661" s="146" t="s">
        <v>298</v>
      </c>
      <c r="B661" s="155">
        <v>2525604891</v>
      </c>
      <c r="C661" s="153">
        <v>40963</v>
      </c>
      <c r="D661" s="51">
        <f t="shared" ca="1" si="20"/>
        <v>4</v>
      </c>
      <c r="E661" s="152" t="str">
        <f t="shared" si="21"/>
        <v>February</v>
      </c>
      <c r="F661" s="146" t="s">
        <v>930</v>
      </c>
      <c r="G661" s="154">
        <v>794814501</v>
      </c>
      <c r="H661" s="146" t="s">
        <v>247</v>
      </c>
      <c r="I661" s="52"/>
      <c r="J661" s="156" t="s">
        <v>285</v>
      </c>
      <c r="K661" s="53">
        <v>96875</v>
      </c>
      <c r="L661" s="151">
        <v>3</v>
      </c>
    </row>
    <row r="662" spans="1:12">
      <c r="A662" s="146" t="s">
        <v>395</v>
      </c>
      <c r="B662" s="155">
        <v>2522552565</v>
      </c>
      <c r="C662" s="153">
        <v>35975</v>
      </c>
      <c r="D662" s="51">
        <f t="shared" ca="1" si="20"/>
        <v>18</v>
      </c>
      <c r="E662" s="152" t="str">
        <f t="shared" si="21"/>
        <v>June</v>
      </c>
      <c r="F662" s="146" t="s">
        <v>930</v>
      </c>
      <c r="G662" s="154">
        <v>101829876</v>
      </c>
      <c r="H662" s="146" t="s">
        <v>252</v>
      </c>
      <c r="I662" s="52"/>
      <c r="J662" s="156" t="s">
        <v>285</v>
      </c>
      <c r="K662" s="53">
        <v>40502</v>
      </c>
      <c r="L662" s="151">
        <v>3</v>
      </c>
    </row>
    <row r="663" spans="1:12">
      <c r="A663" s="146" t="s">
        <v>517</v>
      </c>
      <c r="B663" s="155">
        <v>2525402828</v>
      </c>
      <c r="C663" s="153">
        <v>37737</v>
      </c>
      <c r="D663" s="51">
        <f t="shared" ca="1" si="20"/>
        <v>13</v>
      </c>
      <c r="E663" s="152" t="str">
        <f t="shared" si="21"/>
        <v>April</v>
      </c>
      <c r="F663" s="146" t="s">
        <v>930</v>
      </c>
      <c r="G663" s="154">
        <v>759471070</v>
      </c>
      <c r="H663" s="146" t="s">
        <v>256</v>
      </c>
      <c r="I663" s="52" t="s">
        <v>283</v>
      </c>
      <c r="J663" s="156" t="s">
        <v>251</v>
      </c>
      <c r="K663" s="53">
        <v>94452</v>
      </c>
      <c r="L663" s="151">
        <v>2</v>
      </c>
    </row>
    <row r="664" spans="1:12">
      <c r="A664" s="146" t="s">
        <v>427</v>
      </c>
      <c r="B664" s="155">
        <v>9194375399</v>
      </c>
      <c r="C664" s="153">
        <v>37869</v>
      </c>
      <c r="D664" s="51">
        <f t="shared" ca="1" si="20"/>
        <v>13</v>
      </c>
      <c r="E664" s="152" t="str">
        <f t="shared" si="21"/>
        <v>September</v>
      </c>
      <c r="F664" s="146" t="s">
        <v>930</v>
      </c>
      <c r="G664" s="154">
        <v>971128623</v>
      </c>
      <c r="H664" s="146" t="s">
        <v>247</v>
      </c>
      <c r="I664" s="52"/>
      <c r="J664" s="156" t="s">
        <v>266</v>
      </c>
      <c r="K664" s="53">
        <v>30636</v>
      </c>
      <c r="L664" s="151">
        <v>3</v>
      </c>
    </row>
    <row r="665" spans="1:12">
      <c r="A665" s="146" t="s">
        <v>520</v>
      </c>
      <c r="B665" s="155">
        <v>2525459665</v>
      </c>
      <c r="C665" s="153">
        <v>35262</v>
      </c>
      <c r="D665" s="51">
        <f t="shared" ca="1" si="20"/>
        <v>20</v>
      </c>
      <c r="E665" s="152" t="str">
        <f t="shared" si="21"/>
        <v>July</v>
      </c>
      <c r="F665" s="146" t="s">
        <v>930</v>
      </c>
      <c r="G665" s="154">
        <v>324069262</v>
      </c>
      <c r="H665" s="146" t="s">
        <v>247</v>
      </c>
      <c r="I665" s="52"/>
      <c r="J665" s="156" t="s">
        <v>285</v>
      </c>
      <c r="K665" s="53">
        <v>54126</v>
      </c>
      <c r="L665" s="151">
        <v>1</v>
      </c>
    </row>
    <row r="666" spans="1:12">
      <c r="A666" s="146" t="s">
        <v>953</v>
      </c>
      <c r="B666" s="155">
        <v>9192042331</v>
      </c>
      <c r="C666" s="153">
        <v>34223</v>
      </c>
      <c r="D666" s="51">
        <f t="shared" ca="1" si="20"/>
        <v>23</v>
      </c>
      <c r="E666" s="152" t="str">
        <f t="shared" si="21"/>
        <v>September</v>
      </c>
      <c r="F666" s="146" t="s">
        <v>930</v>
      </c>
      <c r="G666" s="154">
        <v>970466937</v>
      </c>
      <c r="H666" s="146" t="s">
        <v>247</v>
      </c>
      <c r="I666" s="52"/>
      <c r="J666" s="156" t="s">
        <v>285</v>
      </c>
      <c r="K666" s="53">
        <v>74976</v>
      </c>
      <c r="L666" s="151">
        <v>5</v>
      </c>
    </row>
    <row r="667" spans="1:12">
      <c r="A667" s="146" t="s">
        <v>954</v>
      </c>
      <c r="B667" s="155">
        <v>9193441810</v>
      </c>
      <c r="C667" s="153">
        <v>34705</v>
      </c>
      <c r="D667" s="51">
        <f t="shared" ca="1" si="20"/>
        <v>21</v>
      </c>
      <c r="E667" s="152" t="str">
        <f t="shared" si="21"/>
        <v>January</v>
      </c>
      <c r="F667" s="146" t="s">
        <v>930</v>
      </c>
      <c r="G667" s="154">
        <v>317749924</v>
      </c>
      <c r="H667" s="146" t="s">
        <v>247</v>
      </c>
      <c r="I667" s="52"/>
      <c r="J667" s="156" t="s">
        <v>271</v>
      </c>
      <c r="K667" s="53">
        <v>75948</v>
      </c>
      <c r="L667" s="151">
        <v>5</v>
      </c>
    </row>
    <row r="668" spans="1:12">
      <c r="A668" s="146" t="s">
        <v>521</v>
      </c>
      <c r="B668" s="155">
        <v>2526860208</v>
      </c>
      <c r="C668" s="153">
        <v>37695</v>
      </c>
      <c r="D668" s="51">
        <f t="shared" ca="1" si="20"/>
        <v>13</v>
      </c>
      <c r="E668" s="152" t="str">
        <f t="shared" si="21"/>
        <v>March</v>
      </c>
      <c r="F668" s="146" t="s">
        <v>930</v>
      </c>
      <c r="G668" s="154">
        <v>212558012</v>
      </c>
      <c r="H668" s="146" t="s">
        <v>256</v>
      </c>
      <c r="I668" s="52" t="s">
        <v>257</v>
      </c>
      <c r="J668" s="156" t="s">
        <v>285</v>
      </c>
      <c r="K668" s="53">
        <v>75672</v>
      </c>
      <c r="L668" s="151">
        <v>4</v>
      </c>
    </row>
    <row r="669" spans="1:12">
      <c r="A669" s="146" t="s">
        <v>719</v>
      </c>
      <c r="B669" s="155">
        <v>2528012440</v>
      </c>
      <c r="C669" s="153">
        <v>36921</v>
      </c>
      <c r="D669" s="51">
        <f t="shared" ca="1" si="20"/>
        <v>15</v>
      </c>
      <c r="E669" s="152" t="str">
        <f t="shared" si="21"/>
        <v>January</v>
      </c>
      <c r="F669" s="146" t="s">
        <v>930</v>
      </c>
      <c r="G669" s="154">
        <v>247422007</v>
      </c>
      <c r="H669" s="146" t="s">
        <v>247</v>
      </c>
      <c r="I669" s="52"/>
      <c r="J669" s="156" t="s">
        <v>245</v>
      </c>
      <c r="K669" s="53">
        <v>69900</v>
      </c>
      <c r="L669" s="151">
        <v>2</v>
      </c>
    </row>
    <row r="670" spans="1:12">
      <c r="A670" s="146" t="s">
        <v>413</v>
      </c>
      <c r="B670" s="155">
        <v>2526391402</v>
      </c>
      <c r="C670" s="153">
        <v>34868</v>
      </c>
      <c r="D670" s="51">
        <f t="shared" ca="1" si="20"/>
        <v>21</v>
      </c>
      <c r="E670" s="152" t="str">
        <f t="shared" si="21"/>
        <v>June</v>
      </c>
      <c r="F670" s="146" t="s">
        <v>930</v>
      </c>
      <c r="G670" s="154">
        <v>891224981</v>
      </c>
      <c r="H670" s="146" t="s">
        <v>261</v>
      </c>
      <c r="I670" s="52" t="s">
        <v>276</v>
      </c>
      <c r="J670" s="156" t="s">
        <v>285</v>
      </c>
      <c r="K670" s="53">
        <v>13476</v>
      </c>
      <c r="L670" s="151">
        <v>4</v>
      </c>
    </row>
    <row r="671" spans="1:12">
      <c r="A671" s="146" t="s">
        <v>960</v>
      </c>
      <c r="B671" s="155">
        <v>9192259651</v>
      </c>
      <c r="C671" s="153">
        <v>37571</v>
      </c>
      <c r="D671" s="51">
        <f t="shared" ca="1" si="20"/>
        <v>13</v>
      </c>
      <c r="E671" s="152" t="str">
        <f t="shared" si="21"/>
        <v>November</v>
      </c>
      <c r="F671" s="146" t="s">
        <v>930</v>
      </c>
      <c r="G671" s="154">
        <v>635240617</v>
      </c>
      <c r="H671" s="146" t="s">
        <v>256</v>
      </c>
      <c r="I671" s="52" t="s">
        <v>283</v>
      </c>
      <c r="J671" s="156" t="s">
        <v>251</v>
      </c>
      <c r="K671" s="53">
        <v>57156</v>
      </c>
      <c r="L671" s="151">
        <v>3</v>
      </c>
    </row>
    <row r="672" spans="1:12">
      <c r="A672" s="146" t="s">
        <v>428</v>
      </c>
      <c r="B672" s="155">
        <v>2525399385</v>
      </c>
      <c r="C672" s="153">
        <v>39166</v>
      </c>
      <c r="D672" s="51">
        <f t="shared" ca="1" si="20"/>
        <v>9</v>
      </c>
      <c r="E672" s="152" t="str">
        <f t="shared" si="21"/>
        <v>March</v>
      </c>
      <c r="F672" s="146" t="s">
        <v>930</v>
      </c>
      <c r="G672" s="154">
        <v>723066626</v>
      </c>
      <c r="H672" s="146" t="s">
        <v>247</v>
      </c>
      <c r="I672" s="52"/>
      <c r="J672" s="156" t="s">
        <v>280</v>
      </c>
      <c r="K672" s="53">
        <v>39456</v>
      </c>
      <c r="L672" s="151">
        <v>3</v>
      </c>
    </row>
    <row r="673" spans="1:12">
      <c r="A673" s="146" t="s">
        <v>721</v>
      </c>
      <c r="B673" s="155">
        <v>9197446192</v>
      </c>
      <c r="C673" s="153">
        <v>40746</v>
      </c>
      <c r="D673" s="51">
        <f t="shared" ca="1" si="20"/>
        <v>5</v>
      </c>
      <c r="E673" s="152" t="str">
        <f t="shared" si="21"/>
        <v>July</v>
      </c>
      <c r="F673" s="146" t="s">
        <v>930</v>
      </c>
      <c r="G673" s="154">
        <v>964255290</v>
      </c>
      <c r="H673" s="146" t="s">
        <v>256</v>
      </c>
      <c r="I673" s="52" t="s">
        <v>283</v>
      </c>
      <c r="J673" s="156" t="s">
        <v>271</v>
      </c>
      <c r="K673" s="53">
        <v>41988</v>
      </c>
      <c r="L673" s="151">
        <v>3</v>
      </c>
    </row>
    <row r="674" spans="1:12">
      <c r="A674" s="146" t="s">
        <v>883</v>
      </c>
      <c r="B674" s="155">
        <v>9198631557</v>
      </c>
      <c r="C674" s="153">
        <v>40263</v>
      </c>
      <c r="D674" s="51">
        <f t="shared" ca="1" si="20"/>
        <v>6</v>
      </c>
      <c r="E674" s="152" t="str">
        <f t="shared" si="21"/>
        <v>March</v>
      </c>
      <c r="F674" s="146" t="s">
        <v>930</v>
      </c>
      <c r="G674" s="154">
        <v>843299208</v>
      </c>
      <c r="H674" s="146" t="s">
        <v>261</v>
      </c>
      <c r="I674" s="52" t="s">
        <v>276</v>
      </c>
      <c r="J674" s="156" t="s">
        <v>280</v>
      </c>
      <c r="K674" s="53">
        <v>58896</v>
      </c>
      <c r="L674" s="151">
        <v>5</v>
      </c>
    </row>
    <row r="675" spans="1:12">
      <c r="A675" s="146" t="s">
        <v>884</v>
      </c>
      <c r="B675" s="155">
        <v>9195060466</v>
      </c>
      <c r="C675" s="153">
        <v>36504</v>
      </c>
      <c r="D675" s="51">
        <f t="shared" ca="1" si="20"/>
        <v>16</v>
      </c>
      <c r="E675" s="152" t="str">
        <f t="shared" si="21"/>
        <v>December</v>
      </c>
      <c r="F675" s="146" t="s">
        <v>930</v>
      </c>
      <c r="G675" s="154">
        <v>941937371</v>
      </c>
      <c r="H675" s="146" t="s">
        <v>256</v>
      </c>
      <c r="I675" s="52" t="s">
        <v>257</v>
      </c>
      <c r="J675" s="156" t="s">
        <v>266</v>
      </c>
      <c r="K675" s="53">
        <v>103584</v>
      </c>
      <c r="L675" s="151">
        <v>4</v>
      </c>
    </row>
    <row r="676" spans="1:12">
      <c r="A676" s="146" t="s">
        <v>526</v>
      </c>
      <c r="B676" s="155">
        <v>2525202015</v>
      </c>
      <c r="C676" s="153">
        <v>41291</v>
      </c>
      <c r="D676" s="51">
        <f t="shared" ca="1" si="20"/>
        <v>3</v>
      </c>
      <c r="E676" s="152" t="str">
        <f t="shared" si="21"/>
        <v>January</v>
      </c>
      <c r="F676" s="146" t="s">
        <v>930</v>
      </c>
      <c r="G676" s="154">
        <v>151532569</v>
      </c>
      <c r="H676" s="146" t="s">
        <v>247</v>
      </c>
      <c r="I676" s="52"/>
      <c r="J676" s="156" t="s">
        <v>285</v>
      </c>
      <c r="K676" s="53">
        <v>66612</v>
      </c>
      <c r="L676" s="151">
        <v>3</v>
      </c>
    </row>
    <row r="677" spans="1:12">
      <c r="A677" s="146" t="s">
        <v>725</v>
      </c>
      <c r="B677" s="155">
        <v>9192729524</v>
      </c>
      <c r="C677" s="153">
        <v>41408</v>
      </c>
      <c r="D677" s="51">
        <f t="shared" ca="1" si="20"/>
        <v>3</v>
      </c>
      <c r="E677" s="152" t="str">
        <f t="shared" si="21"/>
        <v>May</v>
      </c>
      <c r="F677" s="146" t="s">
        <v>930</v>
      </c>
      <c r="G677" s="154">
        <v>308317457</v>
      </c>
      <c r="H677" s="146" t="s">
        <v>256</v>
      </c>
      <c r="I677" s="52" t="s">
        <v>257</v>
      </c>
      <c r="J677" s="156" t="s">
        <v>271</v>
      </c>
      <c r="K677" s="53">
        <v>27636</v>
      </c>
      <c r="L677" s="151">
        <v>4</v>
      </c>
    </row>
    <row r="678" spans="1:12">
      <c r="A678" s="146" t="s">
        <v>810</v>
      </c>
      <c r="B678" s="155">
        <v>2528238755</v>
      </c>
      <c r="C678" s="153">
        <v>33921</v>
      </c>
      <c r="D678" s="51">
        <f t="shared" ca="1" si="20"/>
        <v>23</v>
      </c>
      <c r="E678" s="152" t="str">
        <f t="shared" si="21"/>
        <v>November</v>
      </c>
      <c r="F678" s="146" t="s">
        <v>930</v>
      </c>
      <c r="G678" s="154">
        <v>918436287</v>
      </c>
      <c r="H678" s="146" t="s">
        <v>247</v>
      </c>
      <c r="I678" s="52"/>
      <c r="J678" s="156" t="s">
        <v>271</v>
      </c>
      <c r="K678" s="53">
        <v>76332</v>
      </c>
      <c r="L678" s="151">
        <v>5</v>
      </c>
    </row>
    <row r="679" spans="1:12">
      <c r="A679" s="146" t="s">
        <v>643</v>
      </c>
      <c r="B679" s="155">
        <v>9198443818</v>
      </c>
      <c r="C679" s="153">
        <v>34548</v>
      </c>
      <c r="D679" s="51">
        <f t="shared" ca="1" si="20"/>
        <v>22</v>
      </c>
      <c r="E679" s="152" t="str">
        <f t="shared" si="21"/>
        <v>August</v>
      </c>
      <c r="F679" s="146" t="s">
        <v>930</v>
      </c>
      <c r="G679" s="154">
        <v>610340294</v>
      </c>
      <c r="H679" s="146" t="s">
        <v>247</v>
      </c>
      <c r="I679" s="52"/>
      <c r="J679" s="156" t="s">
        <v>245</v>
      </c>
      <c r="K679" s="53">
        <v>84360</v>
      </c>
      <c r="L679" s="151">
        <v>3</v>
      </c>
    </row>
    <row r="680" spans="1:12">
      <c r="A680" s="146" t="s">
        <v>812</v>
      </c>
      <c r="B680" s="155">
        <v>2526026842</v>
      </c>
      <c r="C680" s="153">
        <v>35451</v>
      </c>
      <c r="D680" s="51">
        <f t="shared" ca="1" si="20"/>
        <v>19</v>
      </c>
      <c r="E680" s="152" t="str">
        <f t="shared" si="21"/>
        <v>January</v>
      </c>
      <c r="F680" s="146" t="s">
        <v>930</v>
      </c>
      <c r="G680" s="154">
        <v>375875723</v>
      </c>
      <c r="H680" s="146" t="s">
        <v>247</v>
      </c>
      <c r="I680" s="52"/>
      <c r="J680" s="156" t="s">
        <v>271</v>
      </c>
      <c r="K680" s="53">
        <v>77116</v>
      </c>
      <c r="L680" s="151">
        <v>3</v>
      </c>
    </row>
    <row r="681" spans="1:12">
      <c r="A681" s="146" t="s">
        <v>645</v>
      </c>
      <c r="B681" s="155">
        <v>2526718651</v>
      </c>
      <c r="C681" s="153">
        <v>41365</v>
      </c>
      <c r="D681" s="51">
        <f t="shared" ca="1" si="20"/>
        <v>3</v>
      </c>
      <c r="E681" s="152" t="str">
        <f t="shared" si="21"/>
        <v>April</v>
      </c>
      <c r="F681" s="146" t="s">
        <v>930</v>
      </c>
      <c r="G681" s="154">
        <v>671823263</v>
      </c>
      <c r="H681" s="146" t="s">
        <v>256</v>
      </c>
      <c r="I681" s="52" t="s">
        <v>257</v>
      </c>
      <c r="J681" s="156" t="s">
        <v>271</v>
      </c>
      <c r="K681" s="53">
        <v>103968</v>
      </c>
      <c r="L681" s="151">
        <v>3</v>
      </c>
    </row>
    <row r="682" spans="1:12">
      <c r="A682" s="146" t="s">
        <v>536</v>
      </c>
      <c r="B682" s="155">
        <v>9196648050</v>
      </c>
      <c r="C682" s="153">
        <v>36066</v>
      </c>
      <c r="D682" s="51">
        <f t="shared" ca="1" si="20"/>
        <v>18</v>
      </c>
      <c r="E682" s="152" t="str">
        <f t="shared" si="21"/>
        <v>September</v>
      </c>
      <c r="F682" s="146" t="s">
        <v>930</v>
      </c>
      <c r="G682" s="154">
        <v>733358713</v>
      </c>
      <c r="H682" s="146" t="s">
        <v>247</v>
      </c>
      <c r="I682" s="52"/>
      <c r="J682" s="156" t="s">
        <v>280</v>
      </c>
      <c r="K682" s="53">
        <v>105396</v>
      </c>
      <c r="L682" s="151">
        <v>2</v>
      </c>
    </row>
    <row r="683" spans="1:12">
      <c r="A683" s="146" t="s">
        <v>815</v>
      </c>
      <c r="B683" s="155">
        <v>2524877123</v>
      </c>
      <c r="C683" s="153">
        <v>35014</v>
      </c>
      <c r="D683" s="51">
        <f t="shared" ca="1" si="20"/>
        <v>20</v>
      </c>
      <c r="E683" s="152" t="str">
        <f t="shared" si="21"/>
        <v>November</v>
      </c>
      <c r="F683" s="146" t="s">
        <v>930</v>
      </c>
      <c r="G683" s="154">
        <v>892040187</v>
      </c>
      <c r="H683" s="146" t="s">
        <v>256</v>
      </c>
      <c r="I683" s="52" t="s">
        <v>283</v>
      </c>
      <c r="J683" s="156" t="s">
        <v>285</v>
      </c>
      <c r="K683" s="53">
        <v>104664</v>
      </c>
      <c r="L683" s="151">
        <v>1</v>
      </c>
    </row>
    <row r="684" spans="1:12">
      <c r="A684" s="146" t="s">
        <v>540</v>
      </c>
      <c r="B684" s="155">
        <v>2521202348</v>
      </c>
      <c r="C684" s="153">
        <v>36025</v>
      </c>
      <c r="D684" s="51">
        <f t="shared" ca="1" si="20"/>
        <v>18</v>
      </c>
      <c r="E684" s="152" t="str">
        <f t="shared" si="21"/>
        <v>August</v>
      </c>
      <c r="F684" s="146" t="s">
        <v>930</v>
      </c>
      <c r="G684" s="154">
        <v>758001890</v>
      </c>
      <c r="H684" s="146" t="s">
        <v>261</v>
      </c>
      <c r="I684" s="52" t="s">
        <v>283</v>
      </c>
      <c r="J684" s="156" t="s">
        <v>266</v>
      </c>
      <c r="K684" s="53">
        <v>45726</v>
      </c>
      <c r="L684" s="151">
        <v>2</v>
      </c>
    </row>
    <row r="685" spans="1:12">
      <c r="A685" s="146" t="s">
        <v>981</v>
      </c>
      <c r="B685" s="155">
        <v>2522749909</v>
      </c>
      <c r="C685" s="153">
        <v>37093</v>
      </c>
      <c r="D685" s="51">
        <f t="shared" ca="1" si="20"/>
        <v>15</v>
      </c>
      <c r="E685" s="152" t="str">
        <f t="shared" si="21"/>
        <v>July</v>
      </c>
      <c r="F685" s="146" t="s">
        <v>930</v>
      </c>
      <c r="G685" s="154">
        <v>900160539</v>
      </c>
      <c r="H685" s="146" t="s">
        <v>261</v>
      </c>
      <c r="I685" s="52" t="s">
        <v>267</v>
      </c>
      <c r="J685" s="156" t="s">
        <v>251</v>
      </c>
      <c r="K685" s="53">
        <v>23790</v>
      </c>
      <c r="L685" s="151">
        <v>2</v>
      </c>
    </row>
    <row r="686" spans="1:12">
      <c r="A686" s="146" t="s">
        <v>982</v>
      </c>
      <c r="B686" s="155">
        <v>2521277028</v>
      </c>
      <c r="C686" s="153">
        <v>33872</v>
      </c>
      <c r="D686" s="51">
        <f t="shared" ca="1" si="20"/>
        <v>24</v>
      </c>
      <c r="E686" s="152" t="str">
        <f t="shared" si="21"/>
        <v>September</v>
      </c>
      <c r="F686" s="146" t="s">
        <v>930</v>
      </c>
      <c r="G686" s="154">
        <v>904497673</v>
      </c>
      <c r="H686" s="146" t="s">
        <v>247</v>
      </c>
      <c r="I686" s="52"/>
      <c r="J686" s="156" t="s">
        <v>285</v>
      </c>
      <c r="K686" s="53">
        <v>28008</v>
      </c>
      <c r="L686" s="151">
        <v>4</v>
      </c>
    </row>
    <row r="687" spans="1:12">
      <c r="A687" s="146" t="s">
        <v>541</v>
      </c>
      <c r="B687" s="155">
        <v>9196999991</v>
      </c>
      <c r="C687" s="153">
        <v>36092</v>
      </c>
      <c r="D687" s="51">
        <f t="shared" ca="1" si="20"/>
        <v>18</v>
      </c>
      <c r="E687" s="152" t="str">
        <f t="shared" si="21"/>
        <v>October</v>
      </c>
      <c r="F687" s="146" t="s">
        <v>930</v>
      </c>
      <c r="G687" s="154">
        <v>793256568</v>
      </c>
      <c r="H687" s="146" t="s">
        <v>256</v>
      </c>
      <c r="I687" s="52" t="s">
        <v>257</v>
      </c>
      <c r="J687" s="156" t="s">
        <v>271</v>
      </c>
      <c r="K687" s="53">
        <v>32556</v>
      </c>
      <c r="L687" s="151">
        <v>5</v>
      </c>
    </row>
    <row r="688" spans="1:12">
      <c r="A688" s="146" t="s">
        <v>983</v>
      </c>
      <c r="B688" s="155">
        <v>2527091949</v>
      </c>
      <c r="C688" s="153">
        <v>38538</v>
      </c>
      <c r="D688" s="51">
        <f t="shared" ca="1" si="20"/>
        <v>11</v>
      </c>
      <c r="E688" s="152" t="str">
        <f t="shared" si="21"/>
        <v>July</v>
      </c>
      <c r="F688" s="146" t="s">
        <v>930</v>
      </c>
      <c r="G688" s="154">
        <v>177324163</v>
      </c>
      <c r="H688" s="146" t="s">
        <v>256</v>
      </c>
      <c r="I688" s="52" t="s">
        <v>283</v>
      </c>
      <c r="J688" s="156" t="s">
        <v>285</v>
      </c>
      <c r="K688" s="53">
        <v>57612</v>
      </c>
      <c r="L688" s="151">
        <v>3</v>
      </c>
    </row>
    <row r="689" spans="1:12">
      <c r="A689" s="146" t="s">
        <v>435</v>
      </c>
      <c r="B689" s="155">
        <v>2525717431</v>
      </c>
      <c r="C689" s="153">
        <v>34234</v>
      </c>
      <c r="D689" s="51">
        <f t="shared" ca="1" si="20"/>
        <v>23</v>
      </c>
      <c r="E689" s="152" t="str">
        <f t="shared" si="21"/>
        <v>September</v>
      </c>
      <c r="F689" s="146" t="s">
        <v>930</v>
      </c>
      <c r="G689" s="154">
        <v>111616346</v>
      </c>
      <c r="H689" s="146" t="s">
        <v>247</v>
      </c>
      <c r="I689" s="52"/>
      <c r="J689" s="156" t="s">
        <v>271</v>
      </c>
      <c r="K689" s="53">
        <v>73361</v>
      </c>
      <c r="L689" s="151">
        <v>4</v>
      </c>
    </row>
    <row r="690" spans="1:12">
      <c r="A690" s="146" t="s">
        <v>399</v>
      </c>
      <c r="B690" s="155">
        <v>9192913490</v>
      </c>
      <c r="C690" s="153">
        <v>34649</v>
      </c>
      <c r="D690" s="51">
        <f t="shared" ca="1" si="20"/>
        <v>21</v>
      </c>
      <c r="E690" s="152" t="str">
        <f t="shared" si="21"/>
        <v>November</v>
      </c>
      <c r="F690" s="146" t="s">
        <v>930</v>
      </c>
      <c r="G690" s="154">
        <v>616055292</v>
      </c>
      <c r="H690" s="146" t="s">
        <v>256</v>
      </c>
      <c r="I690" s="52" t="s">
        <v>267</v>
      </c>
      <c r="J690" s="156" t="s">
        <v>266</v>
      </c>
      <c r="K690" s="53">
        <v>38592</v>
      </c>
      <c r="L690" s="151">
        <v>3</v>
      </c>
    </row>
    <row r="691" spans="1:12">
      <c r="A691" s="146" t="s">
        <v>339</v>
      </c>
      <c r="B691" s="155">
        <v>2525821616</v>
      </c>
      <c r="C691" s="153">
        <v>37684</v>
      </c>
      <c r="D691" s="51">
        <f t="shared" ca="1" si="20"/>
        <v>13</v>
      </c>
      <c r="E691" s="152" t="str">
        <f t="shared" si="21"/>
        <v>March</v>
      </c>
      <c r="F691" s="146" t="s">
        <v>930</v>
      </c>
      <c r="G691" s="154">
        <v>800685434</v>
      </c>
      <c r="H691" s="146" t="s">
        <v>256</v>
      </c>
      <c r="I691" s="52" t="s">
        <v>276</v>
      </c>
      <c r="J691" s="156" t="s">
        <v>285</v>
      </c>
      <c r="K691" s="53">
        <v>59916</v>
      </c>
      <c r="L691" s="151">
        <v>1</v>
      </c>
    </row>
    <row r="692" spans="1:12">
      <c r="A692" s="146" t="s">
        <v>986</v>
      </c>
      <c r="B692" s="155">
        <v>9198405552</v>
      </c>
      <c r="C692" s="153">
        <v>40330</v>
      </c>
      <c r="D692" s="51">
        <f t="shared" ca="1" si="20"/>
        <v>6</v>
      </c>
      <c r="E692" s="152" t="str">
        <f t="shared" si="21"/>
        <v>June</v>
      </c>
      <c r="F692" s="146" t="s">
        <v>930</v>
      </c>
      <c r="G692" s="154">
        <v>210491464</v>
      </c>
      <c r="H692" s="146" t="s">
        <v>256</v>
      </c>
      <c r="I692" s="52" t="s">
        <v>257</v>
      </c>
      <c r="J692" s="156" t="s">
        <v>245</v>
      </c>
      <c r="K692" s="53">
        <v>95256</v>
      </c>
      <c r="L692" s="151">
        <v>5</v>
      </c>
    </row>
    <row r="693" spans="1:12">
      <c r="A693" s="146" t="s">
        <v>901</v>
      </c>
      <c r="B693" s="155">
        <v>2526129939</v>
      </c>
      <c r="C693" s="153">
        <v>37277</v>
      </c>
      <c r="D693" s="51">
        <f t="shared" ca="1" si="20"/>
        <v>14</v>
      </c>
      <c r="E693" s="152" t="str">
        <f t="shared" si="21"/>
        <v>January</v>
      </c>
      <c r="F693" s="146" t="s">
        <v>930</v>
      </c>
      <c r="G693" s="154">
        <v>380304349</v>
      </c>
      <c r="H693" s="146" t="s">
        <v>256</v>
      </c>
      <c r="I693" s="52" t="s">
        <v>283</v>
      </c>
      <c r="J693" s="156" t="s">
        <v>285</v>
      </c>
      <c r="K693" s="53">
        <v>42552</v>
      </c>
      <c r="L693" s="151">
        <v>1</v>
      </c>
    </row>
    <row r="694" spans="1:12">
      <c r="A694" s="146" t="s">
        <v>549</v>
      </c>
      <c r="B694" s="155">
        <v>2528566597</v>
      </c>
      <c r="C694" s="153">
        <v>36246</v>
      </c>
      <c r="D694" s="51">
        <f t="shared" ca="1" si="20"/>
        <v>17</v>
      </c>
      <c r="E694" s="152" t="str">
        <f t="shared" si="21"/>
        <v>March</v>
      </c>
      <c r="F694" s="146" t="s">
        <v>930</v>
      </c>
      <c r="G694" s="154">
        <v>262585858</v>
      </c>
      <c r="H694" s="146" t="s">
        <v>261</v>
      </c>
      <c r="I694" s="52" t="s">
        <v>262</v>
      </c>
      <c r="J694" s="156" t="s">
        <v>245</v>
      </c>
      <c r="K694" s="53">
        <v>16428</v>
      </c>
      <c r="L694" s="151">
        <v>5</v>
      </c>
    </row>
    <row r="695" spans="1:12">
      <c r="A695" s="146" t="s">
        <v>701</v>
      </c>
      <c r="B695" s="155">
        <v>9195621928</v>
      </c>
      <c r="C695" s="153">
        <v>34685</v>
      </c>
      <c r="D695" s="51">
        <f t="shared" ca="1" si="20"/>
        <v>21</v>
      </c>
      <c r="E695" s="152" t="str">
        <f t="shared" si="21"/>
        <v>December</v>
      </c>
      <c r="F695" s="146" t="s">
        <v>930</v>
      </c>
      <c r="G695" s="154">
        <v>595022550</v>
      </c>
      <c r="H695" s="146" t="s">
        <v>256</v>
      </c>
      <c r="I695" s="52" t="s">
        <v>262</v>
      </c>
      <c r="J695" s="156" t="s">
        <v>271</v>
      </c>
      <c r="K695" s="53">
        <v>71388</v>
      </c>
      <c r="L695" s="151">
        <v>3</v>
      </c>
    </row>
    <row r="696" spans="1:12">
      <c r="A696" s="146" t="s">
        <v>402</v>
      </c>
      <c r="B696" s="155">
        <v>2528249735</v>
      </c>
      <c r="C696" s="153">
        <v>36004</v>
      </c>
      <c r="D696" s="51">
        <f t="shared" ca="1" si="20"/>
        <v>18</v>
      </c>
      <c r="E696" s="152" t="str">
        <f t="shared" si="21"/>
        <v>July</v>
      </c>
      <c r="F696" s="146" t="s">
        <v>930</v>
      </c>
      <c r="G696" s="154">
        <v>627494412</v>
      </c>
      <c r="H696" s="146" t="s">
        <v>256</v>
      </c>
      <c r="I696" s="52" t="s">
        <v>257</v>
      </c>
      <c r="J696" s="156" t="s">
        <v>285</v>
      </c>
      <c r="K696" s="53">
        <v>70044</v>
      </c>
      <c r="L696" s="151">
        <v>5</v>
      </c>
    </row>
    <row r="697" spans="1:12">
      <c r="A697" s="146" t="s">
        <v>693</v>
      </c>
      <c r="B697" s="155">
        <v>2522400087</v>
      </c>
      <c r="C697" s="153">
        <v>41251</v>
      </c>
      <c r="D697" s="51">
        <f t="shared" ca="1" si="20"/>
        <v>3</v>
      </c>
      <c r="E697" s="152" t="str">
        <f t="shared" si="21"/>
        <v>December</v>
      </c>
      <c r="F697" s="146" t="s">
        <v>930</v>
      </c>
      <c r="G697" s="154">
        <v>717503282</v>
      </c>
      <c r="H697" s="146" t="s">
        <v>247</v>
      </c>
      <c r="I697" s="52"/>
      <c r="J697" s="156" t="s">
        <v>285</v>
      </c>
      <c r="K697" s="53">
        <v>55884</v>
      </c>
      <c r="L697" s="151">
        <v>4</v>
      </c>
    </row>
    <row r="698" spans="1:12">
      <c r="A698" s="146" t="s">
        <v>989</v>
      </c>
      <c r="B698" s="155">
        <v>2526609693</v>
      </c>
      <c r="C698" s="153">
        <v>34007</v>
      </c>
      <c r="D698" s="51">
        <f t="shared" ca="1" si="20"/>
        <v>23</v>
      </c>
      <c r="E698" s="152" t="str">
        <f t="shared" si="21"/>
        <v>February</v>
      </c>
      <c r="F698" s="146" t="s">
        <v>930</v>
      </c>
      <c r="G698" s="154">
        <v>657835603</v>
      </c>
      <c r="H698" s="146" t="s">
        <v>256</v>
      </c>
      <c r="I698" s="52" t="s">
        <v>257</v>
      </c>
      <c r="J698" s="156" t="s">
        <v>271</v>
      </c>
      <c r="K698" s="53">
        <v>29040</v>
      </c>
      <c r="L698" s="151">
        <v>5</v>
      </c>
    </row>
    <row r="699" spans="1:12">
      <c r="A699" s="146" t="s">
        <v>824</v>
      </c>
      <c r="B699" s="155">
        <v>2521603964</v>
      </c>
      <c r="C699" s="153">
        <v>35688</v>
      </c>
      <c r="D699" s="51">
        <f t="shared" ca="1" si="20"/>
        <v>19</v>
      </c>
      <c r="E699" s="152" t="str">
        <f t="shared" si="21"/>
        <v>September</v>
      </c>
      <c r="F699" s="146" t="s">
        <v>930</v>
      </c>
      <c r="G699" s="154">
        <v>145495793</v>
      </c>
      <c r="H699" s="146" t="s">
        <v>261</v>
      </c>
      <c r="I699" s="52" t="s">
        <v>276</v>
      </c>
      <c r="J699" s="156" t="s">
        <v>245</v>
      </c>
      <c r="K699" s="53">
        <v>27600</v>
      </c>
      <c r="L699" s="151">
        <v>4</v>
      </c>
    </row>
    <row r="700" spans="1:12">
      <c r="A700" s="146" t="s">
        <v>414</v>
      </c>
      <c r="B700" s="155">
        <v>9196778600</v>
      </c>
      <c r="C700" s="153">
        <v>41296</v>
      </c>
      <c r="D700" s="51">
        <f t="shared" ca="1" si="20"/>
        <v>3</v>
      </c>
      <c r="E700" s="152" t="str">
        <f t="shared" si="21"/>
        <v>January</v>
      </c>
      <c r="F700" s="146" t="s">
        <v>930</v>
      </c>
      <c r="G700" s="154">
        <v>121173068</v>
      </c>
      <c r="H700" s="146" t="s">
        <v>256</v>
      </c>
      <c r="I700" s="52" t="s">
        <v>257</v>
      </c>
      <c r="J700" s="156" t="s">
        <v>285</v>
      </c>
      <c r="K700" s="53">
        <v>55668</v>
      </c>
      <c r="L700" s="151">
        <v>5</v>
      </c>
    </row>
    <row r="701" spans="1:12">
      <c r="A701" s="146" t="s">
        <v>403</v>
      </c>
      <c r="B701" s="155">
        <v>2525261239</v>
      </c>
      <c r="C701" s="153">
        <v>40169</v>
      </c>
      <c r="D701" s="51">
        <f t="shared" ca="1" si="20"/>
        <v>6</v>
      </c>
      <c r="E701" s="152" t="str">
        <f t="shared" si="21"/>
        <v>December</v>
      </c>
      <c r="F701" s="146" t="s">
        <v>930</v>
      </c>
      <c r="G701" s="154">
        <v>230192897</v>
      </c>
      <c r="H701" s="146" t="s">
        <v>256</v>
      </c>
      <c r="I701" s="52" t="s">
        <v>262</v>
      </c>
      <c r="J701" s="156" t="s">
        <v>280</v>
      </c>
      <c r="K701" s="53">
        <v>82632</v>
      </c>
      <c r="L701" s="151">
        <v>2</v>
      </c>
    </row>
    <row r="702" spans="1:12">
      <c r="A702" s="146" t="s">
        <v>566</v>
      </c>
      <c r="B702" s="155">
        <v>2522787318</v>
      </c>
      <c r="C702" s="153">
        <v>34706</v>
      </c>
      <c r="D702" s="51">
        <f t="shared" ca="1" si="20"/>
        <v>21</v>
      </c>
      <c r="E702" s="152" t="str">
        <f t="shared" si="21"/>
        <v>January</v>
      </c>
      <c r="F702" s="146" t="s">
        <v>930</v>
      </c>
      <c r="G702" s="154">
        <v>364525917</v>
      </c>
      <c r="H702" s="146" t="s">
        <v>256</v>
      </c>
      <c r="I702" s="52" t="s">
        <v>283</v>
      </c>
      <c r="J702" s="156" t="s">
        <v>280</v>
      </c>
      <c r="K702" s="53">
        <v>55692</v>
      </c>
      <c r="L702" s="151">
        <v>2</v>
      </c>
    </row>
    <row r="703" spans="1:12">
      <c r="A703" s="146" t="s">
        <v>442</v>
      </c>
      <c r="B703" s="155">
        <v>9196526117</v>
      </c>
      <c r="C703" s="153">
        <v>35153</v>
      </c>
      <c r="D703" s="51">
        <f t="shared" ca="1" si="20"/>
        <v>20</v>
      </c>
      <c r="E703" s="152" t="str">
        <f t="shared" si="21"/>
        <v>March</v>
      </c>
      <c r="F703" s="146" t="s">
        <v>930</v>
      </c>
      <c r="G703" s="154">
        <v>318723704</v>
      </c>
      <c r="H703" s="146" t="s">
        <v>256</v>
      </c>
      <c r="I703" s="52" t="s">
        <v>283</v>
      </c>
      <c r="J703" s="156" t="s">
        <v>271</v>
      </c>
      <c r="K703" s="53">
        <v>88620</v>
      </c>
      <c r="L703" s="151">
        <v>2</v>
      </c>
    </row>
    <row r="704" spans="1:12">
      <c r="A704" s="157" t="s">
        <v>255</v>
      </c>
      <c r="B704" s="155">
        <v>9192727944</v>
      </c>
      <c r="C704" s="153">
        <v>37190</v>
      </c>
      <c r="D704" s="51">
        <f t="shared" ca="1" si="20"/>
        <v>15</v>
      </c>
      <c r="E704" s="152" t="str">
        <f t="shared" si="21"/>
        <v>October</v>
      </c>
      <c r="F704" s="146" t="s">
        <v>930</v>
      </c>
      <c r="G704" s="154">
        <v>546546374</v>
      </c>
      <c r="H704" s="146" t="s">
        <v>261</v>
      </c>
      <c r="I704" s="52" t="s">
        <v>283</v>
      </c>
      <c r="J704" s="156" t="s">
        <v>285</v>
      </c>
      <c r="K704" s="53">
        <v>31422</v>
      </c>
      <c r="L704" s="151">
        <v>5</v>
      </c>
    </row>
    <row r="705" spans="1:12">
      <c r="A705" s="146" t="s">
        <v>996</v>
      </c>
      <c r="B705" s="155">
        <v>2528552110</v>
      </c>
      <c r="C705" s="153">
        <v>36008</v>
      </c>
      <c r="D705" s="51">
        <f t="shared" ca="1" si="20"/>
        <v>18</v>
      </c>
      <c r="E705" s="152" t="str">
        <f t="shared" si="21"/>
        <v>August</v>
      </c>
      <c r="F705" s="146" t="s">
        <v>930</v>
      </c>
      <c r="G705" s="154">
        <v>749768847</v>
      </c>
      <c r="H705" s="146" t="s">
        <v>247</v>
      </c>
      <c r="I705" s="52"/>
      <c r="J705" s="156" t="s">
        <v>280</v>
      </c>
      <c r="K705" s="53">
        <v>50124</v>
      </c>
      <c r="L705" s="151">
        <v>5</v>
      </c>
    </row>
    <row r="706" spans="1:12">
      <c r="A706" s="146" t="s">
        <v>567</v>
      </c>
      <c r="B706" s="155">
        <v>2528217409</v>
      </c>
      <c r="C706" s="153">
        <v>36355</v>
      </c>
      <c r="D706" s="51">
        <f t="shared" ref="D706:D742" ca="1" si="22">DATEDIF(C706,TODAY(),"Y")</f>
        <v>17</v>
      </c>
      <c r="E706" s="152" t="str">
        <f t="shared" ref="E706:E742" si="23">CHOOSE(MONTH(C706),"January","February","March","April","May","June","July","August","September","October","November","December")</f>
        <v>July</v>
      </c>
      <c r="F706" s="146" t="s">
        <v>930</v>
      </c>
      <c r="G706" s="154">
        <v>296641985</v>
      </c>
      <c r="H706" s="146" t="s">
        <v>256</v>
      </c>
      <c r="I706" s="52" t="s">
        <v>283</v>
      </c>
      <c r="J706" s="156" t="s">
        <v>285</v>
      </c>
      <c r="K706" s="53">
        <v>49656</v>
      </c>
      <c r="L706" s="151">
        <v>2</v>
      </c>
    </row>
    <row r="707" spans="1:12">
      <c r="A707" s="146" t="s">
        <v>570</v>
      </c>
      <c r="B707" s="155">
        <v>9192094386</v>
      </c>
      <c r="C707" s="153">
        <v>36808</v>
      </c>
      <c r="D707" s="51">
        <f t="shared" ca="1" si="22"/>
        <v>16</v>
      </c>
      <c r="E707" s="152" t="str">
        <f t="shared" si="23"/>
        <v>October</v>
      </c>
      <c r="F707" s="146" t="s">
        <v>930</v>
      </c>
      <c r="G707" s="154">
        <v>332494481</v>
      </c>
      <c r="H707" s="146" t="s">
        <v>256</v>
      </c>
      <c r="I707" s="52" t="s">
        <v>283</v>
      </c>
      <c r="J707" s="156" t="s">
        <v>251</v>
      </c>
      <c r="K707" s="53">
        <v>58092</v>
      </c>
      <c r="L707" s="151">
        <v>5</v>
      </c>
    </row>
    <row r="708" spans="1:12">
      <c r="A708" s="146" t="s">
        <v>576</v>
      </c>
      <c r="B708" s="155">
        <v>9197103200</v>
      </c>
      <c r="C708" s="153">
        <v>39374</v>
      </c>
      <c r="D708" s="51">
        <f t="shared" ca="1" si="22"/>
        <v>9</v>
      </c>
      <c r="E708" s="152" t="str">
        <f t="shared" si="23"/>
        <v>October</v>
      </c>
      <c r="F708" s="146" t="s">
        <v>930</v>
      </c>
      <c r="G708" s="154">
        <v>502580266</v>
      </c>
      <c r="H708" s="146" t="s">
        <v>252</v>
      </c>
      <c r="I708" s="52"/>
      <c r="J708" s="156" t="s">
        <v>245</v>
      </c>
      <c r="K708" s="53">
        <v>44813</v>
      </c>
      <c r="L708" s="151">
        <v>2</v>
      </c>
    </row>
    <row r="709" spans="1:12">
      <c r="A709" s="146" t="s">
        <v>350</v>
      </c>
      <c r="B709" s="155">
        <v>9194900514</v>
      </c>
      <c r="C709" s="153">
        <v>37347</v>
      </c>
      <c r="D709" s="51">
        <f t="shared" ca="1" si="22"/>
        <v>14</v>
      </c>
      <c r="E709" s="152" t="str">
        <f t="shared" si="23"/>
        <v>April</v>
      </c>
      <c r="F709" s="146" t="s">
        <v>930</v>
      </c>
      <c r="G709" s="154">
        <v>186346711</v>
      </c>
      <c r="H709" s="146" t="s">
        <v>256</v>
      </c>
      <c r="I709" s="52" t="s">
        <v>262</v>
      </c>
      <c r="J709" s="156" t="s">
        <v>285</v>
      </c>
      <c r="K709" s="53">
        <v>86364</v>
      </c>
      <c r="L709" s="151">
        <v>4</v>
      </c>
    </row>
    <row r="710" spans="1:12">
      <c r="A710" s="146" t="s">
        <v>284</v>
      </c>
      <c r="B710" s="155">
        <v>2524141191</v>
      </c>
      <c r="C710" s="153">
        <v>34882</v>
      </c>
      <c r="D710" s="51">
        <f t="shared" ca="1" si="22"/>
        <v>21</v>
      </c>
      <c r="E710" s="152" t="str">
        <f t="shared" si="23"/>
        <v>July</v>
      </c>
      <c r="F710" s="146" t="s">
        <v>930</v>
      </c>
      <c r="G710" s="154">
        <v>418701946</v>
      </c>
      <c r="H710" s="146" t="s">
        <v>261</v>
      </c>
      <c r="I710" s="52" t="s">
        <v>257</v>
      </c>
      <c r="J710" s="156" t="s">
        <v>271</v>
      </c>
      <c r="K710" s="53">
        <v>59454</v>
      </c>
      <c r="L710" s="151">
        <v>2</v>
      </c>
    </row>
    <row r="711" spans="1:12">
      <c r="A711" s="146" t="s">
        <v>829</v>
      </c>
      <c r="B711" s="155">
        <v>9197049910</v>
      </c>
      <c r="C711" s="153">
        <v>34409</v>
      </c>
      <c r="D711" s="51">
        <f t="shared" ca="1" si="22"/>
        <v>22</v>
      </c>
      <c r="E711" s="152" t="str">
        <f t="shared" si="23"/>
        <v>March</v>
      </c>
      <c r="F711" s="146" t="s">
        <v>930</v>
      </c>
      <c r="G711" s="154">
        <v>283476654</v>
      </c>
      <c r="H711" s="146" t="s">
        <v>256</v>
      </c>
      <c r="I711" s="52" t="s">
        <v>262</v>
      </c>
      <c r="J711" s="156" t="s">
        <v>285</v>
      </c>
      <c r="K711" s="53">
        <v>55860</v>
      </c>
      <c r="L711" s="151">
        <v>4</v>
      </c>
    </row>
    <row r="712" spans="1:12">
      <c r="A712" s="146" t="s">
        <v>461</v>
      </c>
      <c r="B712" s="155">
        <v>9191630739</v>
      </c>
      <c r="C712" s="153">
        <v>34141</v>
      </c>
      <c r="D712" s="51">
        <f t="shared" ca="1" si="22"/>
        <v>23</v>
      </c>
      <c r="E712" s="152" t="str">
        <f t="shared" si="23"/>
        <v>June</v>
      </c>
      <c r="F712" s="146" t="s">
        <v>930</v>
      </c>
      <c r="G712" s="154">
        <v>643984096</v>
      </c>
      <c r="H712" s="146" t="s">
        <v>247</v>
      </c>
      <c r="I712" s="52"/>
      <c r="J712" s="156" t="s">
        <v>280</v>
      </c>
      <c r="K712" s="53">
        <v>31224</v>
      </c>
      <c r="L712" s="151">
        <v>5</v>
      </c>
    </row>
    <row r="713" spans="1:12">
      <c r="A713" s="146" t="s">
        <v>664</v>
      </c>
      <c r="B713" s="155">
        <v>9196354278</v>
      </c>
      <c r="C713" s="153">
        <v>40456</v>
      </c>
      <c r="D713" s="51">
        <f t="shared" ca="1" si="22"/>
        <v>6</v>
      </c>
      <c r="E713" s="152" t="str">
        <f t="shared" si="23"/>
        <v>October</v>
      </c>
      <c r="F713" s="146" t="s">
        <v>930</v>
      </c>
      <c r="G713" s="154">
        <v>458734969</v>
      </c>
      <c r="H713" s="146" t="s">
        <v>256</v>
      </c>
      <c r="I713" s="52" t="s">
        <v>257</v>
      </c>
      <c r="J713" s="156" t="s">
        <v>285</v>
      </c>
      <c r="K713" s="53">
        <v>98844</v>
      </c>
      <c r="L713" s="151">
        <v>5</v>
      </c>
    </row>
    <row r="714" spans="1:12">
      <c r="A714" s="146" t="s">
        <v>354</v>
      </c>
      <c r="B714" s="155">
        <v>2521628807</v>
      </c>
      <c r="C714" s="153">
        <v>36753</v>
      </c>
      <c r="D714" s="51">
        <f t="shared" ca="1" si="22"/>
        <v>16</v>
      </c>
      <c r="E714" s="152" t="str">
        <f t="shared" si="23"/>
        <v>August</v>
      </c>
      <c r="F714" s="146" t="s">
        <v>930</v>
      </c>
      <c r="G714" s="154">
        <v>249416723</v>
      </c>
      <c r="H714" s="146" t="s">
        <v>256</v>
      </c>
      <c r="I714" s="52" t="s">
        <v>262</v>
      </c>
      <c r="J714" s="156" t="s">
        <v>285</v>
      </c>
      <c r="K714" s="53">
        <v>77364</v>
      </c>
      <c r="L714" s="151">
        <v>5</v>
      </c>
    </row>
    <row r="715" spans="1:12">
      <c r="A715" s="146" t="s">
        <v>462</v>
      </c>
      <c r="B715" s="155">
        <v>9198986390</v>
      </c>
      <c r="C715" s="153">
        <v>37186</v>
      </c>
      <c r="D715" s="51">
        <f t="shared" ca="1" si="22"/>
        <v>15</v>
      </c>
      <c r="E715" s="152" t="str">
        <f t="shared" si="23"/>
        <v>October</v>
      </c>
      <c r="F715" s="146" t="s">
        <v>930</v>
      </c>
      <c r="G715" s="154">
        <v>120224342</v>
      </c>
      <c r="H715" s="146" t="s">
        <v>252</v>
      </c>
      <c r="I715" s="52"/>
      <c r="J715" s="156" t="s">
        <v>266</v>
      </c>
      <c r="K715" s="53">
        <v>39043</v>
      </c>
      <c r="L715" s="151">
        <v>2</v>
      </c>
    </row>
    <row r="716" spans="1:12">
      <c r="A716" s="146" t="s">
        <v>446</v>
      </c>
      <c r="B716" s="155">
        <v>2522952173</v>
      </c>
      <c r="C716" s="153">
        <v>40456</v>
      </c>
      <c r="D716" s="51">
        <f t="shared" ca="1" si="22"/>
        <v>6</v>
      </c>
      <c r="E716" s="152" t="str">
        <f t="shared" si="23"/>
        <v>October</v>
      </c>
      <c r="F716" s="146" t="s">
        <v>930</v>
      </c>
      <c r="G716" s="154">
        <v>667745362</v>
      </c>
      <c r="H716" s="146" t="s">
        <v>247</v>
      </c>
      <c r="I716" s="52"/>
      <c r="J716" s="156" t="s">
        <v>245</v>
      </c>
      <c r="K716" s="53">
        <v>103248</v>
      </c>
      <c r="L716" s="151">
        <v>5</v>
      </c>
    </row>
    <row r="717" spans="1:12">
      <c r="A717" s="146" t="s">
        <v>741</v>
      </c>
      <c r="B717" s="155">
        <v>2526412482</v>
      </c>
      <c r="C717" s="153">
        <v>38181</v>
      </c>
      <c r="D717" s="51">
        <f t="shared" ca="1" si="22"/>
        <v>12</v>
      </c>
      <c r="E717" s="152" t="str">
        <f t="shared" si="23"/>
        <v>July</v>
      </c>
      <c r="F717" s="146" t="s">
        <v>930</v>
      </c>
      <c r="G717" s="154">
        <v>626648632</v>
      </c>
      <c r="H717" s="146" t="s">
        <v>247</v>
      </c>
      <c r="I717" s="52"/>
      <c r="J717" s="156" t="s">
        <v>266</v>
      </c>
      <c r="K717" s="53">
        <v>58908</v>
      </c>
      <c r="L717" s="151">
        <v>4</v>
      </c>
    </row>
    <row r="718" spans="1:12">
      <c r="A718" s="146" t="s">
        <v>836</v>
      </c>
      <c r="B718" s="155">
        <v>2522304625</v>
      </c>
      <c r="C718" s="153">
        <v>39899</v>
      </c>
      <c r="D718" s="51">
        <f t="shared" ca="1" si="22"/>
        <v>7</v>
      </c>
      <c r="E718" s="152" t="str">
        <f t="shared" si="23"/>
        <v>March</v>
      </c>
      <c r="F718" s="146" t="s">
        <v>930</v>
      </c>
      <c r="G718" s="154">
        <v>276873359</v>
      </c>
      <c r="H718" s="146" t="s">
        <v>256</v>
      </c>
      <c r="I718" s="52" t="s">
        <v>267</v>
      </c>
      <c r="J718" s="156" t="s">
        <v>280</v>
      </c>
      <c r="K718" s="53">
        <v>30828</v>
      </c>
      <c r="L718" s="151">
        <v>2</v>
      </c>
    </row>
    <row r="719" spans="1:12">
      <c r="A719" s="146" t="s">
        <v>358</v>
      </c>
      <c r="B719" s="155">
        <v>2528444054</v>
      </c>
      <c r="C719" s="153">
        <v>34770</v>
      </c>
      <c r="D719" s="51">
        <f t="shared" ca="1" si="22"/>
        <v>21</v>
      </c>
      <c r="E719" s="152" t="str">
        <f t="shared" si="23"/>
        <v>March</v>
      </c>
      <c r="F719" s="146" t="s">
        <v>930</v>
      </c>
      <c r="G719" s="154">
        <v>750006979</v>
      </c>
      <c r="H719" s="146" t="s">
        <v>261</v>
      </c>
      <c r="I719" s="52" t="s">
        <v>267</v>
      </c>
      <c r="J719" s="156" t="s">
        <v>271</v>
      </c>
      <c r="K719" s="53">
        <v>33252</v>
      </c>
      <c r="L719" s="151">
        <v>3</v>
      </c>
    </row>
    <row r="720" spans="1:12">
      <c r="A720" s="146" t="s">
        <v>1011</v>
      </c>
      <c r="B720" s="155">
        <v>9193788281</v>
      </c>
      <c r="C720" s="153">
        <v>36781</v>
      </c>
      <c r="D720" s="51">
        <f t="shared" ca="1" si="22"/>
        <v>16</v>
      </c>
      <c r="E720" s="152" t="str">
        <f t="shared" si="23"/>
        <v>September</v>
      </c>
      <c r="F720" s="146" t="s">
        <v>930</v>
      </c>
      <c r="G720" s="154">
        <v>658842625</v>
      </c>
      <c r="H720" s="146" t="s">
        <v>261</v>
      </c>
      <c r="I720" s="52" t="s">
        <v>276</v>
      </c>
      <c r="J720" s="156" t="s">
        <v>280</v>
      </c>
      <c r="K720" s="53">
        <v>55326</v>
      </c>
      <c r="L720" s="151">
        <v>5</v>
      </c>
    </row>
    <row r="721" spans="1:12">
      <c r="A721" s="146" t="s">
        <v>598</v>
      </c>
      <c r="B721" s="155">
        <v>9195790921</v>
      </c>
      <c r="C721" s="153">
        <v>34119</v>
      </c>
      <c r="D721" s="51">
        <f t="shared" ca="1" si="22"/>
        <v>23</v>
      </c>
      <c r="E721" s="152" t="str">
        <f t="shared" si="23"/>
        <v>May</v>
      </c>
      <c r="F721" s="146" t="s">
        <v>930</v>
      </c>
      <c r="G721" s="154">
        <v>277423593</v>
      </c>
      <c r="H721" s="146" t="s">
        <v>261</v>
      </c>
      <c r="I721" s="52" t="s">
        <v>283</v>
      </c>
      <c r="J721" s="156" t="s">
        <v>285</v>
      </c>
      <c r="K721" s="53">
        <v>16146</v>
      </c>
      <c r="L721" s="151">
        <v>2</v>
      </c>
    </row>
    <row r="722" spans="1:12">
      <c r="A722" s="146" t="s">
        <v>919</v>
      </c>
      <c r="B722" s="155">
        <v>2524914916</v>
      </c>
      <c r="C722" s="153">
        <v>36304</v>
      </c>
      <c r="D722" s="51">
        <f t="shared" ca="1" si="22"/>
        <v>17</v>
      </c>
      <c r="E722" s="152" t="str">
        <f t="shared" si="23"/>
        <v>May</v>
      </c>
      <c r="F722" s="146" t="s">
        <v>930</v>
      </c>
      <c r="G722" s="154">
        <v>240241467</v>
      </c>
      <c r="H722" s="146" t="s">
        <v>252</v>
      </c>
      <c r="I722" s="52"/>
      <c r="J722" s="156" t="s">
        <v>285</v>
      </c>
      <c r="K722" s="53">
        <v>34522</v>
      </c>
      <c r="L722" s="151">
        <v>3</v>
      </c>
    </row>
    <row r="723" spans="1:12">
      <c r="A723" s="146" t="s">
        <v>743</v>
      </c>
      <c r="B723" s="155">
        <v>2521789943</v>
      </c>
      <c r="C723" s="153">
        <v>38223</v>
      </c>
      <c r="D723" s="51">
        <f t="shared" ca="1" si="22"/>
        <v>12</v>
      </c>
      <c r="E723" s="152" t="str">
        <f t="shared" si="23"/>
        <v>August</v>
      </c>
      <c r="F723" s="146" t="s">
        <v>930</v>
      </c>
      <c r="G723" s="154">
        <v>120361975</v>
      </c>
      <c r="H723" s="146" t="s">
        <v>256</v>
      </c>
      <c r="I723" s="52" t="s">
        <v>276</v>
      </c>
      <c r="J723" s="156" t="s">
        <v>251</v>
      </c>
      <c r="K723" s="53">
        <v>72360</v>
      </c>
      <c r="L723" s="151">
        <v>2</v>
      </c>
    </row>
    <row r="724" spans="1:12">
      <c r="A724" s="146" t="s">
        <v>361</v>
      </c>
      <c r="B724" s="155">
        <v>9196060038</v>
      </c>
      <c r="C724" s="153">
        <v>34290</v>
      </c>
      <c r="D724" s="51">
        <f t="shared" ca="1" si="22"/>
        <v>22</v>
      </c>
      <c r="E724" s="152" t="str">
        <f t="shared" si="23"/>
        <v>November</v>
      </c>
      <c r="F724" s="146" t="s">
        <v>930</v>
      </c>
      <c r="G724" s="154">
        <v>144722757</v>
      </c>
      <c r="H724" s="146" t="s">
        <v>247</v>
      </c>
      <c r="I724" s="52"/>
      <c r="J724" s="156" t="s">
        <v>285</v>
      </c>
      <c r="K724" s="53">
        <v>69000</v>
      </c>
      <c r="L724" s="151">
        <v>1</v>
      </c>
    </row>
    <row r="725" spans="1:12">
      <c r="A725" s="146" t="s">
        <v>289</v>
      </c>
      <c r="B725" s="155">
        <v>2522780847</v>
      </c>
      <c r="C725" s="153">
        <v>39056</v>
      </c>
      <c r="D725" s="51">
        <f t="shared" ca="1" si="22"/>
        <v>9</v>
      </c>
      <c r="E725" s="152" t="str">
        <f t="shared" si="23"/>
        <v>December</v>
      </c>
      <c r="F725" s="146" t="s">
        <v>930</v>
      </c>
      <c r="G725" s="154">
        <v>862698919</v>
      </c>
      <c r="H725" s="146" t="s">
        <v>256</v>
      </c>
      <c r="I725" s="52" t="s">
        <v>262</v>
      </c>
      <c r="J725" s="156" t="s">
        <v>285</v>
      </c>
      <c r="K725" s="53">
        <v>57936</v>
      </c>
      <c r="L725" s="151">
        <v>4</v>
      </c>
    </row>
    <row r="726" spans="1:12">
      <c r="A726" s="146" t="s">
        <v>463</v>
      </c>
      <c r="B726" s="155">
        <v>9191797370</v>
      </c>
      <c r="C726" s="153">
        <v>37793</v>
      </c>
      <c r="D726" s="51">
        <f t="shared" ca="1" si="22"/>
        <v>13</v>
      </c>
      <c r="E726" s="152" t="str">
        <f t="shared" si="23"/>
        <v>June</v>
      </c>
      <c r="F726" s="146" t="s">
        <v>930</v>
      </c>
      <c r="G726" s="154">
        <v>592709648</v>
      </c>
      <c r="H726" s="146" t="s">
        <v>247</v>
      </c>
      <c r="I726" s="52"/>
      <c r="J726" s="156" t="s">
        <v>266</v>
      </c>
      <c r="K726" s="53">
        <v>92563</v>
      </c>
      <c r="L726" s="151">
        <v>5</v>
      </c>
    </row>
    <row r="727" spans="1:12">
      <c r="A727" s="146" t="s">
        <v>921</v>
      </c>
      <c r="B727" s="155">
        <v>2526088101</v>
      </c>
      <c r="C727" s="153">
        <v>35780</v>
      </c>
      <c r="D727" s="51">
        <f t="shared" ca="1" si="22"/>
        <v>18</v>
      </c>
      <c r="E727" s="152" t="str">
        <f t="shared" si="23"/>
        <v>December</v>
      </c>
      <c r="F727" s="146" t="s">
        <v>930</v>
      </c>
      <c r="G727" s="154">
        <v>992674973</v>
      </c>
      <c r="H727" s="146" t="s">
        <v>256</v>
      </c>
      <c r="I727" s="52" t="s">
        <v>267</v>
      </c>
      <c r="J727" s="156" t="s">
        <v>285</v>
      </c>
      <c r="K727" s="53">
        <v>77736</v>
      </c>
      <c r="L727" s="151">
        <v>5</v>
      </c>
    </row>
    <row r="728" spans="1:12">
      <c r="A728" s="146" t="s">
        <v>746</v>
      </c>
      <c r="B728" s="155">
        <v>9191657646</v>
      </c>
      <c r="C728" s="153">
        <v>41062</v>
      </c>
      <c r="D728" s="51">
        <f t="shared" ca="1" si="22"/>
        <v>4</v>
      </c>
      <c r="E728" s="152" t="str">
        <f t="shared" si="23"/>
        <v>June</v>
      </c>
      <c r="F728" s="146" t="s">
        <v>930</v>
      </c>
      <c r="G728" s="154">
        <v>147683641</v>
      </c>
      <c r="H728" s="146" t="s">
        <v>247</v>
      </c>
      <c r="I728" s="52"/>
      <c r="J728" s="156" t="s">
        <v>266</v>
      </c>
      <c r="K728" s="53">
        <v>56736</v>
      </c>
      <c r="L728" s="151">
        <v>1</v>
      </c>
    </row>
    <row r="729" spans="1:12">
      <c r="A729" s="146" t="s">
        <v>610</v>
      </c>
      <c r="B729" s="155">
        <v>2523533906</v>
      </c>
      <c r="C729" s="153">
        <v>36554</v>
      </c>
      <c r="D729" s="51">
        <f t="shared" ca="1" si="22"/>
        <v>16</v>
      </c>
      <c r="E729" s="152" t="str">
        <f t="shared" si="23"/>
        <v>January</v>
      </c>
      <c r="F729" s="146" t="s">
        <v>930</v>
      </c>
      <c r="G729" s="154">
        <v>695198896</v>
      </c>
      <c r="H729" s="146" t="s">
        <v>247</v>
      </c>
      <c r="I729" s="52"/>
      <c r="J729" s="156" t="s">
        <v>285</v>
      </c>
      <c r="K729" s="53">
        <v>54036</v>
      </c>
      <c r="L729" s="151">
        <v>3</v>
      </c>
    </row>
    <row r="730" spans="1:12">
      <c r="A730" s="146" t="s">
        <v>676</v>
      </c>
      <c r="B730" s="155">
        <v>9195157707</v>
      </c>
      <c r="C730" s="153">
        <v>34517</v>
      </c>
      <c r="D730" s="51">
        <f t="shared" ca="1" si="22"/>
        <v>22</v>
      </c>
      <c r="E730" s="152" t="str">
        <f t="shared" si="23"/>
        <v>July</v>
      </c>
      <c r="F730" s="146" t="s">
        <v>930</v>
      </c>
      <c r="G730" s="154">
        <v>741258203</v>
      </c>
      <c r="H730" s="146" t="s">
        <v>247</v>
      </c>
      <c r="I730" s="52"/>
      <c r="J730" s="156" t="s">
        <v>245</v>
      </c>
      <c r="K730" s="53">
        <v>70954</v>
      </c>
      <c r="L730" s="151">
        <v>4</v>
      </c>
    </row>
    <row r="731" spans="1:12">
      <c r="A731" s="146" t="s">
        <v>366</v>
      </c>
      <c r="B731" s="155">
        <v>2527560634</v>
      </c>
      <c r="C731" s="153">
        <v>36971</v>
      </c>
      <c r="D731" s="51">
        <f t="shared" ca="1" si="22"/>
        <v>15</v>
      </c>
      <c r="E731" s="152" t="str">
        <f t="shared" si="23"/>
        <v>March</v>
      </c>
      <c r="F731" s="146" t="s">
        <v>930</v>
      </c>
      <c r="G731" s="154">
        <v>311309049</v>
      </c>
      <c r="H731" s="146" t="s">
        <v>256</v>
      </c>
      <c r="I731" s="52" t="s">
        <v>276</v>
      </c>
      <c r="J731" s="156" t="s">
        <v>280</v>
      </c>
      <c r="K731" s="53">
        <v>93216</v>
      </c>
      <c r="L731" s="151">
        <v>3</v>
      </c>
    </row>
    <row r="732" spans="1:12">
      <c r="A732" s="146" t="s">
        <v>452</v>
      </c>
      <c r="B732" s="155">
        <v>2527780776</v>
      </c>
      <c r="C732" s="153">
        <v>34854</v>
      </c>
      <c r="D732" s="51">
        <f t="shared" ca="1" si="22"/>
        <v>21</v>
      </c>
      <c r="E732" s="152" t="str">
        <f t="shared" si="23"/>
        <v>June</v>
      </c>
      <c r="F732" s="146" t="s">
        <v>930</v>
      </c>
      <c r="G732" s="154">
        <v>763182349</v>
      </c>
      <c r="H732" s="146" t="s">
        <v>247</v>
      </c>
      <c r="I732" s="52"/>
      <c r="J732" s="156" t="s">
        <v>285</v>
      </c>
      <c r="K732" s="53">
        <v>90660</v>
      </c>
      <c r="L732" s="151">
        <v>3</v>
      </c>
    </row>
    <row r="733" spans="1:12">
      <c r="A733" s="146" t="s">
        <v>400</v>
      </c>
      <c r="B733" s="155">
        <v>2524411859</v>
      </c>
      <c r="C733" s="153">
        <v>38412</v>
      </c>
      <c r="D733" s="51">
        <f t="shared" ca="1" si="22"/>
        <v>11</v>
      </c>
      <c r="E733" s="152" t="str">
        <f t="shared" si="23"/>
        <v>March</v>
      </c>
      <c r="F733" s="146" t="s">
        <v>1025</v>
      </c>
      <c r="G733" s="154">
        <v>443926890</v>
      </c>
      <c r="H733" s="146" t="s">
        <v>256</v>
      </c>
      <c r="I733" s="52" t="s">
        <v>283</v>
      </c>
      <c r="J733" s="156" t="s">
        <v>266</v>
      </c>
      <c r="K733" s="53">
        <v>51360</v>
      </c>
      <c r="L733" s="151">
        <v>5</v>
      </c>
    </row>
    <row r="734" spans="1:12">
      <c r="A734" s="146" t="s">
        <v>732</v>
      </c>
      <c r="B734" s="155">
        <v>9193578185</v>
      </c>
      <c r="C734" s="153">
        <v>37801</v>
      </c>
      <c r="D734" s="51">
        <f t="shared" ca="1" si="22"/>
        <v>13</v>
      </c>
      <c r="E734" s="152" t="str">
        <f t="shared" si="23"/>
        <v>June</v>
      </c>
      <c r="F734" s="146" t="s">
        <v>1025</v>
      </c>
      <c r="G734" s="154">
        <v>797985708</v>
      </c>
      <c r="H734" s="146" t="s">
        <v>256</v>
      </c>
      <c r="I734" s="52" t="s">
        <v>276</v>
      </c>
      <c r="J734" s="156" t="s">
        <v>245</v>
      </c>
      <c r="K734" s="53">
        <v>48816</v>
      </c>
      <c r="L734" s="151">
        <v>5</v>
      </c>
    </row>
    <row r="735" spans="1:12">
      <c r="A735" s="146" t="s">
        <v>302</v>
      </c>
      <c r="B735" s="155">
        <v>9196690862</v>
      </c>
      <c r="C735" s="153">
        <v>37719</v>
      </c>
      <c r="D735" s="51">
        <f t="shared" ca="1" si="22"/>
        <v>13</v>
      </c>
      <c r="E735" s="152" t="str">
        <f t="shared" si="23"/>
        <v>April</v>
      </c>
      <c r="F735" s="146" t="s">
        <v>1025</v>
      </c>
      <c r="G735" s="154">
        <v>510700395</v>
      </c>
      <c r="H735" s="146" t="s">
        <v>256</v>
      </c>
      <c r="I735" s="52" t="s">
        <v>257</v>
      </c>
      <c r="J735" s="156" t="s">
        <v>271</v>
      </c>
      <c r="K735" s="53">
        <v>76404</v>
      </c>
      <c r="L735" s="151">
        <v>5</v>
      </c>
    </row>
    <row r="736" spans="1:12">
      <c r="A736" s="146" t="s">
        <v>673</v>
      </c>
      <c r="B736" s="155">
        <v>9194436681</v>
      </c>
      <c r="C736" s="153">
        <v>41447</v>
      </c>
      <c r="D736" s="51">
        <f t="shared" ca="1" si="22"/>
        <v>3</v>
      </c>
      <c r="E736" s="152" t="str">
        <f t="shared" si="23"/>
        <v>June</v>
      </c>
      <c r="F736" s="146" t="s">
        <v>1025</v>
      </c>
      <c r="G736" s="154">
        <v>106099892</v>
      </c>
      <c r="H736" s="146" t="s">
        <v>247</v>
      </c>
      <c r="I736" s="52"/>
      <c r="J736" s="156" t="s">
        <v>271</v>
      </c>
      <c r="K736" s="53">
        <v>79358</v>
      </c>
      <c r="L736" s="151">
        <v>4</v>
      </c>
    </row>
    <row r="737" spans="1:12">
      <c r="A737" s="146" t="s">
        <v>1022</v>
      </c>
      <c r="B737" s="155">
        <v>9193482736</v>
      </c>
      <c r="C737" s="153">
        <v>34115</v>
      </c>
      <c r="D737" s="51">
        <f t="shared" ca="1" si="22"/>
        <v>23</v>
      </c>
      <c r="E737" s="152" t="str">
        <f t="shared" si="23"/>
        <v>May</v>
      </c>
      <c r="F737" s="146" t="s">
        <v>1025</v>
      </c>
      <c r="G737" s="154">
        <v>776823797</v>
      </c>
      <c r="H737" s="146" t="s">
        <v>247</v>
      </c>
      <c r="I737" s="52"/>
      <c r="J737" s="156" t="s">
        <v>245</v>
      </c>
      <c r="K737" s="53">
        <v>102612</v>
      </c>
      <c r="L737" s="151">
        <v>4</v>
      </c>
    </row>
    <row r="738" spans="1:12">
      <c r="A738" s="146" t="s">
        <v>894</v>
      </c>
      <c r="B738" s="155">
        <v>2521198851</v>
      </c>
      <c r="C738" s="153">
        <v>34731</v>
      </c>
      <c r="D738" s="51">
        <f t="shared" ca="1" si="22"/>
        <v>21</v>
      </c>
      <c r="E738" s="152" t="str">
        <f t="shared" si="23"/>
        <v>February</v>
      </c>
      <c r="F738" s="146" t="s">
        <v>1031</v>
      </c>
      <c r="G738" s="154">
        <v>183135788</v>
      </c>
      <c r="H738" s="146" t="s">
        <v>247</v>
      </c>
      <c r="I738" s="52"/>
      <c r="J738" s="156" t="s">
        <v>285</v>
      </c>
      <c r="K738" s="53">
        <v>72912</v>
      </c>
      <c r="L738" s="151">
        <v>2</v>
      </c>
    </row>
    <row r="739" spans="1:12">
      <c r="A739" s="146" t="s">
        <v>561</v>
      </c>
      <c r="B739" s="155">
        <v>9194137278</v>
      </c>
      <c r="C739" s="153">
        <v>37285</v>
      </c>
      <c r="D739" s="51">
        <f t="shared" ca="1" si="22"/>
        <v>14</v>
      </c>
      <c r="E739" s="152" t="str">
        <f t="shared" si="23"/>
        <v>January</v>
      </c>
      <c r="F739" s="146" t="s">
        <v>1031</v>
      </c>
      <c r="G739" s="154">
        <v>495372474</v>
      </c>
      <c r="H739" s="146" t="s">
        <v>261</v>
      </c>
      <c r="I739" s="52" t="s">
        <v>257</v>
      </c>
      <c r="J739" s="156" t="s">
        <v>266</v>
      </c>
      <c r="K739" s="53">
        <v>37500</v>
      </c>
      <c r="L739" s="151">
        <v>2</v>
      </c>
    </row>
    <row r="740" spans="1:12">
      <c r="A740" s="146" t="s">
        <v>405</v>
      </c>
      <c r="B740" s="155">
        <v>2528873234</v>
      </c>
      <c r="C740" s="153">
        <v>41271</v>
      </c>
      <c r="D740" s="51">
        <f t="shared" ca="1" si="22"/>
        <v>3</v>
      </c>
      <c r="E740" s="152" t="str">
        <f t="shared" si="23"/>
        <v>December</v>
      </c>
      <c r="F740" s="146" t="s">
        <v>1031</v>
      </c>
      <c r="G740" s="154">
        <v>827277063</v>
      </c>
      <c r="H740" s="146" t="s">
        <v>252</v>
      </c>
      <c r="I740" s="52"/>
      <c r="J740" s="156" t="s">
        <v>266</v>
      </c>
      <c r="K740" s="53">
        <v>22853</v>
      </c>
      <c r="L740" s="151">
        <v>1</v>
      </c>
    </row>
    <row r="741" spans="1:12">
      <c r="A741" s="146" t="s">
        <v>406</v>
      </c>
      <c r="B741" s="155">
        <v>9191888279</v>
      </c>
      <c r="C741" s="153">
        <v>35253</v>
      </c>
      <c r="D741" s="51">
        <f t="shared" ca="1" si="22"/>
        <v>20</v>
      </c>
      <c r="E741" s="152" t="str">
        <f t="shared" si="23"/>
        <v>July</v>
      </c>
      <c r="F741" s="146" t="s">
        <v>1031</v>
      </c>
      <c r="G741" s="154">
        <v>978092408</v>
      </c>
      <c r="H741" s="146" t="s">
        <v>247</v>
      </c>
      <c r="I741" s="52"/>
      <c r="J741" s="156" t="s">
        <v>285</v>
      </c>
      <c r="K741" s="53">
        <v>77664</v>
      </c>
      <c r="L741" s="151">
        <v>5</v>
      </c>
    </row>
    <row r="742" spans="1:12">
      <c r="A742" s="146" t="s">
        <v>737</v>
      </c>
      <c r="B742" s="155">
        <v>2524989537</v>
      </c>
      <c r="C742" s="153">
        <v>41112</v>
      </c>
      <c r="D742" s="51">
        <f t="shared" ca="1" si="22"/>
        <v>4</v>
      </c>
      <c r="E742" s="152" t="str">
        <f t="shared" si="23"/>
        <v>July</v>
      </c>
      <c r="F742" s="146" t="s">
        <v>1031</v>
      </c>
      <c r="G742" s="154">
        <v>383616821</v>
      </c>
      <c r="H742" s="146" t="s">
        <v>256</v>
      </c>
      <c r="I742" s="52" t="s">
        <v>257</v>
      </c>
      <c r="J742" s="156" t="s">
        <v>251</v>
      </c>
      <c r="K742" s="53">
        <v>56016</v>
      </c>
      <c r="L742" s="151">
        <v>1</v>
      </c>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36"/>
  <sheetViews>
    <sheetView topLeftCell="A4" zoomScale="145" zoomScaleNormal="145" workbookViewId="0">
      <selection activeCell="B17" sqref="B17"/>
    </sheetView>
  </sheetViews>
  <sheetFormatPr defaultRowHeight="12.75"/>
  <cols>
    <col min="1" max="1" width="19.5703125" style="180" bestFit="1" customWidth="1"/>
    <col min="2" max="2" width="8.85546875" style="180" customWidth="1"/>
    <col min="3" max="5" width="9" style="180" bestFit="1" customWidth="1"/>
    <col min="6" max="6" width="9.140625" style="180"/>
    <col min="7" max="7" width="9.28515625" style="180" customWidth="1"/>
    <col min="8" max="8" width="10.42578125" style="180" bestFit="1" customWidth="1"/>
    <col min="9" max="9" width="8.85546875" style="180" bestFit="1" customWidth="1"/>
    <col min="10" max="10" width="9.140625" style="180"/>
    <col min="11" max="11" width="12.7109375" style="180" bestFit="1" customWidth="1"/>
    <col min="12" max="16384" width="9.140625" style="180"/>
  </cols>
  <sheetData>
    <row r="1" spans="1:12">
      <c r="A1" s="200" t="s">
        <v>1495</v>
      </c>
      <c r="B1" s="199"/>
      <c r="C1" s="199"/>
      <c r="D1" s="199"/>
      <c r="E1" s="199"/>
      <c r="F1" s="199"/>
      <c r="G1" s="199"/>
      <c r="H1" s="199"/>
      <c r="I1" s="199"/>
      <c r="J1" s="181"/>
      <c r="K1" s="198"/>
      <c r="L1" s="181"/>
    </row>
    <row r="2" spans="1:12">
      <c r="A2" s="197"/>
      <c r="B2" s="196" t="s">
        <v>248</v>
      </c>
      <c r="C2" s="196" t="s">
        <v>253</v>
      </c>
      <c r="D2" s="196" t="s">
        <v>258</v>
      </c>
      <c r="E2" s="196" t="s">
        <v>263</v>
      </c>
      <c r="F2" s="196" t="s">
        <v>268</v>
      </c>
      <c r="G2" s="196" t="s">
        <v>273</v>
      </c>
      <c r="H2" s="196" t="s">
        <v>1404</v>
      </c>
      <c r="I2" s="196" t="s">
        <v>1494</v>
      </c>
      <c r="J2" s="181"/>
      <c r="K2" s="195"/>
      <c r="L2" s="181"/>
    </row>
    <row r="3" spans="1:12">
      <c r="A3" s="190" t="s">
        <v>1477</v>
      </c>
      <c r="B3" s="194">
        <v>120</v>
      </c>
      <c r="C3" s="194">
        <v>180</v>
      </c>
      <c r="D3" s="194">
        <v>250</v>
      </c>
      <c r="E3" s="194">
        <v>240</v>
      </c>
      <c r="F3" s="194">
        <v>300</v>
      </c>
      <c r="G3" s="194">
        <v>450</v>
      </c>
      <c r="H3" s="194">
        <f>SUM(B3:G3)</f>
        <v>1540</v>
      </c>
      <c r="I3" s="194">
        <f>AVERAGE(B3:G3)</f>
        <v>256.66666666666669</v>
      </c>
      <c r="J3" s="181"/>
      <c r="K3" s="181"/>
      <c r="L3" s="181"/>
    </row>
    <row r="4" spans="1:12">
      <c r="A4" s="190" t="s">
        <v>1493</v>
      </c>
      <c r="B4" s="191">
        <v>100</v>
      </c>
      <c r="C4" s="191">
        <v>130</v>
      </c>
      <c r="D4" s="191">
        <v>120</v>
      </c>
      <c r="E4" s="191">
        <v>220</v>
      </c>
      <c r="F4" s="191">
        <v>260</v>
      </c>
      <c r="G4" s="191">
        <v>350</v>
      </c>
      <c r="H4" s="191">
        <f>SUM(B4:G4)</f>
        <v>1180</v>
      </c>
      <c r="I4" s="191">
        <f>AVERAGE(B4:G4)</f>
        <v>196.66666666666666</v>
      </c>
      <c r="J4" s="181"/>
      <c r="K4" s="193"/>
      <c r="L4" s="181"/>
    </row>
    <row r="5" spans="1:12">
      <c r="A5" s="190" t="s">
        <v>1492</v>
      </c>
      <c r="B5" s="191">
        <f t="shared" ref="B5:G5" si="0">B3-B4</f>
        <v>20</v>
      </c>
      <c r="C5" s="191">
        <f t="shared" si="0"/>
        <v>50</v>
      </c>
      <c r="D5" s="191">
        <f t="shared" si="0"/>
        <v>130</v>
      </c>
      <c r="E5" s="191">
        <f t="shared" si="0"/>
        <v>20</v>
      </c>
      <c r="F5" s="191">
        <f t="shared" si="0"/>
        <v>40</v>
      </c>
      <c r="G5" s="191">
        <f t="shared" si="0"/>
        <v>100</v>
      </c>
      <c r="H5" s="191">
        <f>SUM(B5:G5)</f>
        <v>360</v>
      </c>
      <c r="I5" s="191">
        <f>AVERAGE(B5:G5)</f>
        <v>60</v>
      </c>
      <c r="J5" s="181"/>
      <c r="K5" s="192"/>
      <c r="L5" s="181"/>
    </row>
    <row r="6" spans="1:12">
      <c r="A6" s="190" t="s">
        <v>1491</v>
      </c>
      <c r="B6" s="191">
        <f>B5</f>
        <v>20</v>
      </c>
      <c r="C6" s="191">
        <f>C5+B6</f>
        <v>70</v>
      </c>
      <c r="D6" s="191">
        <f>D5+C6</f>
        <v>200</v>
      </c>
      <c r="E6" s="191">
        <f>E5+D6</f>
        <v>220</v>
      </c>
      <c r="F6" s="191">
        <f>F5+E6</f>
        <v>260</v>
      </c>
      <c r="G6" s="191">
        <f>G5+F6</f>
        <v>360</v>
      </c>
      <c r="H6" s="191"/>
      <c r="I6" s="191"/>
      <c r="J6" s="181"/>
      <c r="K6" s="181"/>
      <c r="L6" s="181"/>
    </row>
    <row r="7" spans="1:12" ht="20.25" customHeight="1">
      <c r="A7" s="190" t="s">
        <v>1490</v>
      </c>
      <c r="B7" s="189"/>
      <c r="C7" s="189"/>
      <c r="D7" s="189"/>
      <c r="E7" s="189"/>
      <c r="F7" s="189"/>
      <c r="G7" s="189"/>
      <c r="H7" s="188"/>
      <c r="I7" s="188"/>
      <c r="J7" s="181"/>
      <c r="K7" s="181"/>
      <c r="L7" s="181"/>
    </row>
    <row r="8" spans="1:12">
      <c r="A8" s="183" t="s">
        <v>1487</v>
      </c>
      <c r="B8" s="181"/>
      <c r="C8" s="187">
        <f>(C4-B4)/B4</f>
        <v>0.3</v>
      </c>
      <c r="D8" s="187">
        <f>(D4-C4)/C4</f>
        <v>-7.6923076923076927E-2</v>
      </c>
      <c r="E8" s="187">
        <f>(E4-D4)/D4</f>
        <v>0.83333333333333337</v>
      </c>
      <c r="F8" s="187">
        <f>(F4-E4)/E4</f>
        <v>0.18181818181818182</v>
      </c>
      <c r="G8" s="187">
        <f>(G4-F4)/F4</f>
        <v>0.34615384615384615</v>
      </c>
      <c r="H8" s="187">
        <f>(G4-B4)/B4</f>
        <v>2.5</v>
      </c>
      <c r="I8" s="186">
        <f>(G4/B4)^(1/5)-1</f>
        <v>0.28473515712343933</v>
      </c>
      <c r="J8" s="181"/>
      <c r="K8" s="181"/>
      <c r="L8" s="181"/>
    </row>
    <row r="9" spans="1:12">
      <c r="A9" s="183" t="s">
        <v>1489</v>
      </c>
      <c r="B9" s="181"/>
      <c r="C9" s="187">
        <f>(C3-B3)/B3</f>
        <v>0.5</v>
      </c>
      <c r="D9" s="187">
        <f>(D3-C3)/C3</f>
        <v>0.3888888888888889</v>
      </c>
      <c r="E9" s="187">
        <f>(E3-D3)/D3</f>
        <v>-0.04</v>
      </c>
      <c r="F9" s="187">
        <f>(F3-E3)/E3</f>
        <v>0.25</v>
      </c>
      <c r="G9" s="187">
        <f>(G3-F3)/F3</f>
        <v>0.5</v>
      </c>
      <c r="H9" s="187">
        <f>(G3-B3)/B3</f>
        <v>2.75</v>
      </c>
      <c r="I9" s="186">
        <f>(G3/B3)^(1/5)-1</f>
        <v>0.30258554234867607</v>
      </c>
      <c r="J9" s="181"/>
      <c r="K9" s="181"/>
      <c r="L9" s="181"/>
    </row>
    <row r="10" spans="1:12">
      <c r="A10" s="183" t="s">
        <v>1488</v>
      </c>
      <c r="B10" s="181"/>
      <c r="C10" s="187">
        <f>(C5-B5)/B5</f>
        <v>1.5</v>
      </c>
      <c r="D10" s="187">
        <f>(D5-C5)/C5</f>
        <v>1.6</v>
      </c>
      <c r="E10" s="187">
        <f>(E5-D5)/D5</f>
        <v>-0.84615384615384615</v>
      </c>
      <c r="F10" s="187">
        <f>(F5-E5)/E5</f>
        <v>1</v>
      </c>
      <c r="G10" s="187">
        <f>(G5-F5)/F5</f>
        <v>1.5</v>
      </c>
      <c r="H10" s="187">
        <f>(G5-B5)/B5</f>
        <v>4</v>
      </c>
      <c r="I10" s="186">
        <f>(G5/B5)^(1/5)-1</f>
        <v>0.3797296614612149</v>
      </c>
      <c r="J10" s="181"/>
      <c r="K10" s="181"/>
      <c r="L10" s="181"/>
    </row>
    <row r="11" spans="1:12">
      <c r="B11" s="181"/>
      <c r="C11" s="181"/>
      <c r="D11" s="181"/>
      <c r="E11" s="181"/>
      <c r="F11" s="181"/>
      <c r="G11" s="181"/>
      <c r="H11" s="181"/>
      <c r="I11" s="181"/>
      <c r="J11" s="181"/>
      <c r="K11" s="181"/>
      <c r="L11" s="181"/>
    </row>
    <row r="12" spans="1:12">
      <c r="A12" s="183"/>
      <c r="B12" s="182"/>
      <c r="C12" s="182"/>
      <c r="D12" s="182"/>
      <c r="E12" s="182"/>
      <c r="F12" s="182"/>
      <c r="G12" s="182"/>
      <c r="H12" s="182"/>
      <c r="I12" s="181"/>
      <c r="J12" s="181"/>
      <c r="K12" s="181"/>
      <c r="L12" s="181"/>
    </row>
    <row r="13" spans="1:12">
      <c r="A13" s="183"/>
      <c r="B13" s="182"/>
      <c r="C13" s="182"/>
      <c r="D13" s="182"/>
      <c r="E13" s="182"/>
      <c r="F13" s="182"/>
      <c r="G13" s="182"/>
      <c r="H13" s="182"/>
      <c r="I13" s="181"/>
      <c r="J13" s="181"/>
      <c r="K13" s="181"/>
      <c r="L13" s="181"/>
    </row>
    <row r="14" spans="1:12">
      <c r="B14" s="182"/>
      <c r="C14" s="182"/>
      <c r="D14" s="182"/>
      <c r="E14" s="182"/>
      <c r="F14" s="182"/>
      <c r="G14" s="182"/>
      <c r="H14" s="182"/>
      <c r="I14" s="181"/>
      <c r="J14" s="181"/>
      <c r="K14" s="181"/>
      <c r="L14" s="181"/>
    </row>
    <row r="15" spans="1:12">
      <c r="B15" s="182"/>
      <c r="C15" s="182"/>
      <c r="D15" s="182"/>
      <c r="E15" s="182"/>
      <c r="F15" s="182"/>
      <c r="G15" s="182"/>
      <c r="H15" s="182"/>
      <c r="I15" s="181"/>
      <c r="J15" s="181"/>
      <c r="K15" s="181"/>
      <c r="L15" s="181"/>
    </row>
    <row r="16" spans="1:12">
      <c r="A16" s="183"/>
      <c r="B16" s="182"/>
      <c r="C16" s="182"/>
      <c r="D16" s="182"/>
      <c r="E16" s="182"/>
      <c r="F16" s="182"/>
      <c r="G16" s="182"/>
      <c r="H16" s="182"/>
      <c r="I16" s="181"/>
      <c r="J16" s="181"/>
      <c r="K16" s="181"/>
      <c r="L16" s="181"/>
    </row>
    <row r="17" spans="1:12">
      <c r="A17" s="183"/>
      <c r="B17" s="182"/>
      <c r="C17" s="182"/>
      <c r="D17" s="182"/>
      <c r="E17" s="182"/>
      <c r="F17" s="182"/>
      <c r="G17" s="182"/>
      <c r="H17" s="182"/>
      <c r="I17" s="181"/>
      <c r="J17" s="181"/>
      <c r="K17" s="181"/>
      <c r="L17" s="181"/>
    </row>
    <row r="18" spans="1:12" ht="18">
      <c r="A18" s="185"/>
      <c r="B18" s="182"/>
      <c r="C18" s="182"/>
      <c r="D18" s="182"/>
      <c r="E18" s="182"/>
      <c r="F18" s="182"/>
      <c r="G18" s="182"/>
      <c r="H18" s="182"/>
      <c r="I18" s="181"/>
      <c r="J18" s="181"/>
      <c r="K18" s="181"/>
      <c r="L18" s="181"/>
    </row>
    <row r="19" spans="1:12" ht="18.75">
      <c r="A19" s="184"/>
      <c r="B19" s="182"/>
      <c r="C19" s="182"/>
      <c r="D19" s="182"/>
      <c r="E19" s="182"/>
      <c r="F19" s="182"/>
      <c r="G19" s="182"/>
      <c r="H19" s="182"/>
      <c r="I19" s="181"/>
      <c r="J19" s="181"/>
      <c r="K19" s="181"/>
      <c r="L19" s="181"/>
    </row>
    <row r="20" spans="1:12">
      <c r="A20" s="183"/>
      <c r="B20" s="182"/>
      <c r="C20" s="182"/>
      <c r="D20" s="182"/>
      <c r="E20" s="182"/>
      <c r="F20" s="182"/>
      <c r="G20" s="182"/>
      <c r="H20" s="182"/>
      <c r="I20" s="181"/>
      <c r="J20" s="181"/>
      <c r="K20" s="181"/>
      <c r="L20" s="181"/>
    </row>
    <row r="21" spans="1:12">
      <c r="A21" s="183"/>
      <c r="B21" s="182"/>
      <c r="C21" s="182"/>
      <c r="D21" s="182"/>
      <c r="E21" s="182"/>
      <c r="F21" s="182"/>
      <c r="G21" s="182"/>
      <c r="H21" s="182"/>
      <c r="I21" s="181"/>
      <c r="J21" s="181"/>
      <c r="K21" s="181"/>
      <c r="L21" s="181"/>
    </row>
    <row r="22" spans="1:12">
      <c r="A22" s="183"/>
      <c r="B22" s="182"/>
      <c r="C22" s="182"/>
      <c r="D22" s="182"/>
      <c r="E22" s="182"/>
      <c r="F22" s="182"/>
      <c r="G22" s="182"/>
      <c r="H22" s="182"/>
      <c r="I22" s="181"/>
      <c r="J22" s="181"/>
      <c r="K22" s="181"/>
      <c r="L22" s="181"/>
    </row>
    <row r="23" spans="1:12">
      <c r="A23" s="183"/>
      <c r="B23" s="182"/>
      <c r="C23" s="182"/>
      <c r="D23" s="182"/>
      <c r="E23" s="182"/>
      <c r="F23" s="182"/>
      <c r="G23" s="182"/>
      <c r="H23" s="182"/>
      <c r="I23" s="181"/>
      <c r="J23" s="181"/>
      <c r="K23" s="181"/>
      <c r="L23" s="181"/>
    </row>
    <row r="24" spans="1:12">
      <c r="A24" s="183"/>
      <c r="B24" s="182"/>
      <c r="C24" s="182"/>
      <c r="D24" s="182"/>
      <c r="E24" s="182"/>
      <c r="F24" s="182"/>
      <c r="G24" s="182"/>
      <c r="H24" s="182"/>
      <c r="I24" s="181"/>
      <c r="J24" s="181"/>
      <c r="K24" s="181"/>
      <c r="L24" s="181"/>
    </row>
    <row r="25" spans="1:12">
      <c r="A25" s="183"/>
      <c r="B25" s="182"/>
      <c r="C25" s="182"/>
      <c r="D25" s="182"/>
      <c r="E25" s="182"/>
      <c r="F25" s="182"/>
      <c r="G25" s="182"/>
      <c r="H25" s="182"/>
      <c r="I25" s="181"/>
      <c r="J25" s="181"/>
      <c r="K25" s="181"/>
      <c r="L25" s="181"/>
    </row>
    <row r="26" spans="1:12">
      <c r="A26" s="183"/>
      <c r="B26" s="182"/>
      <c r="C26" s="182"/>
      <c r="D26" s="182"/>
      <c r="E26" s="182"/>
      <c r="F26" s="182"/>
      <c r="G26" s="182"/>
      <c r="H26" s="182"/>
      <c r="I26" s="181"/>
      <c r="J26" s="181"/>
      <c r="K26" s="181"/>
      <c r="L26" s="181"/>
    </row>
    <row r="27" spans="1:12">
      <c r="A27" s="183"/>
      <c r="B27" s="182"/>
      <c r="C27" s="182"/>
      <c r="D27" s="182"/>
      <c r="E27" s="182"/>
      <c r="F27" s="182"/>
      <c r="G27" s="182"/>
      <c r="H27" s="182"/>
      <c r="I27" s="181"/>
      <c r="J27" s="181"/>
      <c r="K27" s="181"/>
      <c r="L27" s="181"/>
    </row>
    <row r="28" spans="1:12">
      <c r="A28" s="183"/>
      <c r="B28" s="182"/>
      <c r="C28" s="182"/>
      <c r="D28" s="182"/>
      <c r="E28" s="182"/>
      <c r="F28" s="182"/>
      <c r="G28" s="182"/>
      <c r="H28" s="182"/>
      <c r="I28" s="181"/>
      <c r="J28" s="181"/>
      <c r="K28" s="181"/>
      <c r="L28" s="181"/>
    </row>
    <row r="29" spans="1:12">
      <c r="A29" s="183"/>
      <c r="B29" s="182"/>
      <c r="C29" s="182"/>
      <c r="D29" s="182"/>
      <c r="E29" s="182"/>
      <c r="F29" s="182"/>
      <c r="G29" s="182"/>
      <c r="H29" s="182"/>
      <c r="I29" s="181"/>
      <c r="J29" s="181"/>
      <c r="K29" s="181"/>
      <c r="L29" s="181"/>
    </row>
    <row r="30" spans="1:12">
      <c r="A30" s="183"/>
      <c r="B30" s="182"/>
      <c r="C30" s="182"/>
      <c r="D30" s="182"/>
      <c r="E30" s="182"/>
      <c r="F30" s="182"/>
      <c r="G30" s="182"/>
      <c r="H30" s="182"/>
      <c r="I30" s="181"/>
      <c r="J30" s="181"/>
      <c r="K30" s="181"/>
      <c r="L30" s="181"/>
    </row>
    <row r="35" spans="1:1">
      <c r="A35" s="180" t="s">
        <v>1486</v>
      </c>
    </row>
    <row r="36" spans="1:1">
      <c r="A36" s="180" t="s">
        <v>1485</v>
      </c>
    </row>
  </sheetData>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19"/>
  <sheetViews>
    <sheetView zoomScale="160" zoomScaleNormal="160" workbookViewId="0">
      <selection activeCell="E10" sqref="E10:E11"/>
    </sheetView>
  </sheetViews>
  <sheetFormatPr defaultRowHeight="15"/>
  <cols>
    <col min="1" max="1" width="15.140625" style="169" bestFit="1" customWidth="1"/>
    <col min="2" max="2" width="12.42578125" style="169" bestFit="1" customWidth="1"/>
    <col min="3" max="9" width="12.140625" style="169" customWidth="1"/>
    <col min="10" max="10" width="9.140625" style="169"/>
    <col min="11" max="11" width="13.5703125" style="169" bestFit="1" customWidth="1"/>
    <col min="12" max="12" width="8.28515625" style="169" bestFit="1" customWidth="1"/>
    <col min="13" max="13" width="11.7109375" style="169" bestFit="1" customWidth="1"/>
    <col min="14" max="14" width="12.7109375" style="169" customWidth="1"/>
    <col min="15" max="16384" width="9.140625" style="169"/>
  </cols>
  <sheetData>
    <row r="1" spans="1:14">
      <c r="A1" s="175" t="s">
        <v>1076</v>
      </c>
      <c r="B1" s="174" t="s">
        <v>1483</v>
      </c>
      <c r="C1" s="174" t="s">
        <v>1482</v>
      </c>
      <c r="D1" s="174" t="s">
        <v>1011</v>
      </c>
      <c r="E1" s="174" t="s">
        <v>1481</v>
      </c>
      <c r="F1" s="174" t="s">
        <v>1480</v>
      </c>
      <c r="G1" s="174" t="s">
        <v>1479</v>
      </c>
      <c r="H1" s="174"/>
      <c r="I1" s="174"/>
      <c r="K1" s="178"/>
      <c r="L1" s="179" t="s">
        <v>1465</v>
      </c>
      <c r="M1" s="178"/>
      <c r="N1" s="177"/>
    </row>
    <row r="2" spans="1:14">
      <c r="A2" s="175" t="s">
        <v>230</v>
      </c>
      <c r="B2" s="176" t="s">
        <v>271</v>
      </c>
      <c r="C2" s="176" t="s">
        <v>266</v>
      </c>
      <c r="D2" s="176" t="s">
        <v>271</v>
      </c>
      <c r="E2" s="176" t="s">
        <v>285</v>
      </c>
      <c r="F2" s="176" t="s">
        <v>285</v>
      </c>
      <c r="G2" s="176" t="s">
        <v>266</v>
      </c>
      <c r="H2" s="176"/>
      <c r="I2" s="176"/>
      <c r="K2" s="171"/>
      <c r="L2" s="122" t="s">
        <v>1449</v>
      </c>
      <c r="M2" s="171"/>
      <c r="N2" s="170"/>
    </row>
    <row r="3" spans="1:14">
      <c r="A3" s="175" t="s">
        <v>231</v>
      </c>
      <c r="B3" s="174" t="s">
        <v>417</v>
      </c>
      <c r="C3" s="174" t="s">
        <v>1477</v>
      </c>
      <c r="D3" s="174" t="s">
        <v>626</v>
      </c>
      <c r="E3" s="174" t="s">
        <v>1478</v>
      </c>
      <c r="F3" s="174" t="s">
        <v>1477</v>
      </c>
      <c r="G3" s="174" t="s">
        <v>246</v>
      </c>
      <c r="H3" s="174"/>
      <c r="I3" s="174"/>
      <c r="K3" s="171"/>
      <c r="L3" s="122" t="s">
        <v>1476</v>
      </c>
      <c r="M3" s="171"/>
      <c r="N3" s="170"/>
    </row>
    <row r="4" spans="1:14">
      <c r="A4" s="173" t="s">
        <v>232</v>
      </c>
      <c r="B4" s="172">
        <v>930314379</v>
      </c>
      <c r="C4" s="172">
        <v>920265140</v>
      </c>
      <c r="D4" s="172">
        <v>736688620</v>
      </c>
      <c r="E4" s="172">
        <v>219740602</v>
      </c>
      <c r="F4" s="172">
        <v>249416723</v>
      </c>
      <c r="G4" s="172">
        <v>991656720</v>
      </c>
      <c r="H4" s="172"/>
      <c r="I4" s="172"/>
      <c r="K4" s="171"/>
      <c r="L4" s="122" t="s">
        <v>1475</v>
      </c>
      <c r="M4" s="171"/>
      <c r="N4" s="170"/>
    </row>
    <row r="5" spans="1:14">
      <c r="K5" s="171"/>
      <c r="L5" s="122" t="s">
        <v>1443</v>
      </c>
      <c r="M5" s="171"/>
      <c r="N5" s="170"/>
    </row>
    <row r="6" spans="1:14">
      <c r="K6" s="171"/>
      <c r="L6" s="122" t="s">
        <v>1473</v>
      </c>
      <c r="M6" s="171"/>
      <c r="N6" s="170"/>
    </row>
    <row r="7" spans="1:14">
      <c r="A7" s="175" t="s">
        <v>1076</v>
      </c>
      <c r="B7" s="175" t="s">
        <v>230</v>
      </c>
      <c r="C7" s="175" t="s">
        <v>231</v>
      </c>
      <c r="D7" s="173" t="s">
        <v>232</v>
      </c>
      <c r="L7" s="122" t="s">
        <v>1448</v>
      </c>
    </row>
    <row r="8" spans="1:14">
      <c r="A8" s="174" t="s">
        <v>1483</v>
      </c>
      <c r="B8" s="176" t="s">
        <v>271</v>
      </c>
      <c r="C8" s="174" t="s">
        <v>417</v>
      </c>
      <c r="D8" s="172">
        <v>930314379</v>
      </c>
      <c r="L8" s="122" t="s">
        <v>1438</v>
      </c>
    </row>
    <row r="9" spans="1:14">
      <c r="A9" s="174" t="s">
        <v>1482</v>
      </c>
      <c r="B9" s="176" t="s">
        <v>266</v>
      </c>
      <c r="C9" s="174" t="s">
        <v>1477</v>
      </c>
      <c r="D9" s="172">
        <v>920265140</v>
      </c>
      <c r="L9" s="122" t="s">
        <v>1472</v>
      </c>
    </row>
    <row r="10" spans="1:14">
      <c r="A10" s="174" t="s">
        <v>1011</v>
      </c>
      <c r="B10" s="176" t="s">
        <v>271</v>
      </c>
      <c r="C10" s="174" t="s">
        <v>626</v>
      </c>
      <c r="D10" s="172">
        <v>736688620</v>
      </c>
      <c r="L10" s="122" t="s">
        <v>1471</v>
      </c>
    </row>
    <row r="11" spans="1:14">
      <c r="A11" s="174" t="s">
        <v>1481</v>
      </c>
      <c r="B11" s="176" t="s">
        <v>285</v>
      </c>
      <c r="C11" s="174" t="s">
        <v>1478</v>
      </c>
      <c r="D11" s="172">
        <v>219740602</v>
      </c>
    </row>
    <row r="12" spans="1:14">
      <c r="A12" s="174" t="s">
        <v>1480</v>
      </c>
      <c r="B12" s="176" t="s">
        <v>285</v>
      </c>
      <c r="C12" s="174" t="s">
        <v>1477</v>
      </c>
      <c r="D12" s="172">
        <v>249416723</v>
      </c>
    </row>
    <row r="13" spans="1:14">
      <c r="A13" s="174" t="s">
        <v>1479</v>
      </c>
      <c r="B13" s="176" t="s">
        <v>266</v>
      </c>
      <c r="C13" s="174" t="s">
        <v>246</v>
      </c>
      <c r="D13" s="172">
        <v>991656720</v>
      </c>
    </row>
    <row r="18" spans="2:13">
      <c r="B18" s="122"/>
      <c r="C18" s="122"/>
      <c r="D18" s="122"/>
      <c r="E18" s="122"/>
      <c r="F18" s="122"/>
      <c r="G18" s="122"/>
      <c r="H18" s="122"/>
      <c r="I18" s="122"/>
      <c r="J18" s="122"/>
      <c r="K18" s="122"/>
      <c r="L18" s="122"/>
      <c r="M18" s="122"/>
    </row>
    <row r="19" spans="2:13">
      <c r="B19" s="122"/>
      <c r="C19" s="122"/>
      <c r="D19" s="122"/>
      <c r="E19" s="122"/>
      <c r="F19" s="122"/>
      <c r="G19" s="122"/>
      <c r="H19" s="122"/>
      <c r="I19" s="122"/>
      <c r="J19" s="122"/>
      <c r="K19" s="122"/>
      <c r="L19" s="122"/>
      <c r="M19" s="12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766"/>
  <sheetViews>
    <sheetView topLeftCell="A492" zoomScale="115" zoomScaleNormal="115" workbookViewId="0">
      <selection activeCell="B495" sqref="B495"/>
    </sheetView>
  </sheetViews>
  <sheetFormatPr defaultRowHeight="15"/>
  <cols>
    <col min="1" max="1" width="9.140625" style="122"/>
    <col min="2" max="2" width="19.5703125" style="204" bestFit="1" customWidth="1"/>
    <col min="3" max="3" width="8.28515625" style="122" bestFit="1" customWidth="1"/>
    <col min="4" max="4" width="27.28515625" style="122" bestFit="1" customWidth="1"/>
    <col min="5" max="5" width="9.7109375" style="122" bestFit="1" customWidth="1"/>
    <col min="6" max="6" width="9.28515625" style="203" bestFit="1" customWidth="1"/>
    <col min="7" max="7" width="10.85546875" style="122" bestFit="1" customWidth="1"/>
    <col min="8" max="8" width="5.85546875" style="122" bestFit="1" customWidth="1"/>
    <col min="9" max="9" width="8.42578125" style="122" bestFit="1" customWidth="1"/>
    <col min="10" max="10" width="8.42578125" style="202" bestFit="1" customWidth="1"/>
    <col min="11" max="11" width="10" style="201" bestFit="1" customWidth="1"/>
    <col min="12" max="16384" width="9.140625" style="122"/>
  </cols>
  <sheetData>
    <row r="1" spans="1:11">
      <c r="B1" s="215" t="s">
        <v>229</v>
      </c>
      <c r="C1" s="213" t="s">
        <v>230</v>
      </c>
      <c r="D1" s="213" t="s">
        <v>231</v>
      </c>
      <c r="E1" s="213" t="s">
        <v>234</v>
      </c>
      <c r="F1" s="214" t="s">
        <v>235</v>
      </c>
      <c r="G1" s="213" t="s">
        <v>236</v>
      </c>
      <c r="H1" s="213" t="s">
        <v>237</v>
      </c>
      <c r="I1" s="213" t="s">
        <v>238</v>
      </c>
      <c r="J1" s="212" t="s">
        <v>239</v>
      </c>
      <c r="K1" s="211" t="s">
        <v>240</v>
      </c>
    </row>
    <row r="2" spans="1:11">
      <c r="A2" s="122">
        <v>2</v>
      </c>
      <c r="B2" s="204" t="s">
        <v>863</v>
      </c>
      <c r="C2" s="122" t="s">
        <v>251</v>
      </c>
      <c r="D2" s="122" t="s">
        <v>246</v>
      </c>
      <c r="E2" s="122" t="s">
        <v>252</v>
      </c>
      <c r="F2" s="203">
        <v>33846</v>
      </c>
      <c r="G2" s="122" t="str">
        <f>CHOOSE(MONTH(F2),"January","February","March","April","May","June","July","August","September","October","November","December")</f>
        <v>August</v>
      </c>
      <c r="H2" s="122">
        <f ca="1">DATEDIF(F2,TODAY(),"Y")</f>
        <v>24</v>
      </c>
      <c r="J2" s="202">
        <v>35680</v>
      </c>
      <c r="K2" s="201">
        <v>2</v>
      </c>
    </row>
    <row r="3" spans="1:11">
      <c r="A3" s="122">
        <v>3</v>
      </c>
      <c r="B3" s="204" t="s">
        <v>357</v>
      </c>
      <c r="C3" s="122" t="s">
        <v>245</v>
      </c>
      <c r="D3" s="122" t="s">
        <v>246</v>
      </c>
      <c r="E3" s="122" t="s">
        <v>261</v>
      </c>
      <c r="F3" s="203">
        <v>33290</v>
      </c>
      <c r="G3" s="122" t="str">
        <f>CHOOSE(MONTH(F3),"January","February","March","April","May","June","July","August","September","October","November","December")</f>
        <v>February</v>
      </c>
      <c r="H3" s="122">
        <f ca="1">DATEDIF(F3,TODAY(),"Y")</f>
        <v>25</v>
      </c>
      <c r="I3" s="122" t="s">
        <v>262</v>
      </c>
      <c r="J3" s="202">
        <v>26795</v>
      </c>
      <c r="K3" s="201">
        <v>4</v>
      </c>
    </row>
    <row r="4" spans="1:11">
      <c r="A4" s="122">
        <v>4</v>
      </c>
      <c r="B4" s="204" t="s">
        <v>740</v>
      </c>
      <c r="C4" s="122" t="s">
        <v>266</v>
      </c>
      <c r="D4" s="122" t="s">
        <v>246</v>
      </c>
      <c r="E4" s="122" t="s">
        <v>256</v>
      </c>
      <c r="F4" s="203">
        <v>39447</v>
      </c>
      <c r="G4" s="122" t="str">
        <f>CHOOSE(MONTH(F4),"January","February","March","April","May","June","July","August","September","October","November","December")</f>
        <v>December</v>
      </c>
      <c r="H4" s="122">
        <f ca="1">DATEDIF(F4,TODAY(),"Y")</f>
        <v>8</v>
      </c>
      <c r="I4" s="122" t="s">
        <v>267</v>
      </c>
      <c r="J4" s="202">
        <v>72830</v>
      </c>
      <c r="K4" s="201">
        <v>2</v>
      </c>
    </row>
    <row r="5" spans="1:11">
      <c r="A5" s="122">
        <v>5</v>
      </c>
      <c r="B5" s="204" t="s">
        <v>790</v>
      </c>
      <c r="C5" s="122" t="s">
        <v>245</v>
      </c>
      <c r="D5" s="122" t="s">
        <v>246</v>
      </c>
      <c r="E5" s="122" t="s">
        <v>247</v>
      </c>
      <c r="F5" s="203">
        <v>39147</v>
      </c>
      <c r="G5" s="122" t="str">
        <f>CHOOSE(MONTH(F5),"January","February","March","April","May","June","July","August","September","October","November","December")</f>
        <v>March</v>
      </c>
      <c r="H5" s="122">
        <f ca="1">DATEDIF(F5,TODAY(),"Y")</f>
        <v>9</v>
      </c>
      <c r="J5" s="202">
        <v>42540</v>
      </c>
      <c r="K5" s="201">
        <v>5</v>
      </c>
    </row>
    <row r="6" spans="1:11">
      <c r="A6" s="122">
        <v>6</v>
      </c>
      <c r="B6" s="204" t="s">
        <v>951</v>
      </c>
      <c r="C6" s="122" t="s">
        <v>245</v>
      </c>
      <c r="D6" s="122" t="s">
        <v>246</v>
      </c>
      <c r="E6" s="122" t="s">
        <v>256</v>
      </c>
      <c r="F6" s="203">
        <v>36171</v>
      </c>
      <c r="G6" s="122" t="str">
        <f>CHOOSE(MONTH(F6),"January","February","March","April","May","June","July","August","September","October","November","December")</f>
        <v>January</v>
      </c>
      <c r="H6" s="122">
        <f ca="1">DATEDIF(F6,TODAY(),"Y")</f>
        <v>17</v>
      </c>
      <c r="I6" s="122" t="s">
        <v>257</v>
      </c>
      <c r="J6" s="202">
        <v>24550</v>
      </c>
      <c r="K6" s="201">
        <v>1</v>
      </c>
    </row>
    <row r="7" spans="1:11">
      <c r="A7" s="122">
        <v>8</v>
      </c>
      <c r="B7" s="204" t="s">
        <v>946</v>
      </c>
      <c r="C7" s="122" t="s">
        <v>280</v>
      </c>
      <c r="D7" s="122" t="s">
        <v>272</v>
      </c>
      <c r="E7" s="122" t="s">
        <v>256</v>
      </c>
      <c r="F7" s="203">
        <v>35742</v>
      </c>
      <c r="G7" s="122" t="str">
        <f>CHOOSE(MONTH(F7),"January","February","March","April","May","June","July","August","September","October","November","December")</f>
        <v>November</v>
      </c>
      <c r="H7" s="122">
        <f ca="1">DATEDIF(F7,TODAY(),"Y")</f>
        <v>19</v>
      </c>
      <c r="I7" s="122" t="s">
        <v>283</v>
      </c>
      <c r="J7" s="202">
        <v>85300</v>
      </c>
      <c r="K7" s="201">
        <v>2</v>
      </c>
    </row>
    <row r="8" spans="1:11">
      <c r="A8" s="122">
        <v>9</v>
      </c>
      <c r="B8" s="204" t="s">
        <v>552</v>
      </c>
      <c r="C8" s="122" t="s">
        <v>271</v>
      </c>
      <c r="D8" s="122" t="s">
        <v>272</v>
      </c>
      <c r="E8" s="122" t="s">
        <v>261</v>
      </c>
      <c r="F8" s="203">
        <v>33474</v>
      </c>
      <c r="G8" s="122" t="str">
        <f>CHOOSE(MONTH(F8),"January","February","March","April","May","June","July","August","September","October","November","December")</f>
        <v>August</v>
      </c>
      <c r="H8" s="122">
        <f ca="1">DATEDIF(F8,TODAY(),"Y")</f>
        <v>25</v>
      </c>
      <c r="I8" s="122" t="s">
        <v>262</v>
      </c>
      <c r="J8" s="202">
        <v>30445</v>
      </c>
      <c r="K8" s="201">
        <v>1</v>
      </c>
    </row>
    <row r="9" spans="1:11">
      <c r="A9" s="122">
        <v>10</v>
      </c>
      <c r="B9" s="204" t="s">
        <v>717</v>
      </c>
      <c r="C9" s="122" t="s">
        <v>285</v>
      </c>
      <c r="D9" s="122" t="s">
        <v>272</v>
      </c>
      <c r="E9" s="122" t="s">
        <v>256</v>
      </c>
      <c r="F9" s="203">
        <v>33831</v>
      </c>
      <c r="G9" s="122" t="str">
        <f>CHOOSE(MONTH(F9),"January","February","March","April","May","June","July","August","September","October","November","December")</f>
        <v>August</v>
      </c>
      <c r="H9" s="122">
        <f ca="1">DATEDIF(F9,TODAY(),"Y")</f>
        <v>24</v>
      </c>
      <c r="I9" s="122" t="s">
        <v>257</v>
      </c>
      <c r="J9" s="202">
        <v>79760</v>
      </c>
      <c r="K9" s="201">
        <v>5</v>
      </c>
    </row>
    <row r="10" spans="1:11">
      <c r="A10" s="122">
        <v>11</v>
      </c>
      <c r="B10" s="204" t="s">
        <v>766</v>
      </c>
      <c r="C10" s="122" t="s">
        <v>245</v>
      </c>
      <c r="D10" s="122" t="s">
        <v>272</v>
      </c>
      <c r="E10" s="122" t="s">
        <v>252</v>
      </c>
      <c r="F10" s="203">
        <v>40126</v>
      </c>
      <c r="G10" s="122" t="str">
        <f>CHOOSE(MONTH(F10),"January","February","March","April","May","June","July","August","September","October","November","December")</f>
        <v>November</v>
      </c>
      <c r="H10" s="122">
        <f ca="1">DATEDIF(F10,TODAY(),"Y")</f>
        <v>7</v>
      </c>
      <c r="J10" s="202">
        <v>10636</v>
      </c>
      <c r="K10" s="201">
        <v>4</v>
      </c>
    </row>
    <row r="11" spans="1:11">
      <c r="A11" s="122">
        <v>12</v>
      </c>
      <c r="B11" s="204" t="s">
        <v>707</v>
      </c>
      <c r="C11" s="122" t="s">
        <v>245</v>
      </c>
      <c r="D11" s="122" t="s">
        <v>272</v>
      </c>
      <c r="E11" s="122" t="s">
        <v>247</v>
      </c>
      <c r="F11" s="203">
        <v>36777</v>
      </c>
      <c r="G11" s="122" t="str">
        <f>CHOOSE(MONTH(F11),"January","February","March","April","May","June","July","August","September","October","November","December")</f>
        <v>September</v>
      </c>
      <c r="H11" s="122">
        <f ca="1">DATEDIF(F11,TODAY(),"Y")</f>
        <v>16</v>
      </c>
      <c r="J11" s="202">
        <v>76690</v>
      </c>
      <c r="K11" s="201">
        <v>3</v>
      </c>
    </row>
    <row r="12" spans="1:11">
      <c r="A12" s="122">
        <v>13</v>
      </c>
      <c r="B12" s="204" t="s">
        <v>418</v>
      </c>
      <c r="C12" s="122" t="s">
        <v>285</v>
      </c>
      <c r="D12" s="122" t="s">
        <v>272</v>
      </c>
      <c r="E12" s="122" t="s">
        <v>256</v>
      </c>
      <c r="F12" s="203">
        <v>36260</v>
      </c>
      <c r="G12" s="122" t="str">
        <f>CHOOSE(MONTH(F12),"January","February","March","April","May","June","July","August","September","October","November","December")</f>
        <v>April</v>
      </c>
      <c r="H12" s="122">
        <f ca="1">DATEDIF(F12,TODAY(),"Y")</f>
        <v>17</v>
      </c>
      <c r="I12" s="122" t="s">
        <v>257</v>
      </c>
      <c r="J12" s="202">
        <v>75150</v>
      </c>
      <c r="K12" s="201">
        <v>1</v>
      </c>
    </row>
    <row r="13" spans="1:11">
      <c r="A13" s="122">
        <v>14</v>
      </c>
      <c r="B13" s="204" t="s">
        <v>1005</v>
      </c>
      <c r="C13" s="122" t="s">
        <v>266</v>
      </c>
      <c r="D13" s="122" t="s">
        <v>272</v>
      </c>
      <c r="E13" s="122" t="s">
        <v>256</v>
      </c>
      <c r="F13" s="203">
        <v>36764</v>
      </c>
      <c r="G13" s="122" t="str">
        <f>CHOOSE(MONTH(F13),"January","February","March","April","May","June","July","August","September","October","November","December")</f>
        <v>August</v>
      </c>
      <c r="H13" s="122">
        <f ca="1">DATEDIF(F13,TODAY(),"Y")</f>
        <v>16</v>
      </c>
      <c r="I13" s="122" t="s">
        <v>276</v>
      </c>
      <c r="J13" s="202">
        <v>74840</v>
      </c>
      <c r="K13" s="201">
        <v>4</v>
      </c>
    </row>
    <row r="14" spans="1:11">
      <c r="A14" s="122">
        <v>15</v>
      </c>
      <c r="B14" s="204" t="s">
        <v>617</v>
      </c>
      <c r="C14" s="122" t="s">
        <v>266</v>
      </c>
      <c r="D14" s="122" t="s">
        <v>272</v>
      </c>
      <c r="E14" s="122" t="s">
        <v>256</v>
      </c>
      <c r="F14" s="203">
        <v>39069</v>
      </c>
      <c r="G14" s="122" t="str">
        <f>CHOOSE(MONTH(F14),"January","February","March","April","May","June","July","August","September","October","November","December")</f>
        <v>December</v>
      </c>
      <c r="H14" s="122">
        <f ca="1">DATEDIF(F14,TODAY(),"Y")</f>
        <v>9</v>
      </c>
      <c r="I14" s="122" t="s">
        <v>267</v>
      </c>
      <c r="J14" s="202">
        <v>37670</v>
      </c>
      <c r="K14" s="201">
        <v>3</v>
      </c>
    </row>
    <row r="15" spans="1:11">
      <c r="A15" s="122">
        <v>16</v>
      </c>
      <c r="B15" s="204" t="s">
        <v>702</v>
      </c>
      <c r="C15" s="122" t="s">
        <v>251</v>
      </c>
      <c r="D15" s="122" t="s">
        <v>272</v>
      </c>
      <c r="E15" s="122" t="s">
        <v>256</v>
      </c>
      <c r="F15" s="203">
        <v>36143</v>
      </c>
      <c r="G15" s="122" t="str">
        <f>CHOOSE(MONTH(F15),"January","February","March","April","May","June","July","August","September","October","November","December")</f>
        <v>December</v>
      </c>
      <c r="H15" s="122">
        <f ca="1">DATEDIF(F15,TODAY(),"Y")</f>
        <v>17</v>
      </c>
      <c r="I15" s="122" t="s">
        <v>283</v>
      </c>
      <c r="J15" s="202">
        <v>72090</v>
      </c>
      <c r="K15" s="201">
        <v>5</v>
      </c>
    </row>
    <row r="16" spans="1:11">
      <c r="A16" s="122">
        <v>17</v>
      </c>
      <c r="B16" s="204" t="s">
        <v>977</v>
      </c>
      <c r="C16" s="122" t="s">
        <v>271</v>
      </c>
      <c r="D16" s="122" t="s">
        <v>272</v>
      </c>
      <c r="E16" s="122" t="s">
        <v>261</v>
      </c>
      <c r="F16" s="203">
        <v>37782</v>
      </c>
      <c r="G16" s="122" t="str">
        <f>CHOOSE(MONTH(F16),"January","February","March","April","May","June","July","August","September","October","November","December")</f>
        <v>June</v>
      </c>
      <c r="H16" s="122">
        <f ca="1">DATEDIF(F16,TODAY(),"Y")</f>
        <v>13</v>
      </c>
      <c r="I16" s="122" t="s">
        <v>276</v>
      </c>
      <c r="J16" s="202">
        <v>17735</v>
      </c>
      <c r="K16" s="201">
        <v>3</v>
      </c>
    </row>
    <row r="17" spans="1:11">
      <c r="A17" s="122">
        <v>18</v>
      </c>
      <c r="B17" s="204" t="s">
        <v>581</v>
      </c>
      <c r="C17" s="122" t="s">
        <v>271</v>
      </c>
      <c r="D17" s="122" t="s">
        <v>272</v>
      </c>
      <c r="E17" s="122" t="s">
        <v>247</v>
      </c>
      <c r="F17" s="203">
        <v>34076</v>
      </c>
      <c r="G17" s="122" t="str">
        <f>CHOOSE(MONTH(F17),"January","February","March","April","May","June","July","August","September","October","November","December")</f>
        <v>April</v>
      </c>
      <c r="H17" s="122">
        <f ca="1">DATEDIF(F17,TODAY(),"Y")</f>
        <v>23</v>
      </c>
      <c r="J17" s="202">
        <v>66580</v>
      </c>
      <c r="K17" s="201">
        <v>5</v>
      </c>
    </row>
    <row r="18" spans="1:11">
      <c r="A18" s="122">
        <v>19</v>
      </c>
      <c r="B18" s="204" t="s">
        <v>655</v>
      </c>
      <c r="C18" s="122" t="s">
        <v>280</v>
      </c>
      <c r="D18" s="122" t="s">
        <v>272</v>
      </c>
      <c r="E18" s="122" t="s">
        <v>252</v>
      </c>
      <c r="F18" s="203">
        <v>33482</v>
      </c>
      <c r="G18" s="122" t="str">
        <f>CHOOSE(MONTH(F18),"January","February","March","April","May","June","July","August","September","October","November","December")</f>
        <v>September</v>
      </c>
      <c r="H18" s="122">
        <f ca="1">DATEDIF(F18,TODAY(),"Y")</f>
        <v>25</v>
      </c>
      <c r="I18" s="122" t="s">
        <v>257</v>
      </c>
      <c r="J18" s="202">
        <v>29070</v>
      </c>
      <c r="K18" s="201">
        <v>3</v>
      </c>
    </row>
    <row r="19" spans="1:11">
      <c r="A19" s="122">
        <v>20</v>
      </c>
      <c r="B19" s="204" t="s">
        <v>632</v>
      </c>
      <c r="C19" s="122" t="s">
        <v>251</v>
      </c>
      <c r="D19" s="122" t="s">
        <v>272</v>
      </c>
      <c r="E19" s="122" t="s">
        <v>256</v>
      </c>
      <c r="F19" s="203">
        <v>37404</v>
      </c>
      <c r="G19" s="122" t="str">
        <f>CHOOSE(MONTH(F19),"January","February","March","April","May","June","July","August","September","October","November","December")</f>
        <v>May</v>
      </c>
      <c r="H19" s="122">
        <f ca="1">DATEDIF(F19,TODAY(),"Y")</f>
        <v>14</v>
      </c>
      <c r="I19" s="122" t="s">
        <v>257</v>
      </c>
      <c r="J19" s="202">
        <v>30780</v>
      </c>
      <c r="K19" s="201">
        <v>4</v>
      </c>
    </row>
    <row r="20" spans="1:11">
      <c r="A20" s="122">
        <v>21</v>
      </c>
      <c r="B20" s="204" t="s">
        <v>335</v>
      </c>
      <c r="C20" s="122" t="s">
        <v>285</v>
      </c>
      <c r="D20" s="122" t="s">
        <v>272</v>
      </c>
      <c r="E20" s="122" t="s">
        <v>256</v>
      </c>
      <c r="F20" s="203">
        <v>35464</v>
      </c>
      <c r="G20" s="122" t="str">
        <f>CHOOSE(MONTH(F20),"January","February","March","April","May","June","July","August","September","October","November","December")</f>
        <v>February</v>
      </c>
      <c r="H20" s="122">
        <f ca="1">DATEDIF(F20,TODAY(),"Y")</f>
        <v>19</v>
      </c>
      <c r="I20" s="122" t="s">
        <v>257</v>
      </c>
      <c r="J20" s="202">
        <v>60830</v>
      </c>
      <c r="K20" s="201">
        <v>2</v>
      </c>
    </row>
    <row r="21" spans="1:11">
      <c r="A21" s="122">
        <v>22</v>
      </c>
      <c r="B21" s="204" t="s">
        <v>768</v>
      </c>
      <c r="C21" s="122" t="s">
        <v>271</v>
      </c>
      <c r="D21" s="122" t="s">
        <v>272</v>
      </c>
      <c r="E21" s="122" t="s">
        <v>256</v>
      </c>
      <c r="F21" s="203">
        <v>38142</v>
      </c>
      <c r="G21" s="122" t="str">
        <f>CHOOSE(MONTH(F21),"January","February","March","April","May","June","July","August","September","October","November","December")</f>
        <v>June</v>
      </c>
      <c r="H21" s="122">
        <f ca="1">DATEDIF(F21,TODAY(),"Y")</f>
        <v>12</v>
      </c>
      <c r="I21" s="122" t="s">
        <v>257</v>
      </c>
      <c r="J21" s="202">
        <v>49350</v>
      </c>
      <c r="K21" s="201">
        <v>4</v>
      </c>
    </row>
    <row r="22" spans="1:11">
      <c r="A22" s="122">
        <v>23</v>
      </c>
      <c r="B22" s="204" t="s">
        <v>747</v>
      </c>
      <c r="C22" s="122" t="s">
        <v>245</v>
      </c>
      <c r="D22" s="122" t="s">
        <v>272</v>
      </c>
      <c r="E22" s="122" t="s">
        <v>256</v>
      </c>
      <c r="F22" s="203">
        <v>39704</v>
      </c>
      <c r="G22" s="122" t="str">
        <f>CHOOSE(MONTH(F22),"January","February","March","April","May","June","July","August","September","October","November","December")</f>
        <v>September</v>
      </c>
      <c r="H22" s="122">
        <f ca="1">DATEDIF(F22,TODAY(),"Y")</f>
        <v>8</v>
      </c>
      <c r="I22" s="122" t="s">
        <v>276</v>
      </c>
      <c r="J22" s="202">
        <v>58290</v>
      </c>
      <c r="K22" s="201">
        <v>5</v>
      </c>
    </row>
    <row r="23" spans="1:11">
      <c r="A23" s="122">
        <v>24</v>
      </c>
      <c r="B23" s="204" t="s">
        <v>421</v>
      </c>
      <c r="C23" s="122" t="s">
        <v>251</v>
      </c>
      <c r="D23" s="122" t="s">
        <v>272</v>
      </c>
      <c r="E23" s="122" t="s">
        <v>261</v>
      </c>
      <c r="F23" s="203">
        <v>36217</v>
      </c>
      <c r="G23" s="122" t="str">
        <f>CHOOSE(MONTH(F23),"January","February","March","April","May","June","July","August","September","October","November","December")</f>
        <v>February</v>
      </c>
      <c r="H23" s="122">
        <f ca="1">DATEDIF(F23,TODAY(),"Y")</f>
        <v>17</v>
      </c>
      <c r="I23" s="122" t="s">
        <v>257</v>
      </c>
      <c r="J23" s="202">
        <v>15240</v>
      </c>
      <c r="K23" s="201">
        <v>1</v>
      </c>
    </row>
    <row r="24" spans="1:11">
      <c r="A24" s="122">
        <v>26</v>
      </c>
      <c r="B24" s="204" t="s">
        <v>547</v>
      </c>
      <c r="C24" s="122" t="s">
        <v>271</v>
      </c>
      <c r="D24" s="122" t="s">
        <v>296</v>
      </c>
      <c r="E24" s="122" t="s">
        <v>252</v>
      </c>
      <c r="F24" s="203">
        <v>35674</v>
      </c>
      <c r="G24" s="122" t="str">
        <f>CHOOSE(MONTH(F24),"January","February","March","April","May","June","July","August","September","October","November","December")</f>
        <v>September</v>
      </c>
      <c r="H24" s="122">
        <f ca="1">DATEDIF(F24,TODAY(),"Y")</f>
        <v>19</v>
      </c>
      <c r="J24" s="202">
        <v>20028</v>
      </c>
      <c r="K24" s="201">
        <v>4</v>
      </c>
    </row>
    <row r="25" spans="1:11">
      <c r="A25" s="122">
        <v>27</v>
      </c>
      <c r="B25" s="204" t="s">
        <v>571</v>
      </c>
      <c r="C25" s="122" t="s">
        <v>251</v>
      </c>
      <c r="D25" s="122" t="s">
        <v>296</v>
      </c>
      <c r="E25" s="122" t="s">
        <v>256</v>
      </c>
      <c r="F25" s="203">
        <v>38051</v>
      </c>
      <c r="G25" s="122" t="str">
        <f>CHOOSE(MONTH(F25),"January","February","March","April","May","June","July","August","September","October","November","December")</f>
        <v>March</v>
      </c>
      <c r="H25" s="122">
        <f ca="1">DATEDIF(F25,TODAY(),"Y")</f>
        <v>12</v>
      </c>
      <c r="I25" s="122" t="s">
        <v>257</v>
      </c>
      <c r="J25" s="202">
        <v>30350</v>
      </c>
      <c r="K25" s="201">
        <v>1</v>
      </c>
    </row>
    <row r="26" spans="1:11">
      <c r="A26" s="122">
        <v>28</v>
      </c>
      <c r="B26" s="204" t="s">
        <v>385</v>
      </c>
      <c r="C26" s="122" t="s">
        <v>245</v>
      </c>
      <c r="D26" s="122" t="s">
        <v>296</v>
      </c>
      <c r="E26" s="122" t="s">
        <v>256</v>
      </c>
      <c r="F26" s="203">
        <v>36893</v>
      </c>
      <c r="G26" s="122" t="str">
        <f>CHOOSE(MONTH(F26),"January","February","March","April","May","June","July","August","September","October","November","December")</f>
        <v>January</v>
      </c>
      <c r="H26" s="122">
        <f ca="1">DATEDIF(F26,TODAY(),"Y")</f>
        <v>15</v>
      </c>
      <c r="I26" s="122" t="s">
        <v>283</v>
      </c>
      <c r="J26" s="202">
        <v>33640</v>
      </c>
      <c r="K26" s="201">
        <v>3</v>
      </c>
    </row>
    <row r="27" spans="1:11">
      <c r="A27" s="122">
        <v>29</v>
      </c>
      <c r="B27" s="204" t="s">
        <v>959</v>
      </c>
      <c r="C27" s="122" t="s">
        <v>285</v>
      </c>
      <c r="D27" s="122" t="s">
        <v>296</v>
      </c>
      <c r="E27" s="122" t="s">
        <v>256</v>
      </c>
      <c r="F27" s="203">
        <v>34301</v>
      </c>
      <c r="G27" s="122" t="str">
        <f>CHOOSE(MONTH(F27),"January","February","March","April","May","June","July","August","September","October","November","December")</f>
        <v>November</v>
      </c>
      <c r="H27" s="122">
        <f ca="1">DATEDIF(F27,TODAY(),"Y")</f>
        <v>22</v>
      </c>
      <c r="I27" s="122" t="s">
        <v>257</v>
      </c>
      <c r="J27" s="202">
        <v>73440</v>
      </c>
      <c r="K27" s="201">
        <v>1</v>
      </c>
    </row>
    <row r="28" spans="1:11">
      <c r="A28" s="122">
        <v>30</v>
      </c>
      <c r="B28" s="204" t="s">
        <v>343</v>
      </c>
      <c r="C28" s="122" t="s">
        <v>271</v>
      </c>
      <c r="D28" s="122" t="s">
        <v>296</v>
      </c>
      <c r="E28" s="122" t="s">
        <v>256</v>
      </c>
      <c r="F28" s="203">
        <v>35459</v>
      </c>
      <c r="G28" s="122" t="str">
        <f>CHOOSE(MONTH(F28),"January","February","March","April","May","June","July","August","September","October","November","December")</f>
        <v>January</v>
      </c>
      <c r="H28" s="122">
        <f ca="1">DATEDIF(F28,TODAY(),"Y")</f>
        <v>19</v>
      </c>
      <c r="I28" s="122" t="s">
        <v>283</v>
      </c>
      <c r="J28" s="202">
        <v>49360</v>
      </c>
      <c r="K28" s="201">
        <v>2</v>
      </c>
    </row>
    <row r="29" spans="1:11">
      <c r="A29" s="122">
        <v>31</v>
      </c>
      <c r="B29" s="204" t="s">
        <v>843</v>
      </c>
      <c r="C29" s="122" t="s">
        <v>245</v>
      </c>
      <c r="D29" s="122" t="s">
        <v>296</v>
      </c>
      <c r="E29" s="122" t="s">
        <v>261</v>
      </c>
      <c r="F29" s="203">
        <v>35564</v>
      </c>
      <c r="G29" s="122" t="str">
        <f>CHOOSE(MONTH(F29),"January","February","March","April","May","June","July","August","September","October","November","December")</f>
        <v>May</v>
      </c>
      <c r="H29" s="122">
        <f ca="1">DATEDIF(F29,TODAY(),"Y")</f>
        <v>19</v>
      </c>
      <c r="I29" s="122" t="s">
        <v>257</v>
      </c>
      <c r="J29" s="202">
        <v>11025</v>
      </c>
      <c r="K29" s="201">
        <v>1</v>
      </c>
    </row>
    <row r="30" spans="1:11">
      <c r="A30" s="122">
        <v>32</v>
      </c>
      <c r="B30" s="204" t="s">
        <v>389</v>
      </c>
      <c r="C30" s="122" t="s">
        <v>245</v>
      </c>
      <c r="D30" s="122" t="s">
        <v>296</v>
      </c>
      <c r="E30" s="122" t="s">
        <v>256</v>
      </c>
      <c r="F30" s="203">
        <v>36619</v>
      </c>
      <c r="G30" s="122" t="str">
        <f>CHOOSE(MONTH(F30),"January","February","March","April","May","June","July","August","September","October","November","December")</f>
        <v>April</v>
      </c>
      <c r="H30" s="122">
        <f ca="1">DATEDIF(F30,TODAY(),"Y")</f>
        <v>16</v>
      </c>
      <c r="I30" s="122" t="s">
        <v>267</v>
      </c>
      <c r="J30" s="202">
        <v>56440</v>
      </c>
      <c r="K30" s="201">
        <v>1</v>
      </c>
    </row>
    <row r="31" spans="1:11">
      <c r="A31" s="122">
        <v>33</v>
      </c>
      <c r="B31" s="204" t="s">
        <v>858</v>
      </c>
      <c r="C31" s="122" t="s">
        <v>245</v>
      </c>
      <c r="D31" s="122" t="s">
        <v>296</v>
      </c>
      <c r="E31" s="122" t="s">
        <v>256</v>
      </c>
      <c r="F31" s="203">
        <v>33551</v>
      </c>
      <c r="G31" s="122" t="str">
        <f>CHOOSE(MONTH(F31),"January","February","March","April","May","June","July","August","September","October","November","December")</f>
        <v>November</v>
      </c>
      <c r="H31" s="122">
        <f ca="1">DATEDIF(F31,TODAY(),"Y")</f>
        <v>25</v>
      </c>
      <c r="I31" s="122" t="s">
        <v>262</v>
      </c>
      <c r="J31" s="202">
        <v>41350</v>
      </c>
      <c r="K31" s="201">
        <v>2</v>
      </c>
    </row>
    <row r="32" spans="1:11">
      <c r="A32" s="122">
        <v>34</v>
      </c>
      <c r="B32" s="204" t="s">
        <v>620</v>
      </c>
      <c r="C32" s="122" t="s">
        <v>285</v>
      </c>
      <c r="D32" s="122" t="s">
        <v>296</v>
      </c>
      <c r="E32" s="122" t="s">
        <v>256</v>
      </c>
      <c r="F32" s="203">
        <v>36214</v>
      </c>
      <c r="G32" s="122" t="str">
        <f>CHOOSE(MONTH(F32),"January","February","March","April","May","June","July","August","September","October","November","December")</f>
        <v>February</v>
      </c>
      <c r="H32" s="122">
        <f ca="1">DATEDIF(F32,TODAY(),"Y")</f>
        <v>17</v>
      </c>
      <c r="I32" s="122" t="s">
        <v>276</v>
      </c>
      <c r="J32" s="202">
        <v>47850</v>
      </c>
      <c r="K32" s="201">
        <v>1</v>
      </c>
    </row>
    <row r="33" spans="1:11">
      <c r="A33" s="122">
        <v>35</v>
      </c>
      <c r="B33" s="204" t="s">
        <v>972</v>
      </c>
      <c r="C33" s="122" t="s">
        <v>245</v>
      </c>
      <c r="D33" s="122" t="s">
        <v>296</v>
      </c>
      <c r="E33" s="122" t="s">
        <v>256</v>
      </c>
      <c r="F33" s="203">
        <v>40106</v>
      </c>
      <c r="G33" s="122" t="str">
        <f>CHOOSE(MONTH(F33),"January","February","March","April","May","June","July","August","September","October","November","December")</f>
        <v>October</v>
      </c>
      <c r="H33" s="122">
        <f ca="1">DATEDIF(F33,TODAY(),"Y")</f>
        <v>7</v>
      </c>
      <c r="I33" s="122" t="s">
        <v>262</v>
      </c>
      <c r="J33" s="202">
        <v>51180</v>
      </c>
      <c r="K33" s="201">
        <v>3</v>
      </c>
    </row>
    <row r="34" spans="1:11">
      <c r="A34" s="122">
        <v>37</v>
      </c>
      <c r="B34" s="204" t="s">
        <v>601</v>
      </c>
      <c r="C34" s="122" t="s">
        <v>285</v>
      </c>
      <c r="D34" s="122" t="s">
        <v>307</v>
      </c>
      <c r="E34" s="122" t="s">
        <v>261</v>
      </c>
      <c r="F34" s="203">
        <v>39417</v>
      </c>
      <c r="G34" s="122" t="str">
        <f>CHOOSE(MONTH(F34),"January","February","March","April","May","June","July","August","September","October","November","December")</f>
        <v>December</v>
      </c>
      <c r="H34" s="122">
        <f ca="1">DATEDIF(F34,TODAY(),"Y")</f>
        <v>8</v>
      </c>
      <c r="I34" s="122" t="s">
        <v>267</v>
      </c>
      <c r="J34" s="202">
        <v>46095</v>
      </c>
      <c r="K34" s="201">
        <v>3</v>
      </c>
    </row>
    <row r="35" spans="1:11">
      <c r="A35" s="122">
        <v>38</v>
      </c>
      <c r="B35" s="204" t="s">
        <v>1006</v>
      </c>
      <c r="C35" s="122" t="s">
        <v>271</v>
      </c>
      <c r="D35" s="122" t="s">
        <v>307</v>
      </c>
      <c r="E35" s="122" t="s">
        <v>261</v>
      </c>
      <c r="F35" s="203">
        <v>40152</v>
      </c>
      <c r="G35" s="122" t="str">
        <f>CHOOSE(MONTH(F35),"January","February","March","April","May","June","July","August","September","October","November","December")</f>
        <v>December</v>
      </c>
      <c r="H35" s="122">
        <f ca="1">DATEDIF(F35,TODAY(),"Y")</f>
        <v>6</v>
      </c>
      <c r="I35" s="122" t="s">
        <v>283</v>
      </c>
      <c r="J35" s="202">
        <v>28680</v>
      </c>
      <c r="K35" s="201">
        <v>1</v>
      </c>
    </row>
    <row r="36" spans="1:11">
      <c r="A36" s="122">
        <v>39</v>
      </c>
      <c r="B36" s="204" t="s">
        <v>850</v>
      </c>
      <c r="C36" s="122" t="s">
        <v>280</v>
      </c>
      <c r="D36" s="122" t="s">
        <v>307</v>
      </c>
      <c r="E36" s="122" t="s">
        <v>247</v>
      </c>
      <c r="F36" s="203">
        <v>35395</v>
      </c>
      <c r="G36" s="122" t="str">
        <f>CHOOSE(MONTH(F36),"January","February","March","April","May","June","July","August","September","October","November","December")</f>
        <v>November</v>
      </c>
      <c r="H36" s="122">
        <f ca="1">DATEDIF(F36,TODAY(),"Y")</f>
        <v>19</v>
      </c>
      <c r="J36" s="202">
        <v>58130</v>
      </c>
      <c r="K36" s="201">
        <v>2</v>
      </c>
    </row>
    <row r="37" spans="1:11">
      <c r="A37" s="122">
        <v>40</v>
      </c>
      <c r="B37" s="204" t="s">
        <v>925</v>
      </c>
      <c r="C37" s="122" t="s">
        <v>285</v>
      </c>
      <c r="D37" s="122" t="s">
        <v>307</v>
      </c>
      <c r="E37" s="122" t="s">
        <v>256</v>
      </c>
      <c r="F37" s="203">
        <v>33713</v>
      </c>
      <c r="G37" s="122" t="str">
        <f>CHOOSE(MONTH(F37),"January","February","March","April","May","June","July","August","September","October","November","December")</f>
        <v>April</v>
      </c>
      <c r="H37" s="122">
        <f ca="1">DATEDIF(F37,TODAY(),"Y")</f>
        <v>24</v>
      </c>
      <c r="I37" s="122" t="s">
        <v>257</v>
      </c>
      <c r="J37" s="202">
        <v>46220</v>
      </c>
      <c r="K37" s="201">
        <v>3</v>
      </c>
    </row>
    <row r="38" spans="1:11">
      <c r="A38" s="122">
        <v>42</v>
      </c>
      <c r="B38" s="204" t="s">
        <v>797</v>
      </c>
      <c r="C38" s="122" t="s">
        <v>285</v>
      </c>
      <c r="D38" s="122" t="s">
        <v>312</v>
      </c>
      <c r="E38" s="122" t="s">
        <v>247</v>
      </c>
      <c r="F38" s="203">
        <v>38907</v>
      </c>
      <c r="G38" s="122" t="str">
        <f>CHOOSE(MONTH(F38),"January","February","March","April","May","June","July","August","September","October","November","December")</f>
        <v>July</v>
      </c>
      <c r="H38" s="122">
        <f ca="1">DATEDIF(F38,TODAY(),"Y")</f>
        <v>10</v>
      </c>
      <c r="J38" s="202">
        <v>89310</v>
      </c>
      <c r="K38" s="201">
        <v>5</v>
      </c>
    </row>
    <row r="39" spans="1:11">
      <c r="A39" s="122">
        <v>43</v>
      </c>
      <c r="B39" s="204" t="s">
        <v>939</v>
      </c>
      <c r="C39" s="122" t="s">
        <v>266</v>
      </c>
      <c r="D39" s="122" t="s">
        <v>312</v>
      </c>
      <c r="E39" s="122" t="s">
        <v>247</v>
      </c>
      <c r="F39" s="203">
        <v>35940</v>
      </c>
      <c r="G39" s="122" t="str">
        <f>CHOOSE(MONTH(F39),"January","February","March","April","May","June","July","August","September","October","November","December")</f>
        <v>May</v>
      </c>
      <c r="H39" s="122">
        <f ca="1">DATEDIF(F39,TODAY(),"Y")</f>
        <v>18</v>
      </c>
      <c r="J39" s="202">
        <v>88000</v>
      </c>
      <c r="K39" s="201">
        <v>5</v>
      </c>
    </row>
    <row r="40" spans="1:11">
      <c r="A40" s="122">
        <v>44</v>
      </c>
      <c r="B40" s="204" t="s">
        <v>999</v>
      </c>
      <c r="C40" s="122" t="s">
        <v>245</v>
      </c>
      <c r="D40" s="122" t="s">
        <v>312</v>
      </c>
      <c r="E40" s="122" t="s">
        <v>261</v>
      </c>
      <c r="F40" s="203">
        <v>35517</v>
      </c>
      <c r="G40" s="122" t="str">
        <f>CHOOSE(MONTH(F40),"January","February","March","April","May","June","July","August","September","October","November","December")</f>
        <v>March</v>
      </c>
      <c r="H40" s="122">
        <f ca="1">DATEDIF(F40,TODAY(),"Y")</f>
        <v>19</v>
      </c>
      <c r="I40" s="122" t="s">
        <v>267</v>
      </c>
      <c r="J40" s="202">
        <v>48415</v>
      </c>
      <c r="K40" s="201">
        <v>4</v>
      </c>
    </row>
    <row r="41" spans="1:11">
      <c r="A41" s="122">
        <v>45</v>
      </c>
      <c r="B41" s="204" t="s">
        <v>844</v>
      </c>
      <c r="C41" s="122" t="s">
        <v>285</v>
      </c>
      <c r="D41" s="122" t="s">
        <v>312</v>
      </c>
      <c r="E41" s="122" t="s">
        <v>256</v>
      </c>
      <c r="F41" s="203">
        <v>37785</v>
      </c>
      <c r="G41" s="122" t="str">
        <f>CHOOSE(MONTH(F41),"January","February","March","April","May","June","July","August","September","October","November","December")</f>
        <v>June</v>
      </c>
      <c r="H41" s="122">
        <f ca="1">DATEDIF(F41,TODAY(),"Y")</f>
        <v>13</v>
      </c>
      <c r="I41" s="122" t="s">
        <v>283</v>
      </c>
      <c r="J41" s="202">
        <v>87280</v>
      </c>
      <c r="K41" s="201">
        <v>4</v>
      </c>
    </row>
    <row r="42" spans="1:11">
      <c r="A42" s="122">
        <v>46</v>
      </c>
      <c r="B42" s="204" t="s">
        <v>522</v>
      </c>
      <c r="C42" s="122" t="s">
        <v>285</v>
      </c>
      <c r="D42" s="122" t="s">
        <v>312</v>
      </c>
      <c r="E42" s="122" t="s">
        <v>261</v>
      </c>
      <c r="F42" s="203">
        <v>34548</v>
      </c>
      <c r="G42" s="122" t="str">
        <f>CHOOSE(MONTH(F42),"January","February","March","April","May","June","July","August","September","October","November","December")</f>
        <v>August</v>
      </c>
      <c r="H42" s="122">
        <f ca="1">DATEDIF(F42,TODAY(),"Y")</f>
        <v>22</v>
      </c>
      <c r="I42" s="122" t="s">
        <v>276</v>
      </c>
      <c r="J42" s="202">
        <v>38920</v>
      </c>
      <c r="K42" s="201">
        <v>4</v>
      </c>
    </row>
    <row r="43" spans="1:11">
      <c r="A43" s="122">
        <v>47</v>
      </c>
      <c r="B43" s="204" t="s">
        <v>870</v>
      </c>
      <c r="C43" s="122" t="s">
        <v>271</v>
      </c>
      <c r="D43" s="122" t="s">
        <v>312</v>
      </c>
      <c r="E43" s="122" t="s">
        <v>256</v>
      </c>
      <c r="F43" s="203">
        <v>33527</v>
      </c>
      <c r="G43" s="122" t="str">
        <f>CHOOSE(MONTH(F43),"January","February","March","April","May","June","July","August","September","October","November","December")</f>
        <v>October</v>
      </c>
      <c r="H43" s="122">
        <f ca="1">DATEDIF(F43,TODAY(),"Y")</f>
        <v>25</v>
      </c>
      <c r="I43" s="122" t="s">
        <v>283</v>
      </c>
      <c r="J43" s="202">
        <v>85920</v>
      </c>
      <c r="K43" s="201">
        <v>4</v>
      </c>
    </row>
    <row r="44" spans="1:11">
      <c r="A44" s="122">
        <v>48</v>
      </c>
      <c r="B44" s="204" t="s">
        <v>796</v>
      </c>
      <c r="C44" s="122" t="s">
        <v>285</v>
      </c>
      <c r="D44" s="122" t="s">
        <v>312</v>
      </c>
      <c r="E44" s="122" t="s">
        <v>256</v>
      </c>
      <c r="F44" s="203">
        <v>37348</v>
      </c>
      <c r="G44" s="122" t="str">
        <f>CHOOSE(MONTH(F44),"January","February","March","April","May","June","July","August","September","October","November","December")</f>
        <v>April</v>
      </c>
      <c r="H44" s="122">
        <f ca="1">DATEDIF(F44,TODAY(),"Y")</f>
        <v>14</v>
      </c>
      <c r="I44" s="122" t="s">
        <v>262</v>
      </c>
      <c r="J44" s="202">
        <v>85880</v>
      </c>
      <c r="K44" s="201">
        <v>3</v>
      </c>
    </row>
    <row r="45" spans="1:11">
      <c r="A45" s="122">
        <v>49</v>
      </c>
      <c r="B45" s="204" t="s">
        <v>993</v>
      </c>
      <c r="C45" s="122" t="s">
        <v>271</v>
      </c>
      <c r="D45" s="122" t="s">
        <v>312</v>
      </c>
      <c r="E45" s="122" t="s">
        <v>247</v>
      </c>
      <c r="F45" s="203">
        <v>35848</v>
      </c>
      <c r="G45" s="122" t="str">
        <f>CHOOSE(MONTH(F45),"January","February","March","April","May","June","July","August","September","October","November","December")</f>
        <v>February</v>
      </c>
      <c r="H45" s="122">
        <f ca="1">DATEDIF(F45,TODAY(),"Y")</f>
        <v>18</v>
      </c>
      <c r="J45" s="202">
        <v>85480</v>
      </c>
      <c r="K45" s="201">
        <v>5</v>
      </c>
    </row>
    <row r="46" spans="1:11">
      <c r="A46" s="122">
        <v>50</v>
      </c>
      <c r="B46" s="204" t="s">
        <v>496</v>
      </c>
      <c r="C46" s="122" t="s">
        <v>285</v>
      </c>
      <c r="D46" s="122" t="s">
        <v>312</v>
      </c>
      <c r="E46" s="122" t="s">
        <v>247</v>
      </c>
      <c r="F46" s="203">
        <v>35569</v>
      </c>
      <c r="G46" s="122" t="str">
        <f>CHOOSE(MONTH(F46),"January","February","March","April","May","June","July","August","September","October","November","December")</f>
        <v>May</v>
      </c>
      <c r="H46" s="122">
        <f ca="1">DATEDIF(F46,TODAY(),"Y")</f>
        <v>19</v>
      </c>
      <c r="J46" s="202">
        <v>84200</v>
      </c>
      <c r="K46" s="201">
        <v>2</v>
      </c>
    </row>
    <row r="47" spans="1:11">
      <c r="A47" s="122">
        <v>51</v>
      </c>
      <c r="B47" s="204" t="s">
        <v>734</v>
      </c>
      <c r="C47" s="122" t="s">
        <v>245</v>
      </c>
      <c r="D47" s="122" t="s">
        <v>312</v>
      </c>
      <c r="E47" s="122" t="s">
        <v>247</v>
      </c>
      <c r="F47" s="203">
        <v>38970</v>
      </c>
      <c r="G47" s="122" t="str">
        <f>CHOOSE(MONTH(F47),"January","February","March","April","May","June","July","August","September","October","November","December")</f>
        <v>September</v>
      </c>
      <c r="H47" s="122">
        <f ca="1">DATEDIF(F47,TODAY(),"Y")</f>
        <v>10</v>
      </c>
      <c r="J47" s="202">
        <v>83070</v>
      </c>
      <c r="K47" s="201">
        <v>3</v>
      </c>
    </row>
    <row r="48" spans="1:11">
      <c r="A48" s="122">
        <v>52</v>
      </c>
      <c r="B48" s="204" t="s">
        <v>624</v>
      </c>
      <c r="C48" s="122" t="s">
        <v>245</v>
      </c>
      <c r="D48" s="122" t="s">
        <v>312</v>
      </c>
      <c r="E48" s="122" t="s">
        <v>247</v>
      </c>
      <c r="F48" s="203">
        <v>33981</v>
      </c>
      <c r="G48" s="122" t="str">
        <f>CHOOSE(MONTH(F48),"January","February","March","April","May","June","July","August","September","October","November","December")</f>
        <v>January</v>
      </c>
      <c r="H48" s="122">
        <f ca="1">DATEDIF(F48,TODAY(),"Y")</f>
        <v>23</v>
      </c>
      <c r="J48" s="202">
        <v>83020</v>
      </c>
      <c r="K48" s="201">
        <v>4</v>
      </c>
    </row>
    <row r="49" spans="1:11">
      <c r="A49" s="122">
        <v>53</v>
      </c>
      <c r="B49" s="204" t="s">
        <v>471</v>
      </c>
      <c r="C49" s="122" t="s">
        <v>251</v>
      </c>
      <c r="D49" s="122" t="s">
        <v>312</v>
      </c>
      <c r="E49" s="122" t="s">
        <v>256</v>
      </c>
      <c r="F49" s="203">
        <v>35197</v>
      </c>
      <c r="G49" s="122" t="str">
        <f>CHOOSE(MONTH(F49),"January","February","March","April","May","June","July","August","September","October","November","December")</f>
        <v>May</v>
      </c>
      <c r="H49" s="122">
        <f ca="1">DATEDIF(F49,TODAY(),"Y")</f>
        <v>20</v>
      </c>
      <c r="I49" s="122" t="s">
        <v>276</v>
      </c>
      <c r="J49" s="202">
        <v>82120</v>
      </c>
      <c r="K49" s="201">
        <v>5</v>
      </c>
    </row>
    <row r="50" spans="1:11">
      <c r="A50" s="122">
        <v>54</v>
      </c>
      <c r="B50" s="204" t="s">
        <v>630</v>
      </c>
      <c r="C50" s="122" t="s">
        <v>271</v>
      </c>
      <c r="D50" s="122" t="s">
        <v>312</v>
      </c>
      <c r="E50" s="122" t="s">
        <v>261</v>
      </c>
      <c r="F50" s="203">
        <v>34166</v>
      </c>
      <c r="G50" s="122" t="str">
        <f>CHOOSE(MONTH(F50),"January","February","March","April","May","June","July","August","September","October","November","December")</f>
        <v>July</v>
      </c>
      <c r="H50" s="122">
        <f ca="1">DATEDIF(F50,TODAY(),"Y")</f>
        <v>23</v>
      </c>
      <c r="I50" s="122" t="s">
        <v>257</v>
      </c>
      <c r="J50" s="202">
        <v>26890</v>
      </c>
      <c r="K50" s="201">
        <v>3</v>
      </c>
    </row>
    <row r="51" spans="1:11">
      <c r="A51" s="122">
        <v>55</v>
      </c>
      <c r="B51" s="204" t="s">
        <v>577</v>
      </c>
      <c r="C51" s="122" t="s">
        <v>285</v>
      </c>
      <c r="D51" s="122" t="s">
        <v>312</v>
      </c>
      <c r="E51" s="122" t="s">
        <v>252</v>
      </c>
      <c r="F51" s="203">
        <v>33620</v>
      </c>
      <c r="G51" s="122" t="str">
        <f>CHOOSE(MONTH(F51),"January","February","March","April","May","June","July","August","September","October","November","December")</f>
        <v>January</v>
      </c>
      <c r="H51" s="122">
        <f ca="1">DATEDIF(F51,TODAY(),"Y")</f>
        <v>24</v>
      </c>
      <c r="J51" s="202">
        <v>14568</v>
      </c>
      <c r="K51" s="201">
        <v>3</v>
      </c>
    </row>
    <row r="52" spans="1:11">
      <c r="A52" s="122">
        <v>56</v>
      </c>
      <c r="B52" s="204" t="s">
        <v>941</v>
      </c>
      <c r="C52" s="122" t="s">
        <v>285</v>
      </c>
      <c r="D52" s="122" t="s">
        <v>312</v>
      </c>
      <c r="E52" s="122" t="s">
        <v>247</v>
      </c>
      <c r="F52" s="203">
        <v>39959</v>
      </c>
      <c r="G52" s="122" t="str">
        <f>CHOOSE(MONTH(F52),"January","February","March","April","May","June","July","August","September","October","November","December")</f>
        <v>May</v>
      </c>
      <c r="H52" s="122">
        <f ca="1">DATEDIF(F52,TODAY(),"Y")</f>
        <v>7</v>
      </c>
      <c r="J52" s="202">
        <v>79460</v>
      </c>
      <c r="K52" s="201">
        <v>5</v>
      </c>
    </row>
    <row r="53" spans="1:11">
      <c r="A53" s="122">
        <v>57</v>
      </c>
      <c r="B53" s="204" t="s">
        <v>866</v>
      </c>
      <c r="C53" s="122" t="s">
        <v>245</v>
      </c>
      <c r="D53" s="122" t="s">
        <v>312</v>
      </c>
      <c r="E53" s="122" t="s">
        <v>256</v>
      </c>
      <c r="F53" s="203">
        <v>33348</v>
      </c>
      <c r="G53" s="122" t="str">
        <f>CHOOSE(MONTH(F53),"January","February","March","April","May","June","July","August","September","October","November","December")</f>
        <v>April</v>
      </c>
      <c r="H53" s="122">
        <f ca="1">DATEDIF(F53,TODAY(),"Y")</f>
        <v>25</v>
      </c>
      <c r="I53" s="122" t="s">
        <v>276</v>
      </c>
      <c r="J53" s="202">
        <v>49810</v>
      </c>
      <c r="K53" s="201">
        <v>2</v>
      </c>
    </row>
    <row r="54" spans="1:11">
      <c r="A54" s="122">
        <v>58</v>
      </c>
      <c r="B54" s="204" t="s">
        <v>800</v>
      </c>
      <c r="C54" s="122" t="s">
        <v>245</v>
      </c>
      <c r="D54" s="122" t="s">
        <v>312</v>
      </c>
      <c r="E54" s="122" t="s">
        <v>256</v>
      </c>
      <c r="F54" s="203">
        <v>35667</v>
      </c>
      <c r="G54" s="122" t="str">
        <f>CHOOSE(MONTH(F54),"January","February","March","April","May","June","July","August","September","October","November","December")</f>
        <v>August</v>
      </c>
      <c r="H54" s="122">
        <f ca="1">DATEDIF(F54,TODAY(),"Y")</f>
        <v>19</v>
      </c>
      <c r="I54" s="122" t="s">
        <v>257</v>
      </c>
      <c r="J54" s="202">
        <v>40920</v>
      </c>
      <c r="K54" s="201">
        <v>4</v>
      </c>
    </row>
    <row r="55" spans="1:11">
      <c r="A55" s="122">
        <v>59</v>
      </c>
      <c r="B55" s="204" t="s">
        <v>893</v>
      </c>
      <c r="C55" s="122" t="s">
        <v>285</v>
      </c>
      <c r="D55" s="122" t="s">
        <v>312</v>
      </c>
      <c r="E55" s="122" t="s">
        <v>256</v>
      </c>
      <c r="F55" s="203">
        <v>37008</v>
      </c>
      <c r="G55" s="122" t="str">
        <f>CHOOSE(MONTH(F55),"January","February","March","April","May","June","July","August","September","October","November","December")</f>
        <v>April</v>
      </c>
      <c r="H55" s="122">
        <f ca="1">DATEDIF(F55,TODAY(),"Y")</f>
        <v>15</v>
      </c>
      <c r="I55" s="122" t="s">
        <v>257</v>
      </c>
      <c r="J55" s="202">
        <v>27180</v>
      </c>
      <c r="K55" s="201">
        <v>4</v>
      </c>
    </row>
    <row r="56" spans="1:11">
      <c r="A56" s="122">
        <v>60</v>
      </c>
      <c r="B56" s="204" t="s">
        <v>910</v>
      </c>
      <c r="C56" s="122" t="s">
        <v>285</v>
      </c>
      <c r="D56" s="122" t="s">
        <v>312</v>
      </c>
      <c r="E56" s="122" t="s">
        <v>256</v>
      </c>
      <c r="F56" s="203">
        <v>36506</v>
      </c>
      <c r="G56" s="122" t="str">
        <f>CHOOSE(MONTH(F56),"January","February","March","April","May","June","July","August","September","October","November","December")</f>
        <v>December</v>
      </c>
      <c r="H56" s="122">
        <f ca="1">DATEDIF(F56,TODAY(),"Y")</f>
        <v>16</v>
      </c>
      <c r="I56" s="122" t="s">
        <v>283</v>
      </c>
      <c r="J56" s="202">
        <v>32100</v>
      </c>
      <c r="K56" s="201">
        <v>1</v>
      </c>
    </row>
    <row r="57" spans="1:11">
      <c r="A57" s="122">
        <v>61</v>
      </c>
      <c r="B57" s="204" t="s">
        <v>692</v>
      </c>
      <c r="C57" s="122" t="s">
        <v>271</v>
      </c>
      <c r="D57" s="122" t="s">
        <v>312</v>
      </c>
      <c r="E57" s="122" t="s">
        <v>256</v>
      </c>
      <c r="F57" s="203">
        <v>40085</v>
      </c>
      <c r="G57" s="122" t="str">
        <f>CHOOSE(MONTH(F57),"January","February","March","April","May","June","July","August","September","October","November","December")</f>
        <v>September</v>
      </c>
      <c r="H57" s="122">
        <f ca="1">DATEDIF(F57,TODAY(),"Y")</f>
        <v>7</v>
      </c>
      <c r="I57" s="122" t="s">
        <v>257</v>
      </c>
      <c r="J57" s="202">
        <v>41490</v>
      </c>
      <c r="K57" s="201">
        <v>5</v>
      </c>
    </row>
    <row r="58" spans="1:11">
      <c r="A58" s="122">
        <v>62</v>
      </c>
      <c r="B58" s="204" t="s">
        <v>301</v>
      </c>
      <c r="C58" s="122" t="s">
        <v>271</v>
      </c>
      <c r="D58" s="122" t="s">
        <v>312</v>
      </c>
      <c r="E58" s="122" t="s">
        <v>256</v>
      </c>
      <c r="F58" s="203">
        <v>40501</v>
      </c>
      <c r="G58" s="122" t="str">
        <f>CHOOSE(MONTH(F58),"January","February","March","April","May","June","July","August","September","October","November","December")</f>
        <v>November</v>
      </c>
      <c r="H58" s="122">
        <f ca="1">DATEDIF(F58,TODAY(),"Y")</f>
        <v>5</v>
      </c>
      <c r="I58" s="122" t="s">
        <v>267</v>
      </c>
      <c r="J58" s="202">
        <v>77820</v>
      </c>
      <c r="K58" s="201">
        <v>3</v>
      </c>
    </row>
    <row r="59" spans="1:11">
      <c r="A59" s="122">
        <v>63</v>
      </c>
      <c r="B59" s="204" t="s">
        <v>562</v>
      </c>
      <c r="C59" s="122" t="s">
        <v>285</v>
      </c>
      <c r="D59" s="122" t="s">
        <v>312</v>
      </c>
      <c r="E59" s="122" t="s">
        <v>256</v>
      </c>
      <c r="F59" s="203">
        <v>35207</v>
      </c>
      <c r="G59" s="122" t="str">
        <f>CHOOSE(MONTH(F59),"January","February","March","April","May","June","July","August","September","October","November","December")</f>
        <v>May</v>
      </c>
      <c r="H59" s="122">
        <f ca="1">DATEDIF(F59,TODAY(),"Y")</f>
        <v>20</v>
      </c>
      <c r="I59" s="122" t="s">
        <v>267</v>
      </c>
      <c r="J59" s="202">
        <v>77580</v>
      </c>
      <c r="K59" s="201">
        <v>3</v>
      </c>
    </row>
    <row r="60" spans="1:11">
      <c r="A60" s="122">
        <v>64</v>
      </c>
      <c r="B60" s="204" t="s">
        <v>703</v>
      </c>
      <c r="C60" s="122" t="s">
        <v>271</v>
      </c>
      <c r="D60" s="122" t="s">
        <v>312</v>
      </c>
      <c r="E60" s="122" t="s">
        <v>256</v>
      </c>
      <c r="F60" s="203">
        <v>35086</v>
      </c>
      <c r="G60" s="122" t="str">
        <f>CHOOSE(MONTH(F60),"January","February","March","April","May","June","July","August","September","October","November","December")</f>
        <v>January</v>
      </c>
      <c r="H60" s="122">
        <f ca="1">DATEDIF(F60,TODAY(),"Y")</f>
        <v>20</v>
      </c>
      <c r="I60" s="122" t="s">
        <v>267</v>
      </c>
      <c r="J60" s="202">
        <v>77350</v>
      </c>
      <c r="K60" s="201">
        <v>5</v>
      </c>
    </row>
    <row r="61" spans="1:11">
      <c r="A61" s="122">
        <v>65</v>
      </c>
      <c r="B61" s="204" t="s">
        <v>599</v>
      </c>
      <c r="C61" s="122" t="s">
        <v>245</v>
      </c>
      <c r="D61" s="122" t="s">
        <v>312</v>
      </c>
      <c r="E61" s="122" t="s">
        <v>247</v>
      </c>
      <c r="F61" s="203">
        <v>36087</v>
      </c>
      <c r="G61" s="122" t="str">
        <f>CHOOSE(MONTH(F61),"January","February","March","April","May","June","July","August","September","October","November","December")</f>
        <v>October</v>
      </c>
      <c r="H61" s="122">
        <f ca="1">DATEDIF(F61,TODAY(),"Y")</f>
        <v>18</v>
      </c>
      <c r="J61" s="202">
        <v>76930</v>
      </c>
      <c r="K61" s="201">
        <v>1</v>
      </c>
    </row>
    <row r="62" spans="1:11">
      <c r="A62" s="122">
        <v>66</v>
      </c>
      <c r="B62" s="204" t="s">
        <v>1008</v>
      </c>
      <c r="C62" s="122" t="s">
        <v>280</v>
      </c>
      <c r="D62" s="122" t="s">
        <v>312</v>
      </c>
      <c r="E62" s="122" t="s">
        <v>247</v>
      </c>
      <c r="F62" s="203">
        <v>39922</v>
      </c>
      <c r="G62" s="122" t="str">
        <f>CHOOSE(MONTH(F62),"January","February","March","April","May","June","July","August","September","October","November","December")</f>
        <v>April</v>
      </c>
      <c r="H62" s="122">
        <f ca="1">DATEDIF(F62,TODAY(),"Y")</f>
        <v>7</v>
      </c>
      <c r="J62" s="202">
        <v>25790</v>
      </c>
      <c r="K62" s="201">
        <v>3</v>
      </c>
    </row>
    <row r="63" spans="1:11">
      <c r="A63" s="122">
        <v>67</v>
      </c>
      <c r="B63" s="204" t="s">
        <v>770</v>
      </c>
      <c r="C63" s="122" t="s">
        <v>271</v>
      </c>
      <c r="D63" s="122" t="s">
        <v>312</v>
      </c>
      <c r="E63" s="122" t="s">
        <v>247</v>
      </c>
      <c r="F63" s="203">
        <v>35505</v>
      </c>
      <c r="G63" s="122" t="str">
        <f>CHOOSE(MONTH(F63),"January","February","March","April","May","June","July","August","September","October","November","December")</f>
        <v>March</v>
      </c>
      <c r="H63" s="122">
        <f ca="1">DATEDIF(F63,TODAY(),"Y")</f>
        <v>19</v>
      </c>
      <c r="J63" s="202">
        <v>74740</v>
      </c>
      <c r="K63" s="201">
        <v>5</v>
      </c>
    </row>
    <row r="64" spans="1:11">
      <c r="A64" s="122">
        <v>68</v>
      </c>
      <c r="B64" s="204" t="s">
        <v>861</v>
      </c>
      <c r="C64" s="122" t="s">
        <v>251</v>
      </c>
      <c r="D64" s="122" t="s">
        <v>312</v>
      </c>
      <c r="E64" s="122" t="s">
        <v>256</v>
      </c>
      <c r="F64" s="203">
        <v>40575</v>
      </c>
      <c r="G64" s="122" t="str">
        <f>CHOOSE(MONTH(F64),"January","February","March","April","May","June","July","August","September","October","November","December")</f>
        <v>February</v>
      </c>
      <c r="H64" s="122">
        <f ca="1">DATEDIF(F64,TODAY(),"Y")</f>
        <v>5</v>
      </c>
      <c r="I64" s="122" t="s">
        <v>276</v>
      </c>
      <c r="J64" s="202">
        <v>74710</v>
      </c>
      <c r="K64" s="201">
        <v>2</v>
      </c>
    </row>
    <row r="65" spans="1:11">
      <c r="A65" s="122">
        <v>69</v>
      </c>
      <c r="B65" s="204" t="s">
        <v>864</v>
      </c>
      <c r="C65" s="122" t="s">
        <v>285</v>
      </c>
      <c r="D65" s="122" t="s">
        <v>312</v>
      </c>
      <c r="E65" s="122" t="s">
        <v>256</v>
      </c>
      <c r="F65" s="203">
        <v>34474</v>
      </c>
      <c r="G65" s="122" t="str">
        <f>CHOOSE(MONTH(F65),"January","February","March","April","May","June","July","August","September","October","November","December")</f>
        <v>May</v>
      </c>
      <c r="H65" s="122">
        <f ca="1">DATEDIF(F65,TODAY(),"Y")</f>
        <v>22</v>
      </c>
      <c r="I65" s="122" t="s">
        <v>262</v>
      </c>
      <c r="J65" s="202">
        <v>74670</v>
      </c>
      <c r="K65" s="201">
        <v>5</v>
      </c>
    </row>
    <row r="66" spans="1:11">
      <c r="A66" s="122">
        <v>70</v>
      </c>
      <c r="B66" s="204" t="s">
        <v>651</v>
      </c>
      <c r="C66" s="122" t="s">
        <v>271</v>
      </c>
      <c r="D66" s="122" t="s">
        <v>312</v>
      </c>
      <c r="E66" s="122" t="s">
        <v>247</v>
      </c>
      <c r="F66" s="203">
        <v>33228</v>
      </c>
      <c r="G66" s="122" t="str">
        <f>CHOOSE(MONTH(F66),"January","February","March","April","May","June","July","August","September","October","November","December")</f>
        <v>December</v>
      </c>
      <c r="H66" s="122">
        <f ca="1">DATEDIF(F66,TODAY(),"Y")</f>
        <v>25</v>
      </c>
      <c r="J66" s="202">
        <v>42940</v>
      </c>
      <c r="K66" s="201">
        <v>1</v>
      </c>
    </row>
    <row r="67" spans="1:11">
      <c r="A67" s="122">
        <v>71</v>
      </c>
      <c r="B67" s="204" t="s">
        <v>275</v>
      </c>
      <c r="C67" s="122" t="s">
        <v>280</v>
      </c>
      <c r="D67" s="122" t="s">
        <v>312</v>
      </c>
      <c r="E67" s="122" t="s">
        <v>247</v>
      </c>
      <c r="F67" s="203">
        <v>36038</v>
      </c>
      <c r="G67" s="122" t="str">
        <f>CHOOSE(MONTH(F67),"January","February","March","April","May","June","July","August","September","October","November","December")</f>
        <v>August</v>
      </c>
      <c r="H67" s="122">
        <f ca="1">DATEDIF(F67,TODAY(),"Y")</f>
        <v>18</v>
      </c>
      <c r="J67" s="202">
        <v>30340</v>
      </c>
      <c r="K67" s="201">
        <v>3</v>
      </c>
    </row>
    <row r="68" spans="1:11">
      <c r="A68" s="122">
        <v>72</v>
      </c>
      <c r="B68" s="204" t="s">
        <v>877</v>
      </c>
      <c r="C68" s="122" t="s">
        <v>271</v>
      </c>
      <c r="D68" s="122" t="s">
        <v>312</v>
      </c>
      <c r="E68" s="122" t="s">
        <v>256</v>
      </c>
      <c r="F68" s="203">
        <v>37241</v>
      </c>
      <c r="G68" s="122" t="str">
        <f>CHOOSE(MONTH(F68),"January","February","March","April","May","June","July","August","September","October","November","December")</f>
        <v>December</v>
      </c>
      <c r="H68" s="122">
        <f ca="1">DATEDIF(F68,TODAY(),"Y")</f>
        <v>14</v>
      </c>
      <c r="I68" s="122" t="s">
        <v>257</v>
      </c>
      <c r="J68" s="202">
        <v>71950</v>
      </c>
      <c r="K68" s="201">
        <v>5</v>
      </c>
    </row>
    <row r="69" spans="1:11">
      <c r="A69" s="122">
        <v>73</v>
      </c>
      <c r="B69" s="204" t="s">
        <v>968</v>
      </c>
      <c r="C69" s="122" t="s">
        <v>266</v>
      </c>
      <c r="D69" s="122" t="s">
        <v>312</v>
      </c>
      <c r="E69" s="122" t="s">
        <v>261</v>
      </c>
      <c r="F69" s="203">
        <v>36896</v>
      </c>
      <c r="G69" s="122" t="str">
        <f>CHOOSE(MONTH(F69),"January","February","March","April","May","June","July","August","September","October","November","December")</f>
        <v>January</v>
      </c>
      <c r="H69" s="122">
        <f ca="1">DATEDIF(F69,TODAY(),"Y")</f>
        <v>15</v>
      </c>
      <c r="I69" s="122" t="s">
        <v>257</v>
      </c>
      <c r="J69" s="202">
        <v>35280</v>
      </c>
      <c r="K69" s="201">
        <v>3</v>
      </c>
    </row>
    <row r="70" spans="1:11">
      <c r="A70" s="122">
        <v>74</v>
      </c>
      <c r="B70" s="204" t="s">
        <v>647</v>
      </c>
      <c r="C70" s="122" t="s">
        <v>285</v>
      </c>
      <c r="D70" s="122" t="s">
        <v>312</v>
      </c>
      <c r="E70" s="122" t="s">
        <v>256</v>
      </c>
      <c r="F70" s="203">
        <v>33895</v>
      </c>
      <c r="G70" s="122" t="str">
        <f>CHOOSE(MONTH(F70),"January","February","March","April","May","June","July","August","September","October","November","December")</f>
        <v>October</v>
      </c>
      <c r="H70" s="122">
        <f ca="1">DATEDIF(F70,TODAY(),"Y")</f>
        <v>24</v>
      </c>
      <c r="I70" s="122" t="s">
        <v>283</v>
      </c>
      <c r="J70" s="202">
        <v>71670</v>
      </c>
      <c r="K70" s="201">
        <v>4</v>
      </c>
    </row>
    <row r="71" spans="1:11">
      <c r="A71" s="122">
        <v>75</v>
      </c>
      <c r="B71" s="204" t="s">
        <v>961</v>
      </c>
      <c r="C71" s="122" t="s">
        <v>245</v>
      </c>
      <c r="D71" s="122" t="s">
        <v>312</v>
      </c>
      <c r="E71" s="122" t="s">
        <v>256</v>
      </c>
      <c r="F71" s="203">
        <v>33786</v>
      </c>
      <c r="G71" s="122" t="str">
        <f>CHOOSE(MONTH(F71),"January","February","March","April","May","June","July","August","September","October","November","December")</f>
        <v>July</v>
      </c>
      <c r="H71" s="122">
        <f ca="1">DATEDIF(F71,TODAY(),"Y")</f>
        <v>24</v>
      </c>
      <c r="I71" s="122" t="s">
        <v>257</v>
      </c>
      <c r="J71" s="202">
        <v>71150</v>
      </c>
      <c r="K71" s="201">
        <v>2</v>
      </c>
    </row>
    <row r="72" spans="1:11">
      <c r="A72" s="122">
        <v>76</v>
      </c>
      <c r="B72" s="204" t="s">
        <v>340</v>
      </c>
      <c r="C72" s="122" t="s">
        <v>245</v>
      </c>
      <c r="D72" s="122" t="s">
        <v>312</v>
      </c>
      <c r="E72" s="122" t="s">
        <v>256</v>
      </c>
      <c r="F72" s="203">
        <v>35965</v>
      </c>
      <c r="G72" s="122" t="str">
        <f>CHOOSE(MONTH(F72),"January","February","March","April","May","June","July","August","September","October","November","December")</f>
        <v>June</v>
      </c>
      <c r="H72" s="122">
        <f ca="1">DATEDIF(F72,TODAY(),"Y")</f>
        <v>18</v>
      </c>
      <c r="I72" s="122" t="s">
        <v>267</v>
      </c>
      <c r="J72" s="202">
        <v>34780</v>
      </c>
      <c r="K72" s="201">
        <v>4</v>
      </c>
    </row>
    <row r="73" spans="1:11">
      <c r="A73" s="122">
        <v>77</v>
      </c>
      <c r="B73" s="204" t="s">
        <v>779</v>
      </c>
      <c r="C73" s="122" t="s">
        <v>285</v>
      </c>
      <c r="D73" s="122" t="s">
        <v>312</v>
      </c>
      <c r="E73" s="122" t="s">
        <v>256</v>
      </c>
      <c r="F73" s="203">
        <v>40596</v>
      </c>
      <c r="G73" s="122" t="str">
        <f>CHOOSE(MONTH(F73),"January","February","March","April","May","June","July","August","September","October","November","December")</f>
        <v>February</v>
      </c>
      <c r="H73" s="122">
        <f ca="1">DATEDIF(F73,TODAY(),"Y")</f>
        <v>5</v>
      </c>
      <c r="I73" s="122" t="s">
        <v>267</v>
      </c>
      <c r="J73" s="202">
        <v>68910</v>
      </c>
      <c r="K73" s="201">
        <v>5</v>
      </c>
    </row>
    <row r="74" spans="1:11">
      <c r="A74" s="122">
        <v>78</v>
      </c>
      <c r="B74" s="204" t="s">
        <v>887</v>
      </c>
      <c r="C74" s="122" t="s">
        <v>285</v>
      </c>
      <c r="D74" s="122" t="s">
        <v>312</v>
      </c>
      <c r="E74" s="122" t="s">
        <v>256</v>
      </c>
      <c r="F74" s="203">
        <v>37018</v>
      </c>
      <c r="G74" s="122" t="str">
        <f>CHOOSE(MONTH(F74),"January","February","March","April","May","June","July","August","September","October","November","December")</f>
        <v>May</v>
      </c>
      <c r="H74" s="122">
        <f ca="1">DATEDIF(F74,TODAY(),"Y")</f>
        <v>15</v>
      </c>
      <c r="I74" s="122" t="s">
        <v>283</v>
      </c>
      <c r="J74" s="202">
        <v>28650</v>
      </c>
      <c r="K74" s="201">
        <v>4</v>
      </c>
    </row>
    <row r="75" spans="1:11">
      <c r="A75" s="122">
        <v>79</v>
      </c>
      <c r="B75" s="204" t="s">
        <v>931</v>
      </c>
      <c r="C75" s="122" t="s">
        <v>266</v>
      </c>
      <c r="D75" s="122" t="s">
        <v>312</v>
      </c>
      <c r="E75" s="122" t="s">
        <v>256</v>
      </c>
      <c r="F75" s="203">
        <v>34996</v>
      </c>
      <c r="G75" s="122" t="str">
        <f>CHOOSE(MONTH(F75),"January","February","March","April","May","June","July","August","September","October","November","December")</f>
        <v>October</v>
      </c>
      <c r="H75" s="122">
        <f ca="1">DATEDIF(F75,TODAY(),"Y")</f>
        <v>21</v>
      </c>
      <c r="I75" s="122" t="s">
        <v>257</v>
      </c>
      <c r="J75" s="202">
        <v>67890</v>
      </c>
      <c r="K75" s="201">
        <v>5</v>
      </c>
    </row>
    <row r="76" spans="1:11">
      <c r="A76" s="122">
        <v>80</v>
      </c>
      <c r="B76" s="204" t="s">
        <v>811</v>
      </c>
      <c r="C76" s="122" t="s">
        <v>271</v>
      </c>
      <c r="D76" s="122" t="s">
        <v>312</v>
      </c>
      <c r="E76" s="122" t="s">
        <v>261</v>
      </c>
      <c r="F76" s="203">
        <v>35842</v>
      </c>
      <c r="G76" s="122" t="str">
        <f>CHOOSE(MONTH(F76),"January","February","March","April","May","June","July","August","September","October","November","December")</f>
        <v>February</v>
      </c>
      <c r="H76" s="122">
        <f ca="1">DATEDIF(F76,TODAY(),"Y")</f>
        <v>18</v>
      </c>
      <c r="I76" s="122" t="s">
        <v>276</v>
      </c>
      <c r="J76" s="202">
        <v>23380</v>
      </c>
      <c r="K76" s="201">
        <v>4</v>
      </c>
    </row>
    <row r="77" spans="1:11">
      <c r="A77" s="122">
        <v>81</v>
      </c>
      <c r="B77" s="204" t="s">
        <v>309</v>
      </c>
      <c r="C77" s="122" t="s">
        <v>285</v>
      </c>
      <c r="D77" s="122" t="s">
        <v>312</v>
      </c>
      <c r="E77" s="122" t="s">
        <v>252</v>
      </c>
      <c r="F77" s="203">
        <v>36602</v>
      </c>
      <c r="G77" s="122" t="str">
        <f>CHOOSE(MONTH(F77),"January","February","March","April","May","June","July","August","September","October","November","December")</f>
        <v>March</v>
      </c>
      <c r="H77" s="122">
        <f ca="1">DATEDIF(F77,TODAY(),"Y")</f>
        <v>16</v>
      </c>
      <c r="J77" s="202">
        <v>30080</v>
      </c>
      <c r="K77" s="201">
        <v>3</v>
      </c>
    </row>
    <row r="78" spans="1:11">
      <c r="A78" s="122">
        <v>82</v>
      </c>
      <c r="B78" s="204" t="s">
        <v>613</v>
      </c>
      <c r="C78" s="122" t="s">
        <v>245</v>
      </c>
      <c r="D78" s="122" t="s">
        <v>312</v>
      </c>
      <c r="E78" s="122" t="s">
        <v>256</v>
      </c>
      <c r="F78" s="203">
        <v>37960</v>
      </c>
      <c r="G78" s="122" t="str">
        <f>CHOOSE(MONTH(F78),"January","February","March","April","May","June","July","August","September","October","November","December")</f>
        <v>December</v>
      </c>
      <c r="H78" s="122">
        <f ca="1">DATEDIF(F78,TODAY(),"Y")</f>
        <v>12</v>
      </c>
      <c r="I78" s="122" t="s">
        <v>257</v>
      </c>
      <c r="J78" s="202">
        <v>66890</v>
      </c>
      <c r="K78" s="201">
        <v>5</v>
      </c>
    </row>
    <row r="79" spans="1:11">
      <c r="A79" s="122">
        <v>83</v>
      </c>
      <c r="B79" s="204" t="s">
        <v>963</v>
      </c>
      <c r="C79" s="122" t="s">
        <v>251</v>
      </c>
      <c r="D79" s="122" t="s">
        <v>312</v>
      </c>
      <c r="E79" s="122" t="s">
        <v>247</v>
      </c>
      <c r="F79" s="203">
        <v>33678</v>
      </c>
      <c r="G79" s="122" t="str">
        <f>CHOOSE(MONTH(F79),"January","February","March","April","May","June","July","August","September","October","November","December")</f>
        <v>March</v>
      </c>
      <c r="H79" s="122">
        <f ca="1">DATEDIF(F79,TODAY(),"Y")</f>
        <v>24</v>
      </c>
      <c r="J79" s="202">
        <v>64460</v>
      </c>
      <c r="K79" s="201">
        <v>1</v>
      </c>
    </row>
    <row r="80" spans="1:11">
      <c r="A80" s="122">
        <v>84</v>
      </c>
      <c r="B80" s="204" t="s">
        <v>290</v>
      </c>
      <c r="C80" s="122" t="s">
        <v>280</v>
      </c>
      <c r="D80" s="122" t="s">
        <v>312</v>
      </c>
      <c r="E80" s="122" t="s">
        <v>247</v>
      </c>
      <c r="F80" s="203">
        <v>35119</v>
      </c>
      <c r="G80" s="122" t="str">
        <f>CHOOSE(MONTH(F80),"January","February","March","April","May","June","July","August","September","October","November","December")</f>
        <v>February</v>
      </c>
      <c r="H80" s="122">
        <f ca="1">DATEDIF(F80,TODAY(),"Y")</f>
        <v>20</v>
      </c>
      <c r="J80" s="202">
        <v>64390</v>
      </c>
      <c r="K80" s="201">
        <v>2</v>
      </c>
    </row>
    <row r="81" spans="1:11">
      <c r="A81" s="122">
        <v>85</v>
      </c>
      <c r="B81" s="204" t="s">
        <v>329</v>
      </c>
      <c r="C81" s="122" t="s">
        <v>245</v>
      </c>
      <c r="D81" s="122" t="s">
        <v>312</v>
      </c>
      <c r="E81" s="122" t="s">
        <v>247</v>
      </c>
      <c r="F81" s="203">
        <v>36470</v>
      </c>
      <c r="G81" s="122" t="str">
        <f>CHOOSE(MONTH(F81),"January","February","March","April","May","June","July","August","September","October","November","December")</f>
        <v>November</v>
      </c>
      <c r="H81" s="122">
        <f ca="1">DATEDIF(F81,TODAY(),"Y")</f>
        <v>17</v>
      </c>
      <c r="J81" s="202">
        <v>23560</v>
      </c>
      <c r="K81" s="201">
        <v>3</v>
      </c>
    </row>
    <row r="82" spans="1:11">
      <c r="A82" s="122">
        <v>86</v>
      </c>
      <c r="B82" s="204" t="s">
        <v>1023</v>
      </c>
      <c r="C82" s="122" t="s">
        <v>245</v>
      </c>
      <c r="D82" s="122" t="s">
        <v>312</v>
      </c>
      <c r="E82" s="122" t="s">
        <v>252</v>
      </c>
      <c r="F82" s="203">
        <v>36487</v>
      </c>
      <c r="G82" s="122" t="str">
        <f>CHOOSE(MONTH(F82),"January","February","March","April","May","June","July","August","September","October","November","December")</f>
        <v>November</v>
      </c>
      <c r="H82" s="122">
        <f ca="1">DATEDIF(F82,TODAY(),"Y")</f>
        <v>16</v>
      </c>
      <c r="J82" s="202">
        <v>33056</v>
      </c>
      <c r="K82" s="201">
        <v>5</v>
      </c>
    </row>
    <row r="83" spans="1:11">
      <c r="A83" s="122">
        <v>87</v>
      </c>
      <c r="B83" s="204" t="s">
        <v>636</v>
      </c>
      <c r="C83" s="122" t="s">
        <v>285</v>
      </c>
      <c r="D83" s="122" t="s">
        <v>312</v>
      </c>
      <c r="E83" s="122" t="s">
        <v>256</v>
      </c>
      <c r="F83" s="203">
        <v>33746</v>
      </c>
      <c r="G83" s="122" t="str">
        <f>CHOOSE(MONTH(F83),"January","February","March","April","May","June","July","August","September","October","November","December")</f>
        <v>May</v>
      </c>
      <c r="H83" s="122">
        <f ca="1">DATEDIF(F83,TODAY(),"Y")</f>
        <v>24</v>
      </c>
      <c r="I83" s="122" t="s">
        <v>262</v>
      </c>
      <c r="J83" s="202">
        <v>31830</v>
      </c>
      <c r="K83" s="201">
        <v>3</v>
      </c>
    </row>
    <row r="84" spans="1:11">
      <c r="A84" s="122">
        <v>88</v>
      </c>
      <c r="B84" s="204" t="s">
        <v>404</v>
      </c>
      <c r="C84" s="122" t="s">
        <v>271</v>
      </c>
      <c r="D84" s="122" t="s">
        <v>312</v>
      </c>
      <c r="E84" s="122" t="s">
        <v>247</v>
      </c>
      <c r="F84" s="203">
        <v>35902</v>
      </c>
      <c r="G84" s="122" t="str">
        <f>CHOOSE(MONTH(F84),"January","February","March","April","May","June","July","August","September","October","November","December")</f>
        <v>April</v>
      </c>
      <c r="H84" s="122">
        <f ca="1">DATEDIF(F84,TODAY(),"Y")</f>
        <v>18</v>
      </c>
      <c r="J84" s="202">
        <v>63340</v>
      </c>
      <c r="K84" s="201">
        <v>3</v>
      </c>
    </row>
    <row r="85" spans="1:11">
      <c r="A85" s="122">
        <v>89</v>
      </c>
      <c r="B85" s="204" t="s">
        <v>682</v>
      </c>
      <c r="C85" s="122" t="s">
        <v>271</v>
      </c>
      <c r="D85" s="122" t="s">
        <v>312</v>
      </c>
      <c r="E85" s="122" t="s">
        <v>256</v>
      </c>
      <c r="F85" s="203">
        <v>37176</v>
      </c>
      <c r="G85" s="122" t="str">
        <f>CHOOSE(MONTH(F85),"January","February","March","April","May","June","July","August","September","October","November","December")</f>
        <v>October</v>
      </c>
      <c r="H85" s="122">
        <f ca="1">DATEDIF(F85,TODAY(),"Y")</f>
        <v>15</v>
      </c>
      <c r="I85" s="122" t="s">
        <v>267</v>
      </c>
      <c r="J85" s="202">
        <v>62790</v>
      </c>
      <c r="K85" s="201">
        <v>2</v>
      </c>
    </row>
    <row r="86" spans="1:11">
      <c r="A86" s="122">
        <v>90</v>
      </c>
      <c r="B86" s="204" t="s">
        <v>371</v>
      </c>
      <c r="C86" s="122" t="s">
        <v>245</v>
      </c>
      <c r="D86" s="122" t="s">
        <v>312</v>
      </c>
      <c r="E86" s="122" t="s">
        <v>247</v>
      </c>
      <c r="F86" s="203">
        <v>39040</v>
      </c>
      <c r="G86" s="122" t="str">
        <f>CHOOSE(MONTH(F86),"January","February","March","April","May","June","July","August","September","October","November","December")</f>
        <v>November</v>
      </c>
      <c r="H86" s="122">
        <f ca="1">DATEDIF(F86,TODAY(),"Y")</f>
        <v>9</v>
      </c>
      <c r="J86" s="202">
        <v>62150</v>
      </c>
      <c r="K86" s="201">
        <v>4</v>
      </c>
    </row>
    <row r="87" spans="1:11">
      <c r="A87" s="122">
        <v>91</v>
      </c>
      <c r="B87" s="204" t="s">
        <v>611</v>
      </c>
      <c r="C87" s="122" t="s">
        <v>271</v>
      </c>
      <c r="D87" s="122" t="s">
        <v>312</v>
      </c>
      <c r="E87" s="122" t="s">
        <v>256</v>
      </c>
      <c r="F87" s="203">
        <v>40274</v>
      </c>
      <c r="G87" s="122" t="str">
        <f>CHOOSE(MONTH(F87),"January","February","March","April","May","June","July","August","September","October","November","December")</f>
        <v>April</v>
      </c>
      <c r="H87" s="122">
        <f ca="1">DATEDIF(F87,TODAY(),"Y")</f>
        <v>6</v>
      </c>
      <c r="I87" s="122" t="s">
        <v>262</v>
      </c>
      <c r="J87" s="202">
        <v>38730</v>
      </c>
      <c r="K87" s="201">
        <v>1</v>
      </c>
    </row>
    <row r="88" spans="1:11">
      <c r="A88" s="122">
        <v>92</v>
      </c>
      <c r="B88" s="204" t="s">
        <v>589</v>
      </c>
      <c r="C88" s="122" t="s">
        <v>271</v>
      </c>
      <c r="D88" s="122" t="s">
        <v>312</v>
      </c>
      <c r="E88" s="122" t="s">
        <v>256</v>
      </c>
      <c r="F88" s="203">
        <v>33575</v>
      </c>
      <c r="G88" s="122" t="str">
        <f>CHOOSE(MONTH(F88),"January","February","March","April","May","June","July","August","September","October","November","December")</f>
        <v>December</v>
      </c>
      <c r="H88" s="122">
        <f ca="1">DATEDIF(F88,TODAY(),"Y")</f>
        <v>24</v>
      </c>
      <c r="I88" s="122" t="s">
        <v>262</v>
      </c>
      <c r="J88" s="202">
        <v>61400</v>
      </c>
      <c r="K88" s="201">
        <v>5</v>
      </c>
    </row>
    <row r="89" spans="1:11">
      <c r="A89" s="122">
        <v>93</v>
      </c>
      <c r="B89" s="204" t="s">
        <v>729</v>
      </c>
      <c r="C89" s="122" t="s">
        <v>285</v>
      </c>
      <c r="D89" s="122" t="s">
        <v>312</v>
      </c>
      <c r="E89" s="122" t="s">
        <v>256</v>
      </c>
      <c r="F89" s="203">
        <v>35829</v>
      </c>
      <c r="G89" s="122" t="str">
        <f>CHOOSE(MONTH(F89),"January","February","March","April","May","June","July","August","September","October","November","December")</f>
        <v>February</v>
      </c>
      <c r="H89" s="122">
        <f ca="1">DATEDIF(F89,TODAY(),"Y")</f>
        <v>18</v>
      </c>
      <c r="I89" s="122" t="s">
        <v>257</v>
      </c>
      <c r="J89" s="202">
        <v>61030</v>
      </c>
      <c r="K89" s="201">
        <v>3</v>
      </c>
    </row>
    <row r="90" spans="1:11">
      <c r="A90" s="122">
        <v>94</v>
      </c>
      <c r="B90" s="204" t="s">
        <v>311</v>
      </c>
      <c r="C90" s="122" t="s">
        <v>245</v>
      </c>
      <c r="D90" s="122" t="s">
        <v>312</v>
      </c>
      <c r="E90" s="122" t="s">
        <v>252</v>
      </c>
      <c r="F90" s="203">
        <v>36059</v>
      </c>
      <c r="G90" s="122" t="str">
        <f>CHOOSE(MONTH(F90),"January","February","March","April","May","June","July","August","September","October","November","December")</f>
        <v>September</v>
      </c>
      <c r="H90" s="122">
        <f ca="1">DATEDIF(F90,TODAY(),"Y")</f>
        <v>18</v>
      </c>
      <c r="J90" s="202">
        <v>18500</v>
      </c>
      <c r="K90" s="201">
        <v>5</v>
      </c>
    </row>
    <row r="91" spans="1:11">
      <c r="A91" s="122">
        <v>95</v>
      </c>
      <c r="B91" s="204" t="s">
        <v>781</v>
      </c>
      <c r="C91" s="122" t="s">
        <v>285</v>
      </c>
      <c r="D91" s="122" t="s">
        <v>312</v>
      </c>
      <c r="E91" s="122" t="s">
        <v>261</v>
      </c>
      <c r="F91" s="203">
        <v>33472</v>
      </c>
      <c r="G91" s="122" t="str">
        <f>CHOOSE(MONTH(F91),"January","February","March","April","May","June","July","August","September","October","November","December")</f>
        <v>August</v>
      </c>
      <c r="H91" s="122">
        <f ca="1">DATEDIF(F91,TODAY(),"Y")</f>
        <v>25</v>
      </c>
      <c r="I91" s="122" t="s">
        <v>262</v>
      </c>
      <c r="J91" s="202">
        <v>13800</v>
      </c>
      <c r="K91" s="201">
        <v>3</v>
      </c>
    </row>
    <row r="92" spans="1:11">
      <c r="A92" s="122">
        <v>96</v>
      </c>
      <c r="B92" s="204" t="s">
        <v>839</v>
      </c>
      <c r="C92" s="122" t="s">
        <v>245</v>
      </c>
      <c r="D92" s="122" t="s">
        <v>312</v>
      </c>
      <c r="E92" s="122" t="s">
        <v>256</v>
      </c>
      <c r="F92" s="203">
        <v>40292</v>
      </c>
      <c r="G92" s="122" t="str">
        <f>CHOOSE(MONTH(F92),"January","February","March","April","May","June","July","August","September","October","November","December")</f>
        <v>April</v>
      </c>
      <c r="H92" s="122">
        <f ca="1">DATEDIF(F92,TODAY(),"Y")</f>
        <v>6</v>
      </c>
      <c r="I92" s="122" t="s">
        <v>257</v>
      </c>
      <c r="J92" s="202">
        <v>23280</v>
      </c>
      <c r="K92" s="201">
        <v>1</v>
      </c>
    </row>
    <row r="93" spans="1:11">
      <c r="A93" s="122">
        <v>97</v>
      </c>
      <c r="B93" s="204" t="s">
        <v>716</v>
      </c>
      <c r="C93" s="122" t="s">
        <v>271</v>
      </c>
      <c r="D93" s="122" t="s">
        <v>312</v>
      </c>
      <c r="E93" s="122" t="s">
        <v>256</v>
      </c>
      <c r="F93" s="203">
        <v>34832</v>
      </c>
      <c r="G93" s="122" t="str">
        <f>CHOOSE(MONTH(F93),"January","February","March","April","May","June","July","August","September","October","November","December")</f>
        <v>May</v>
      </c>
      <c r="H93" s="122">
        <f ca="1">DATEDIF(F93,TODAY(),"Y")</f>
        <v>21</v>
      </c>
      <c r="I93" s="122" t="s">
        <v>257</v>
      </c>
      <c r="J93" s="202">
        <v>31910</v>
      </c>
      <c r="K93" s="201">
        <v>5</v>
      </c>
    </row>
    <row r="94" spans="1:11">
      <c r="A94" s="122">
        <v>98</v>
      </c>
      <c r="B94" s="204" t="s">
        <v>319</v>
      </c>
      <c r="C94" s="122" t="s">
        <v>285</v>
      </c>
      <c r="D94" s="122" t="s">
        <v>312</v>
      </c>
      <c r="E94" s="122" t="s">
        <v>247</v>
      </c>
      <c r="F94" s="203">
        <v>34651</v>
      </c>
      <c r="G94" s="122" t="str">
        <f>CHOOSE(MONTH(F94),"January","February","March","April","May","June","July","August","September","October","November","December")</f>
        <v>November</v>
      </c>
      <c r="H94" s="122">
        <f ca="1">DATEDIF(F94,TODAY(),"Y")</f>
        <v>21</v>
      </c>
      <c r="J94" s="202">
        <v>46670</v>
      </c>
      <c r="K94" s="201">
        <v>3</v>
      </c>
    </row>
    <row r="95" spans="1:11">
      <c r="A95" s="122">
        <v>99</v>
      </c>
      <c r="B95" s="204" t="s">
        <v>619</v>
      </c>
      <c r="C95" s="122" t="s">
        <v>245</v>
      </c>
      <c r="D95" s="122" t="s">
        <v>312</v>
      </c>
      <c r="E95" s="122" t="s">
        <v>247</v>
      </c>
      <c r="F95" s="203">
        <v>35160</v>
      </c>
      <c r="G95" s="122" t="str">
        <f>CHOOSE(MONTH(F95),"January","February","March","April","May","June","July","August","September","October","November","December")</f>
        <v>April</v>
      </c>
      <c r="H95" s="122">
        <f ca="1">DATEDIF(F95,TODAY(),"Y")</f>
        <v>20</v>
      </c>
      <c r="J95" s="202">
        <v>50550</v>
      </c>
      <c r="K95" s="201">
        <v>2</v>
      </c>
    </row>
    <row r="96" spans="1:11">
      <c r="A96" s="122">
        <v>100</v>
      </c>
      <c r="B96" s="204" t="s">
        <v>802</v>
      </c>
      <c r="C96" s="122" t="s">
        <v>266</v>
      </c>
      <c r="D96" s="122" t="s">
        <v>312</v>
      </c>
      <c r="E96" s="122" t="s">
        <v>261</v>
      </c>
      <c r="F96" s="203">
        <v>39802</v>
      </c>
      <c r="G96" s="122" t="str">
        <f>CHOOSE(MONTH(F96),"January","February","March","April","May","June","July","August","September","October","November","December")</f>
        <v>December</v>
      </c>
      <c r="H96" s="122">
        <f ca="1">DATEDIF(F96,TODAY(),"Y")</f>
        <v>7</v>
      </c>
      <c r="I96" s="122" t="s">
        <v>276</v>
      </c>
      <c r="J96" s="202">
        <v>22535</v>
      </c>
      <c r="K96" s="201">
        <v>3</v>
      </c>
    </row>
    <row r="97" spans="1:11">
      <c r="A97" s="122">
        <v>102</v>
      </c>
      <c r="B97" s="204" t="s">
        <v>429</v>
      </c>
      <c r="C97" s="122" t="s">
        <v>285</v>
      </c>
      <c r="D97" s="122" t="s">
        <v>372</v>
      </c>
      <c r="E97" s="122" t="s">
        <v>256</v>
      </c>
      <c r="F97" s="203">
        <v>37883</v>
      </c>
      <c r="G97" s="122" t="str">
        <f>CHOOSE(MONTH(F97),"January","February","March","April","May","June","July","August","September","October","November","December")</f>
        <v>September</v>
      </c>
      <c r="H97" s="122">
        <f ca="1">DATEDIF(F97,TODAY(),"Y")</f>
        <v>13</v>
      </c>
      <c r="I97" s="122" t="s">
        <v>257</v>
      </c>
      <c r="J97" s="202">
        <v>86530</v>
      </c>
      <c r="K97" s="201">
        <v>1</v>
      </c>
    </row>
    <row r="98" spans="1:11">
      <c r="A98" s="122">
        <v>103</v>
      </c>
      <c r="B98" s="204" t="s">
        <v>563</v>
      </c>
      <c r="C98" s="122" t="s">
        <v>271</v>
      </c>
      <c r="D98" s="122" t="s">
        <v>372</v>
      </c>
      <c r="E98" s="122" t="s">
        <v>256</v>
      </c>
      <c r="F98" s="203">
        <v>38397</v>
      </c>
      <c r="G98" s="122" t="str">
        <f>CHOOSE(MONTH(F98),"January","February","March","April","May","June","July","August","September","October","November","December")</f>
        <v>February</v>
      </c>
      <c r="H98" s="122">
        <f ca="1">DATEDIF(F98,TODAY(),"Y")</f>
        <v>11</v>
      </c>
      <c r="I98" s="122" t="s">
        <v>257</v>
      </c>
      <c r="J98" s="202">
        <v>36630</v>
      </c>
      <c r="K98" s="201">
        <v>4</v>
      </c>
    </row>
    <row r="99" spans="1:11">
      <c r="A99" s="122">
        <v>104</v>
      </c>
      <c r="B99" s="204" t="s">
        <v>817</v>
      </c>
      <c r="C99" s="122" t="s">
        <v>285</v>
      </c>
      <c r="D99" s="122" t="s">
        <v>372</v>
      </c>
      <c r="E99" s="122" t="s">
        <v>247</v>
      </c>
      <c r="F99" s="203">
        <v>38755</v>
      </c>
      <c r="G99" s="122" t="str">
        <f>CHOOSE(MONTH(F99),"January","February","March","April","May","June","July","August","September","October","November","December")</f>
        <v>February</v>
      </c>
      <c r="H99" s="122">
        <f ca="1">DATEDIF(F99,TODAY(),"Y")</f>
        <v>10</v>
      </c>
      <c r="J99" s="202">
        <v>78860</v>
      </c>
      <c r="K99" s="201">
        <v>2</v>
      </c>
    </row>
    <row r="100" spans="1:11">
      <c r="A100" s="122">
        <v>105</v>
      </c>
      <c r="B100" s="204" t="s">
        <v>718</v>
      </c>
      <c r="C100" s="122" t="s">
        <v>285</v>
      </c>
      <c r="D100" s="122" t="s">
        <v>372</v>
      </c>
      <c r="E100" s="122" t="s">
        <v>256</v>
      </c>
      <c r="F100" s="203">
        <v>39923</v>
      </c>
      <c r="G100" s="122" t="str">
        <f>CHOOSE(MONTH(F100),"January","February","March","April","May","June","July","August","September","October","November","December")</f>
        <v>April</v>
      </c>
      <c r="H100" s="122">
        <f ca="1">DATEDIF(F100,TODAY(),"Y")</f>
        <v>7</v>
      </c>
      <c r="I100" s="122" t="s">
        <v>257</v>
      </c>
      <c r="J100" s="202">
        <v>76440</v>
      </c>
      <c r="K100" s="201">
        <v>3</v>
      </c>
    </row>
    <row r="101" spans="1:11">
      <c r="A101" s="122">
        <v>106</v>
      </c>
      <c r="B101" s="204" t="s">
        <v>388</v>
      </c>
      <c r="C101" s="122" t="s">
        <v>251</v>
      </c>
      <c r="D101" s="122" t="s">
        <v>372</v>
      </c>
      <c r="E101" s="122" t="s">
        <v>261</v>
      </c>
      <c r="F101" s="203">
        <v>40505</v>
      </c>
      <c r="G101" s="122" t="str">
        <f>CHOOSE(MONTH(F101),"January","February","March","April","May","June","July","August","September","October","November","December")</f>
        <v>November</v>
      </c>
      <c r="H101" s="122">
        <f ca="1">DATEDIF(F101,TODAY(),"Y")</f>
        <v>5</v>
      </c>
      <c r="I101" s="122" t="s">
        <v>283</v>
      </c>
      <c r="J101" s="202">
        <v>46230</v>
      </c>
      <c r="K101" s="201">
        <v>2</v>
      </c>
    </row>
    <row r="102" spans="1:11">
      <c r="A102" s="122">
        <v>107</v>
      </c>
      <c r="B102" s="204" t="s">
        <v>448</v>
      </c>
      <c r="C102" s="122" t="s">
        <v>271</v>
      </c>
      <c r="D102" s="122" t="s">
        <v>372</v>
      </c>
      <c r="E102" s="122" t="s">
        <v>247</v>
      </c>
      <c r="F102" s="203">
        <v>39529</v>
      </c>
      <c r="G102" s="122" t="str">
        <f>CHOOSE(MONTH(F102),"January","February","March","April","May","June","July","August","September","October","November","December")</f>
        <v>March</v>
      </c>
      <c r="H102" s="122">
        <f ca="1">DATEDIF(F102,TODAY(),"Y")</f>
        <v>8</v>
      </c>
      <c r="J102" s="202">
        <v>35620</v>
      </c>
      <c r="K102" s="201">
        <v>4</v>
      </c>
    </row>
    <row r="103" spans="1:11">
      <c r="A103" s="122">
        <v>108</v>
      </c>
      <c r="B103" s="204" t="s">
        <v>591</v>
      </c>
      <c r="C103" s="122" t="s">
        <v>280</v>
      </c>
      <c r="D103" s="122" t="s">
        <v>372</v>
      </c>
      <c r="E103" s="122" t="s">
        <v>256</v>
      </c>
      <c r="F103" s="203">
        <v>39388</v>
      </c>
      <c r="G103" s="122" t="str">
        <f>CHOOSE(MONTH(F103),"January","February","March","April","May","June","July","August","September","October","November","December")</f>
        <v>November</v>
      </c>
      <c r="H103" s="122">
        <f ca="1">DATEDIF(F103,TODAY(),"Y")</f>
        <v>9</v>
      </c>
      <c r="I103" s="122" t="s">
        <v>257</v>
      </c>
      <c r="J103" s="202">
        <v>71120</v>
      </c>
      <c r="K103" s="201">
        <v>4</v>
      </c>
    </row>
    <row r="104" spans="1:11">
      <c r="A104" s="122">
        <v>109</v>
      </c>
      <c r="B104" s="204" t="s">
        <v>932</v>
      </c>
      <c r="C104" s="122" t="s">
        <v>285</v>
      </c>
      <c r="D104" s="122" t="s">
        <v>372</v>
      </c>
      <c r="E104" s="122" t="s">
        <v>247</v>
      </c>
      <c r="F104" s="203">
        <v>40253</v>
      </c>
      <c r="G104" s="122" t="str">
        <f>CHOOSE(MONTH(F104),"January","February","March","April","May","June","July","August","September","October","November","December")</f>
        <v>March</v>
      </c>
      <c r="H104" s="122">
        <f ca="1">DATEDIF(F104,TODAY(),"Y")</f>
        <v>6</v>
      </c>
      <c r="J104" s="202">
        <v>59350</v>
      </c>
      <c r="K104" s="201">
        <v>5</v>
      </c>
    </row>
    <row r="105" spans="1:11">
      <c r="A105" s="122">
        <v>111</v>
      </c>
      <c r="B105" s="204" t="s">
        <v>625</v>
      </c>
      <c r="C105" s="122" t="s">
        <v>271</v>
      </c>
      <c r="D105" s="122" t="s">
        <v>381</v>
      </c>
      <c r="E105" s="122" t="s">
        <v>261</v>
      </c>
      <c r="F105" s="203">
        <v>40516</v>
      </c>
      <c r="G105" s="122" t="str">
        <f>CHOOSE(MONTH(F105),"January","February","March","April","May","June","July","August","September","October","November","December")</f>
        <v>December</v>
      </c>
      <c r="H105" s="122">
        <f ca="1">DATEDIF(F105,TODAY(),"Y")</f>
        <v>5</v>
      </c>
      <c r="I105" s="122" t="s">
        <v>283</v>
      </c>
      <c r="J105" s="202">
        <v>28625</v>
      </c>
      <c r="K105" s="201">
        <v>1</v>
      </c>
    </row>
    <row r="106" spans="1:11">
      <c r="A106" s="122">
        <v>112</v>
      </c>
      <c r="B106" s="204" t="s">
        <v>504</v>
      </c>
      <c r="C106" s="122" t="s">
        <v>271</v>
      </c>
      <c r="D106" s="122" t="s">
        <v>381</v>
      </c>
      <c r="E106" s="122" t="s">
        <v>256</v>
      </c>
      <c r="F106" s="203">
        <v>36249</v>
      </c>
      <c r="G106" s="122" t="str">
        <f>CHOOSE(MONTH(F106),"January","February","March","April","May","June","July","August","September","October","November","December")</f>
        <v>March</v>
      </c>
      <c r="H106" s="122">
        <f ca="1">DATEDIF(F106,TODAY(),"Y")</f>
        <v>17</v>
      </c>
      <c r="I106" s="122" t="s">
        <v>257</v>
      </c>
      <c r="J106" s="202">
        <v>49860</v>
      </c>
      <c r="K106" s="201">
        <v>2</v>
      </c>
    </row>
    <row r="107" spans="1:11">
      <c r="A107" s="122">
        <v>113</v>
      </c>
      <c r="B107" s="204" t="s">
        <v>650</v>
      </c>
      <c r="C107" s="122" t="s">
        <v>285</v>
      </c>
      <c r="D107" s="122" t="s">
        <v>381</v>
      </c>
      <c r="E107" s="122" t="s">
        <v>256</v>
      </c>
      <c r="F107" s="203">
        <v>33071</v>
      </c>
      <c r="G107" s="122" t="str">
        <f>CHOOSE(MONTH(F107),"January","February","March","April","May","June","July","August","September","October","November","December")</f>
        <v>July</v>
      </c>
      <c r="H107" s="122">
        <f ca="1">DATEDIF(F107,TODAY(),"Y")</f>
        <v>26</v>
      </c>
      <c r="I107" s="122" t="s">
        <v>283</v>
      </c>
      <c r="J107" s="202">
        <v>69060</v>
      </c>
      <c r="K107" s="201">
        <v>1</v>
      </c>
    </row>
    <row r="108" spans="1:11">
      <c r="A108" s="122">
        <v>114</v>
      </c>
      <c r="B108" s="204" t="s">
        <v>436</v>
      </c>
      <c r="C108" s="122" t="s">
        <v>280</v>
      </c>
      <c r="D108" s="122" t="s">
        <v>381</v>
      </c>
      <c r="E108" s="122" t="s">
        <v>256</v>
      </c>
      <c r="F108" s="203">
        <v>36182</v>
      </c>
      <c r="G108" s="122" t="str">
        <f>CHOOSE(MONTH(F108),"January","February","March","April","May","June","July","August","September","October","November","December")</f>
        <v>January</v>
      </c>
      <c r="H108" s="122">
        <f ca="1">DATEDIF(F108,TODAY(),"Y")</f>
        <v>17</v>
      </c>
      <c r="I108" s="122" t="s">
        <v>283</v>
      </c>
      <c r="J108" s="202">
        <v>68300</v>
      </c>
      <c r="K108" s="201">
        <v>5</v>
      </c>
    </row>
    <row r="109" spans="1:11">
      <c r="A109" s="122">
        <v>115</v>
      </c>
      <c r="B109" s="204" t="s">
        <v>924</v>
      </c>
      <c r="C109" s="122" t="s">
        <v>266</v>
      </c>
      <c r="D109" s="122" t="s">
        <v>381</v>
      </c>
      <c r="E109" s="122" t="s">
        <v>256</v>
      </c>
      <c r="F109" s="203">
        <v>35514</v>
      </c>
      <c r="G109" s="122" t="str">
        <f>CHOOSE(MONTH(F109),"January","February","March","April","May","June","July","August","September","October","November","December")</f>
        <v>March</v>
      </c>
      <c r="H109" s="122">
        <f ca="1">DATEDIF(F109,TODAY(),"Y")</f>
        <v>19</v>
      </c>
      <c r="I109" s="122" t="s">
        <v>267</v>
      </c>
      <c r="J109" s="202">
        <v>26510</v>
      </c>
      <c r="K109" s="201">
        <v>1</v>
      </c>
    </row>
    <row r="110" spans="1:11">
      <c r="A110" s="122">
        <v>116</v>
      </c>
      <c r="B110" s="204" t="s">
        <v>572</v>
      </c>
      <c r="C110" s="122" t="s">
        <v>285</v>
      </c>
      <c r="D110" s="122" t="s">
        <v>381</v>
      </c>
      <c r="E110" s="122" t="s">
        <v>256</v>
      </c>
      <c r="F110" s="203">
        <v>39147</v>
      </c>
      <c r="G110" s="122" t="str">
        <f>CHOOSE(MONTH(F110),"January","February","March","April","May","June","July","August","September","October","November","December")</f>
        <v>March</v>
      </c>
      <c r="H110" s="122">
        <f ca="1">DATEDIF(F110,TODAY(),"Y")</f>
        <v>9</v>
      </c>
      <c r="I110" s="122" t="s">
        <v>283</v>
      </c>
      <c r="J110" s="202">
        <v>43680</v>
      </c>
      <c r="K110" s="201">
        <v>5</v>
      </c>
    </row>
    <row r="111" spans="1:11">
      <c r="A111" s="122">
        <v>117</v>
      </c>
      <c r="B111" s="204" t="s">
        <v>808</v>
      </c>
      <c r="C111" s="122" t="s">
        <v>271</v>
      </c>
      <c r="D111" s="122" t="s">
        <v>381</v>
      </c>
      <c r="E111" s="122" t="s">
        <v>256</v>
      </c>
      <c r="F111" s="203">
        <v>35449</v>
      </c>
      <c r="G111" s="122" t="str">
        <f>CHOOSE(MONTH(F111),"January","February","March","April","May","June","July","August","September","October","November","December")</f>
        <v>January</v>
      </c>
      <c r="H111" s="122">
        <f ca="1">DATEDIF(F111,TODAY(),"Y")</f>
        <v>19</v>
      </c>
      <c r="I111" s="122" t="s">
        <v>283</v>
      </c>
      <c r="J111" s="202">
        <v>22920</v>
      </c>
      <c r="K111" s="201">
        <v>3</v>
      </c>
    </row>
    <row r="112" spans="1:11">
      <c r="A112" s="122">
        <v>118</v>
      </c>
      <c r="B112" s="204" t="s">
        <v>370</v>
      </c>
      <c r="C112" s="122" t="s">
        <v>271</v>
      </c>
      <c r="D112" s="122" t="s">
        <v>381</v>
      </c>
      <c r="E112" s="122" t="s">
        <v>252</v>
      </c>
      <c r="F112" s="203">
        <v>40313</v>
      </c>
      <c r="G112" s="122" t="str">
        <f>CHOOSE(MONTH(F112),"January","February","March","April","May","June","July","August","September","October","November","December")</f>
        <v>May</v>
      </c>
      <c r="H112" s="122">
        <f ca="1">DATEDIF(F112,TODAY(),"Y")</f>
        <v>6</v>
      </c>
      <c r="J112" s="202">
        <v>27484</v>
      </c>
      <c r="K112" s="201">
        <v>4</v>
      </c>
    </row>
    <row r="113" spans="1:11">
      <c r="A113" s="122">
        <v>119</v>
      </c>
      <c r="B113" s="204" t="s">
        <v>927</v>
      </c>
      <c r="C113" s="122" t="s">
        <v>285</v>
      </c>
      <c r="D113" s="122" t="s">
        <v>381</v>
      </c>
      <c r="E113" s="122" t="s">
        <v>261</v>
      </c>
      <c r="F113" s="203">
        <v>40572</v>
      </c>
      <c r="G113" s="122" t="str">
        <f>CHOOSE(MONTH(F113),"January","February","March","April","May","June","July","August","September","October","November","December")</f>
        <v>January</v>
      </c>
      <c r="H113" s="122">
        <f ca="1">DATEDIF(F113,TODAY(),"Y")</f>
        <v>5</v>
      </c>
      <c r="I113" s="122" t="s">
        <v>283</v>
      </c>
      <c r="J113" s="202">
        <v>10520</v>
      </c>
      <c r="K113" s="201">
        <v>4</v>
      </c>
    </row>
    <row r="114" spans="1:11">
      <c r="A114" s="122">
        <v>121</v>
      </c>
      <c r="B114" s="204" t="s">
        <v>314</v>
      </c>
      <c r="C114" s="122" t="s">
        <v>266</v>
      </c>
      <c r="D114" s="122" t="s">
        <v>391</v>
      </c>
      <c r="E114" s="122" t="s">
        <v>247</v>
      </c>
      <c r="F114" s="203">
        <v>36342</v>
      </c>
      <c r="G114" s="122" t="str">
        <f>CHOOSE(MONTH(F114),"January","February","March","April","May","June","July","August","September","October","November","December")</f>
        <v>July</v>
      </c>
      <c r="H114" s="122">
        <f ca="1">DATEDIF(F114,TODAY(),"Y")</f>
        <v>17</v>
      </c>
      <c r="J114" s="202">
        <v>86970</v>
      </c>
      <c r="K114" s="201">
        <v>4</v>
      </c>
    </row>
    <row r="115" spans="1:11">
      <c r="A115" s="122">
        <v>122</v>
      </c>
      <c r="B115" s="204" t="s">
        <v>344</v>
      </c>
      <c r="C115" s="122" t="s">
        <v>245</v>
      </c>
      <c r="D115" s="122" t="s">
        <v>391</v>
      </c>
      <c r="E115" s="122" t="s">
        <v>256</v>
      </c>
      <c r="F115" s="203">
        <v>33447</v>
      </c>
      <c r="G115" s="122" t="str">
        <f>CHOOSE(MONTH(F115),"January","February","March","April","May","June","July","August","September","October","November","December")</f>
        <v>July</v>
      </c>
      <c r="H115" s="122">
        <f ca="1">DATEDIF(F115,TODAY(),"Y")</f>
        <v>25</v>
      </c>
      <c r="I115" s="122" t="s">
        <v>283</v>
      </c>
      <c r="J115" s="202">
        <v>37620</v>
      </c>
      <c r="K115" s="201">
        <v>5</v>
      </c>
    </row>
    <row r="116" spans="1:11">
      <c r="A116" s="122">
        <v>123</v>
      </c>
      <c r="B116" s="204" t="s">
        <v>936</v>
      </c>
      <c r="C116" s="122" t="s">
        <v>271</v>
      </c>
      <c r="D116" s="122" t="s">
        <v>391</v>
      </c>
      <c r="E116" s="122" t="s">
        <v>261</v>
      </c>
      <c r="F116" s="203">
        <v>36357</v>
      </c>
      <c r="G116" s="122" t="str">
        <f>CHOOSE(MONTH(F116),"January","February","March","April","May","June","July","August","September","October","November","December")</f>
        <v>July</v>
      </c>
      <c r="H116" s="122">
        <f ca="1">DATEDIF(F116,TODAY(),"Y")</f>
        <v>17</v>
      </c>
      <c r="I116" s="122" t="s">
        <v>276</v>
      </c>
      <c r="J116" s="202">
        <v>42905</v>
      </c>
      <c r="K116" s="201">
        <v>1</v>
      </c>
    </row>
    <row r="117" spans="1:11">
      <c r="A117" s="122">
        <v>124</v>
      </c>
      <c r="B117" s="204" t="s">
        <v>895</v>
      </c>
      <c r="C117" s="122" t="s">
        <v>285</v>
      </c>
      <c r="D117" s="122" t="s">
        <v>391</v>
      </c>
      <c r="E117" s="122" t="s">
        <v>256</v>
      </c>
      <c r="F117" s="203">
        <v>33823</v>
      </c>
      <c r="G117" s="122" t="str">
        <f>CHOOSE(MONTH(F117),"January","February","March","April","May","June","July","August","September","October","November","December")</f>
        <v>August</v>
      </c>
      <c r="H117" s="122">
        <f ca="1">DATEDIF(F117,TODAY(),"Y")</f>
        <v>24</v>
      </c>
      <c r="I117" s="122" t="s">
        <v>283</v>
      </c>
      <c r="J117" s="202">
        <v>82760</v>
      </c>
      <c r="K117" s="201">
        <v>4</v>
      </c>
    </row>
    <row r="118" spans="1:11">
      <c r="A118" s="122">
        <v>125</v>
      </c>
      <c r="B118" s="204" t="s">
        <v>579</v>
      </c>
      <c r="C118" s="122" t="s">
        <v>271</v>
      </c>
      <c r="D118" s="122" t="s">
        <v>391</v>
      </c>
      <c r="E118" s="122" t="s">
        <v>256</v>
      </c>
      <c r="F118" s="203">
        <v>33613</v>
      </c>
      <c r="G118" s="122" t="str">
        <f>CHOOSE(MONTH(F118),"January","February","March","April","May","June","July","August","September","October","November","December")</f>
        <v>January</v>
      </c>
      <c r="H118" s="122">
        <f ca="1">DATEDIF(F118,TODAY(),"Y")</f>
        <v>24</v>
      </c>
      <c r="I118" s="122" t="s">
        <v>267</v>
      </c>
      <c r="J118" s="202">
        <v>82500</v>
      </c>
      <c r="K118" s="201">
        <v>5</v>
      </c>
    </row>
    <row r="119" spans="1:11">
      <c r="A119" s="122">
        <v>126</v>
      </c>
      <c r="B119" s="204" t="s">
        <v>805</v>
      </c>
      <c r="C119" s="122" t="s">
        <v>266</v>
      </c>
      <c r="D119" s="122" t="s">
        <v>391</v>
      </c>
      <c r="E119" s="122" t="s">
        <v>256</v>
      </c>
      <c r="F119" s="203">
        <v>35487</v>
      </c>
      <c r="G119" s="122" t="str">
        <f>CHOOSE(MONTH(F119),"January","February","March","April","May","June","July","August","September","October","November","December")</f>
        <v>February</v>
      </c>
      <c r="H119" s="122">
        <f ca="1">DATEDIF(F119,TODAY(),"Y")</f>
        <v>19</v>
      </c>
      <c r="I119" s="122" t="s">
        <v>257</v>
      </c>
      <c r="J119" s="202">
        <v>80120</v>
      </c>
      <c r="K119" s="201">
        <v>4</v>
      </c>
    </row>
    <row r="120" spans="1:11">
      <c r="A120" s="122">
        <v>127</v>
      </c>
      <c r="B120" s="204" t="s">
        <v>975</v>
      </c>
      <c r="C120" s="122" t="s">
        <v>251</v>
      </c>
      <c r="D120" s="122" t="s">
        <v>391</v>
      </c>
      <c r="E120" s="122" t="s">
        <v>247</v>
      </c>
      <c r="F120" s="203">
        <v>33245</v>
      </c>
      <c r="G120" s="122" t="str">
        <f>CHOOSE(MONTH(F120),"January","February","March","April","May","June","July","August","September","October","November","December")</f>
        <v>January</v>
      </c>
      <c r="H120" s="122">
        <f ca="1">DATEDIF(F120,TODAY(),"Y")</f>
        <v>25</v>
      </c>
      <c r="J120" s="202">
        <v>80050</v>
      </c>
      <c r="K120" s="201">
        <v>2</v>
      </c>
    </row>
    <row r="121" spans="1:11">
      <c r="A121" s="122">
        <v>128</v>
      </c>
      <c r="B121" s="204" t="s">
        <v>484</v>
      </c>
      <c r="C121" s="122" t="s">
        <v>271</v>
      </c>
      <c r="D121" s="122" t="s">
        <v>391</v>
      </c>
      <c r="E121" s="122" t="s">
        <v>256</v>
      </c>
      <c r="F121" s="203">
        <v>36077</v>
      </c>
      <c r="G121" s="122" t="str">
        <f>CHOOSE(MONTH(F121),"January","February","March","April","May","June","July","August","September","October","November","December")</f>
        <v>October</v>
      </c>
      <c r="H121" s="122">
        <f ca="1">DATEDIF(F121,TODAY(),"Y")</f>
        <v>18</v>
      </c>
      <c r="I121" s="122" t="s">
        <v>283</v>
      </c>
      <c r="J121" s="202">
        <v>50110</v>
      </c>
      <c r="K121" s="201">
        <v>1</v>
      </c>
    </row>
    <row r="122" spans="1:11">
      <c r="A122" s="122">
        <v>129</v>
      </c>
      <c r="B122" s="204" t="s">
        <v>458</v>
      </c>
      <c r="C122" s="122" t="s">
        <v>285</v>
      </c>
      <c r="D122" s="122" t="s">
        <v>391</v>
      </c>
      <c r="E122" s="122" t="s">
        <v>252</v>
      </c>
      <c r="F122" s="203">
        <v>35673</v>
      </c>
      <c r="G122" s="122" t="str">
        <f>CHOOSE(MONTH(F122),"January","February","March","April","May","June","July","August","September","October","November","December")</f>
        <v>August</v>
      </c>
      <c r="H122" s="122">
        <f ca="1">DATEDIF(F122,TODAY(),"Y")</f>
        <v>19</v>
      </c>
      <c r="J122" s="202">
        <v>12676</v>
      </c>
      <c r="K122" s="201">
        <v>2</v>
      </c>
    </row>
    <row r="123" spans="1:11">
      <c r="A123" s="122">
        <v>130</v>
      </c>
      <c r="B123" s="204" t="s">
        <v>1002</v>
      </c>
      <c r="C123" s="122" t="s">
        <v>271</v>
      </c>
      <c r="D123" s="122" t="s">
        <v>391</v>
      </c>
      <c r="E123" s="122" t="s">
        <v>247</v>
      </c>
      <c r="F123" s="203">
        <v>35737</v>
      </c>
      <c r="G123" s="122" t="str">
        <f>CHOOSE(MONTH(F123),"January","February","March","April","May","June","July","August","September","October","November","December")</f>
        <v>November</v>
      </c>
      <c r="H123" s="122">
        <f ca="1">DATEDIF(F123,TODAY(),"Y")</f>
        <v>19</v>
      </c>
      <c r="J123" s="202">
        <v>76020</v>
      </c>
      <c r="K123" s="201">
        <v>1</v>
      </c>
    </row>
    <row r="124" spans="1:11">
      <c r="A124" s="122">
        <v>131</v>
      </c>
      <c r="B124" s="204" t="s">
        <v>871</v>
      </c>
      <c r="C124" s="122" t="s">
        <v>266</v>
      </c>
      <c r="D124" s="122" t="s">
        <v>391</v>
      </c>
      <c r="E124" s="122" t="s">
        <v>256</v>
      </c>
      <c r="F124" s="203">
        <v>37612</v>
      </c>
      <c r="G124" s="122" t="str">
        <f>CHOOSE(MONTH(F124),"January","February","March","April","May","June","July","August","September","October","November","December")</f>
        <v>December</v>
      </c>
      <c r="H124" s="122">
        <f ca="1">DATEDIF(F124,TODAY(),"Y")</f>
        <v>13</v>
      </c>
      <c r="I124" s="122" t="s">
        <v>267</v>
      </c>
      <c r="J124" s="202">
        <v>39740</v>
      </c>
      <c r="K124" s="201">
        <v>1</v>
      </c>
    </row>
    <row r="125" spans="1:11">
      <c r="A125" s="122">
        <v>132</v>
      </c>
      <c r="B125" s="204" t="s">
        <v>375</v>
      </c>
      <c r="C125" s="122" t="s">
        <v>251</v>
      </c>
      <c r="D125" s="122" t="s">
        <v>391</v>
      </c>
      <c r="E125" s="122" t="s">
        <v>247</v>
      </c>
      <c r="F125" s="203">
        <v>36176</v>
      </c>
      <c r="G125" s="122" t="str">
        <f>CHOOSE(MONTH(F125),"January","February","March","April","May","June","July","August","September","October","November","December")</f>
        <v>January</v>
      </c>
      <c r="H125" s="122">
        <f ca="1">DATEDIF(F125,TODAY(),"Y")</f>
        <v>17</v>
      </c>
      <c r="J125" s="202">
        <v>32940</v>
      </c>
      <c r="K125" s="201">
        <v>5</v>
      </c>
    </row>
    <row r="126" spans="1:11">
      <c r="A126" s="122">
        <v>133</v>
      </c>
      <c r="B126" s="204" t="s">
        <v>539</v>
      </c>
      <c r="C126" s="122" t="s">
        <v>280</v>
      </c>
      <c r="D126" s="122" t="s">
        <v>391</v>
      </c>
      <c r="E126" s="122" t="s">
        <v>247</v>
      </c>
      <c r="F126" s="203">
        <v>37667</v>
      </c>
      <c r="G126" s="122" t="str">
        <f>CHOOSE(MONTH(F126),"January","February","March","April","May","June","July","August","September","October","November","December")</f>
        <v>February</v>
      </c>
      <c r="H126" s="122">
        <f ca="1">DATEDIF(F126,TODAY(),"Y")</f>
        <v>13</v>
      </c>
      <c r="J126" s="202">
        <v>73390</v>
      </c>
      <c r="K126" s="201">
        <v>2</v>
      </c>
    </row>
    <row r="127" spans="1:11">
      <c r="A127" s="122">
        <v>134</v>
      </c>
      <c r="B127" s="204" t="s">
        <v>569</v>
      </c>
      <c r="C127" s="122" t="s">
        <v>285</v>
      </c>
      <c r="D127" s="122" t="s">
        <v>391</v>
      </c>
      <c r="E127" s="122" t="s">
        <v>261</v>
      </c>
      <c r="F127" s="203">
        <v>33994</v>
      </c>
      <c r="G127" s="122" t="str">
        <f>CHOOSE(MONTH(F127),"January","February","March","April","May","June","July","August","September","October","November","December")</f>
        <v>January</v>
      </c>
      <c r="H127" s="122">
        <f ca="1">DATEDIF(F127,TODAY(),"Y")</f>
        <v>23</v>
      </c>
      <c r="I127" s="122" t="s">
        <v>276</v>
      </c>
      <c r="J127" s="202">
        <v>18655</v>
      </c>
      <c r="K127" s="201">
        <v>4</v>
      </c>
    </row>
    <row r="128" spans="1:11">
      <c r="A128" s="122">
        <v>135</v>
      </c>
      <c r="B128" s="204" t="s">
        <v>816</v>
      </c>
      <c r="C128" s="122" t="s">
        <v>245</v>
      </c>
      <c r="D128" s="122" t="s">
        <v>391</v>
      </c>
      <c r="E128" s="122" t="s">
        <v>247</v>
      </c>
      <c r="F128" s="203">
        <v>35150</v>
      </c>
      <c r="G128" s="122" t="str">
        <f>CHOOSE(MONTH(F128),"January","February","March","April","May","June","July","August","September","October","November","December")</f>
        <v>March</v>
      </c>
      <c r="H128" s="122">
        <f ca="1">DATEDIF(F128,TODAY(),"Y")</f>
        <v>20</v>
      </c>
      <c r="J128" s="202">
        <v>35260</v>
      </c>
      <c r="K128" s="201">
        <v>2</v>
      </c>
    </row>
    <row r="129" spans="1:11">
      <c r="A129" s="122">
        <v>136</v>
      </c>
      <c r="B129" s="204" t="s">
        <v>244</v>
      </c>
      <c r="C129" s="122" t="s">
        <v>285</v>
      </c>
      <c r="D129" s="122" t="s">
        <v>391</v>
      </c>
      <c r="E129" s="122" t="s">
        <v>252</v>
      </c>
      <c r="F129" s="203">
        <v>33183</v>
      </c>
      <c r="G129" s="122" t="str">
        <f>CHOOSE(MONTH(F129),"January","February","March","April","May","June","July","August","September","October","November","December")</f>
        <v>November</v>
      </c>
      <c r="H129" s="122">
        <f ca="1">DATEDIF(F129,TODAY(),"Y")</f>
        <v>26</v>
      </c>
      <c r="J129" s="202">
        <v>14712</v>
      </c>
      <c r="K129" s="201">
        <v>5</v>
      </c>
    </row>
    <row r="130" spans="1:11">
      <c r="A130" s="122">
        <v>137</v>
      </c>
      <c r="B130" s="204" t="s">
        <v>324</v>
      </c>
      <c r="C130" s="122" t="s">
        <v>271</v>
      </c>
      <c r="D130" s="122" t="s">
        <v>391</v>
      </c>
      <c r="E130" s="122" t="s">
        <v>247</v>
      </c>
      <c r="F130" s="203">
        <v>35959</v>
      </c>
      <c r="G130" s="122" t="str">
        <f>CHOOSE(MONTH(F130),"January","February","March","April","May","June","July","August","September","October","November","December")</f>
        <v>June</v>
      </c>
      <c r="H130" s="122">
        <f ca="1">DATEDIF(F130,TODAY(),"Y")</f>
        <v>18</v>
      </c>
      <c r="J130" s="202">
        <v>64470</v>
      </c>
      <c r="K130" s="201">
        <v>3</v>
      </c>
    </row>
    <row r="131" spans="1:11">
      <c r="A131" s="122">
        <v>138</v>
      </c>
      <c r="B131" s="204" t="s">
        <v>819</v>
      </c>
      <c r="C131" s="122" t="s">
        <v>285</v>
      </c>
      <c r="D131" s="122" t="s">
        <v>391</v>
      </c>
      <c r="E131" s="122" t="s">
        <v>256</v>
      </c>
      <c r="F131" s="203">
        <v>36269</v>
      </c>
      <c r="G131" s="122" t="str">
        <f>CHOOSE(MONTH(F131),"January","February","March","April","May","June","July","August","September","October","November","December")</f>
        <v>April</v>
      </c>
      <c r="H131" s="122">
        <f ca="1">DATEDIF(F131,TODAY(),"Y")</f>
        <v>17</v>
      </c>
      <c r="I131" s="122" t="s">
        <v>283</v>
      </c>
      <c r="J131" s="202">
        <v>61330</v>
      </c>
      <c r="K131" s="201">
        <v>1</v>
      </c>
    </row>
    <row r="132" spans="1:11">
      <c r="A132" s="122">
        <v>139</v>
      </c>
      <c r="B132" s="204" t="s">
        <v>378</v>
      </c>
      <c r="C132" s="122" t="s">
        <v>271</v>
      </c>
      <c r="D132" s="122" t="s">
        <v>391</v>
      </c>
      <c r="E132" s="122" t="s">
        <v>256</v>
      </c>
      <c r="F132" s="203">
        <v>37113</v>
      </c>
      <c r="G132" s="122" t="str">
        <f>CHOOSE(MONTH(F132),"January","February","March","April","May","June","July","August","September","October","November","December")</f>
        <v>August</v>
      </c>
      <c r="H132" s="122">
        <f ca="1">DATEDIF(F132,TODAY(),"Y")</f>
        <v>15</v>
      </c>
      <c r="I132" s="122" t="s">
        <v>267</v>
      </c>
      <c r="J132" s="202">
        <v>61150</v>
      </c>
      <c r="K132" s="201">
        <v>4</v>
      </c>
    </row>
    <row r="133" spans="1:11">
      <c r="A133" s="122">
        <v>141</v>
      </c>
      <c r="B133" s="204" t="s">
        <v>1060</v>
      </c>
      <c r="C133" s="122" t="s">
        <v>285</v>
      </c>
      <c r="D133" s="122" t="s">
        <v>411</v>
      </c>
      <c r="E133" s="122" t="s">
        <v>256</v>
      </c>
      <c r="F133" s="203">
        <v>38587</v>
      </c>
      <c r="G133" s="122" t="str">
        <f>CHOOSE(MONTH(F133),"January","February","March","April","May","June","July","August","September","October","November","December")</f>
        <v>August</v>
      </c>
      <c r="H133" s="122">
        <f ca="1">DATEDIF(F133,TODAY(),"Y")</f>
        <v>11</v>
      </c>
      <c r="I133" s="122" t="s">
        <v>257</v>
      </c>
      <c r="J133" s="202">
        <v>47350</v>
      </c>
      <c r="K133" s="201">
        <v>5</v>
      </c>
    </row>
    <row r="134" spans="1:11">
      <c r="A134" s="122">
        <v>142</v>
      </c>
      <c r="B134" s="204" t="s">
        <v>474</v>
      </c>
      <c r="C134" s="122" t="s">
        <v>245</v>
      </c>
      <c r="D134" s="122" t="s">
        <v>411</v>
      </c>
      <c r="E134" s="122" t="s">
        <v>256</v>
      </c>
      <c r="F134" s="203">
        <v>40400</v>
      </c>
      <c r="G134" s="122" t="str">
        <f>CHOOSE(MONTH(F134),"January","February","March","April","May","June","July","August","September","October","November","December")</f>
        <v>August</v>
      </c>
      <c r="H134" s="122">
        <f ca="1">DATEDIF(F134,TODAY(),"Y")</f>
        <v>6</v>
      </c>
      <c r="I134" s="122" t="s">
        <v>283</v>
      </c>
      <c r="J134" s="202">
        <v>79150</v>
      </c>
      <c r="K134" s="201">
        <v>2</v>
      </c>
    </row>
    <row r="135" spans="1:11">
      <c r="A135" s="122">
        <v>143</v>
      </c>
      <c r="B135" s="204" t="s">
        <v>292</v>
      </c>
      <c r="C135" s="122" t="s">
        <v>245</v>
      </c>
      <c r="D135" s="122" t="s">
        <v>411</v>
      </c>
      <c r="E135" s="122" t="s">
        <v>256</v>
      </c>
      <c r="F135" s="203">
        <v>36569</v>
      </c>
      <c r="G135" s="122" t="str">
        <f>CHOOSE(MONTH(F135),"January","February","March","April","May","June","July","August","September","October","November","December")</f>
        <v>February</v>
      </c>
      <c r="H135" s="122">
        <f ca="1">DATEDIF(F135,TODAY(),"Y")</f>
        <v>16</v>
      </c>
      <c r="I135" s="122" t="s">
        <v>283</v>
      </c>
      <c r="J135" s="202">
        <v>75060</v>
      </c>
      <c r="K135" s="201">
        <v>5</v>
      </c>
    </row>
    <row r="136" spans="1:11">
      <c r="A136" s="122">
        <v>144</v>
      </c>
      <c r="B136" s="204" t="s">
        <v>394</v>
      </c>
      <c r="C136" s="122" t="s">
        <v>271</v>
      </c>
      <c r="D136" s="122" t="s">
        <v>411</v>
      </c>
      <c r="E136" s="122" t="s">
        <v>256</v>
      </c>
      <c r="F136" s="203">
        <v>35329</v>
      </c>
      <c r="G136" s="122" t="str">
        <f>CHOOSE(MONTH(F136),"January","February","March","April","May","June","July","August","September","October","November","December")</f>
        <v>September</v>
      </c>
      <c r="H136" s="122">
        <f ca="1">DATEDIF(F136,TODAY(),"Y")</f>
        <v>20</v>
      </c>
      <c r="I136" s="122" t="s">
        <v>257</v>
      </c>
      <c r="J136" s="202">
        <v>66740</v>
      </c>
      <c r="K136" s="201">
        <v>2</v>
      </c>
    </row>
    <row r="137" spans="1:11">
      <c r="A137" s="122">
        <v>145</v>
      </c>
      <c r="B137" s="204" t="s">
        <v>480</v>
      </c>
      <c r="C137" s="122" t="s">
        <v>285</v>
      </c>
      <c r="D137" s="122" t="s">
        <v>411</v>
      </c>
      <c r="E137" s="122" t="s">
        <v>247</v>
      </c>
      <c r="F137" s="203">
        <v>38527</v>
      </c>
      <c r="G137" s="122" t="str">
        <f>CHOOSE(MONTH(F137),"January","February","March","April","May","June","July","August","September","October","November","December")</f>
        <v>June</v>
      </c>
      <c r="H137" s="122">
        <f ca="1">DATEDIF(F137,TODAY(),"Y")</f>
        <v>11</v>
      </c>
      <c r="J137" s="202">
        <v>60060</v>
      </c>
      <c r="K137" s="201">
        <v>2</v>
      </c>
    </row>
    <row r="138" spans="1:11">
      <c r="A138" s="122">
        <v>147</v>
      </c>
      <c r="B138" s="204" t="s">
        <v>349</v>
      </c>
      <c r="C138" s="122" t="s">
        <v>285</v>
      </c>
      <c r="D138" s="122" t="s">
        <v>417</v>
      </c>
      <c r="E138" s="122" t="s">
        <v>261</v>
      </c>
      <c r="F138" s="203">
        <v>34755</v>
      </c>
      <c r="G138" s="122" t="str">
        <f>CHOOSE(MONTH(F138),"January","February","March","April","May","June","July","August","September","October","November","December")</f>
        <v>February</v>
      </c>
      <c r="H138" s="122">
        <f ca="1">DATEDIF(F138,TODAY(),"Y")</f>
        <v>21</v>
      </c>
      <c r="I138" s="122" t="s">
        <v>267</v>
      </c>
      <c r="J138" s="202">
        <v>15005</v>
      </c>
      <c r="K138" s="201">
        <v>4</v>
      </c>
    </row>
    <row r="139" spans="1:11">
      <c r="A139" s="122">
        <v>148</v>
      </c>
      <c r="B139" s="204" t="s">
        <v>677</v>
      </c>
      <c r="C139" s="122" t="s">
        <v>285</v>
      </c>
      <c r="D139" s="122" t="s">
        <v>417</v>
      </c>
      <c r="E139" s="122" t="s">
        <v>256</v>
      </c>
      <c r="F139" s="203">
        <v>38753</v>
      </c>
      <c r="G139" s="122" t="str">
        <f>CHOOSE(MONTH(F139),"January","February","March","April","May","June","July","August","September","October","November","December")</f>
        <v>February</v>
      </c>
      <c r="H139" s="122">
        <f ca="1">DATEDIF(F139,TODAY(),"Y")</f>
        <v>10</v>
      </c>
      <c r="I139" s="122" t="s">
        <v>257</v>
      </c>
      <c r="J139" s="202">
        <v>22410</v>
      </c>
      <c r="K139" s="201">
        <v>4</v>
      </c>
    </row>
    <row r="140" spans="1:11">
      <c r="A140" s="122">
        <v>149</v>
      </c>
      <c r="B140" s="204" t="s">
        <v>397</v>
      </c>
      <c r="C140" s="122" t="s">
        <v>285</v>
      </c>
      <c r="D140" s="122" t="s">
        <v>417</v>
      </c>
      <c r="E140" s="122" t="s">
        <v>247</v>
      </c>
      <c r="F140" s="203">
        <v>37641</v>
      </c>
      <c r="G140" s="122" t="str">
        <f>CHOOSE(MONTH(F140),"January","February","March","April","May","June","July","August","September","October","November","December")</f>
        <v>January</v>
      </c>
      <c r="H140" s="122">
        <f ca="1">DATEDIF(F140,TODAY(),"Y")</f>
        <v>13</v>
      </c>
      <c r="J140" s="202">
        <v>31970</v>
      </c>
      <c r="K140" s="201">
        <v>5</v>
      </c>
    </row>
    <row r="141" spans="1:11">
      <c r="A141" s="122">
        <v>150</v>
      </c>
      <c r="B141" s="204" t="s">
        <v>840</v>
      </c>
      <c r="C141" s="122" t="s">
        <v>251</v>
      </c>
      <c r="D141" s="122" t="s">
        <v>417</v>
      </c>
      <c r="E141" s="122" t="s">
        <v>256</v>
      </c>
      <c r="F141" s="203">
        <v>36082</v>
      </c>
      <c r="G141" s="122" t="str">
        <f>CHOOSE(MONTH(F141),"January","February","March","April","May","June","July","August","September","October","November","December")</f>
        <v>October</v>
      </c>
      <c r="H141" s="122">
        <f ca="1">DATEDIF(F141,TODAY(),"Y")</f>
        <v>18</v>
      </c>
      <c r="I141" s="122" t="s">
        <v>283</v>
      </c>
      <c r="J141" s="202">
        <v>82400</v>
      </c>
      <c r="K141" s="201">
        <v>2</v>
      </c>
    </row>
    <row r="142" spans="1:11">
      <c r="A142" s="122">
        <v>151</v>
      </c>
      <c r="B142" s="204" t="s">
        <v>472</v>
      </c>
      <c r="C142" s="122" t="s">
        <v>271</v>
      </c>
      <c r="D142" s="122" t="s">
        <v>417</v>
      </c>
      <c r="E142" s="122" t="s">
        <v>256</v>
      </c>
      <c r="F142" s="203">
        <v>40399</v>
      </c>
      <c r="G142" s="122" t="str">
        <f>CHOOSE(MONTH(F142),"January","February","March","April","May","June","July","August","September","October","November","December")</f>
        <v>August</v>
      </c>
      <c r="H142" s="122">
        <f ca="1">DATEDIF(F142,TODAY(),"Y")</f>
        <v>6</v>
      </c>
      <c r="I142" s="122" t="s">
        <v>267</v>
      </c>
      <c r="J142" s="202">
        <v>32640</v>
      </c>
      <c r="K142" s="201">
        <v>4</v>
      </c>
    </row>
    <row r="143" spans="1:11">
      <c r="A143" s="122">
        <v>152</v>
      </c>
      <c r="B143" s="204" t="s">
        <v>828</v>
      </c>
      <c r="C143" s="122" t="s">
        <v>271</v>
      </c>
      <c r="D143" s="122" t="s">
        <v>417</v>
      </c>
      <c r="E143" s="122" t="s">
        <v>247</v>
      </c>
      <c r="F143" s="203">
        <v>33949</v>
      </c>
      <c r="G143" s="122" t="str">
        <f>CHOOSE(MONTH(F143),"January","February","March","April","May","June","July","August","September","October","November","December")</f>
        <v>December</v>
      </c>
      <c r="H143" s="122">
        <f ca="1">DATEDIF(F143,TODAY(),"Y")</f>
        <v>23</v>
      </c>
      <c r="J143" s="202">
        <v>81070</v>
      </c>
      <c r="K143" s="201">
        <v>5</v>
      </c>
    </row>
    <row r="144" spans="1:11">
      <c r="A144" s="122">
        <v>153</v>
      </c>
      <c r="B144" s="204" t="s">
        <v>923</v>
      </c>
      <c r="C144" s="122" t="s">
        <v>285</v>
      </c>
      <c r="D144" s="122" t="s">
        <v>417</v>
      </c>
      <c r="E144" s="122" t="s">
        <v>256</v>
      </c>
      <c r="F144" s="203">
        <v>34086</v>
      </c>
      <c r="G144" s="122" t="str">
        <f>CHOOSE(MONTH(F144),"January","February","March","April","May","June","July","August","September","October","November","December")</f>
        <v>April</v>
      </c>
      <c r="H144" s="122">
        <f ca="1">DATEDIF(F144,TODAY(),"Y")</f>
        <v>23</v>
      </c>
      <c r="I144" s="122" t="s">
        <v>257</v>
      </c>
      <c r="J144" s="202">
        <v>31840</v>
      </c>
      <c r="K144" s="201">
        <v>1</v>
      </c>
    </row>
    <row r="145" spans="1:11">
      <c r="A145" s="122">
        <v>154</v>
      </c>
      <c r="B145" s="204" t="s">
        <v>661</v>
      </c>
      <c r="C145" s="122" t="s">
        <v>271</v>
      </c>
      <c r="D145" s="122" t="s">
        <v>417</v>
      </c>
      <c r="E145" s="122" t="s">
        <v>247</v>
      </c>
      <c r="F145" s="203">
        <v>40236</v>
      </c>
      <c r="G145" s="122" t="str">
        <f>CHOOSE(MONTH(F145),"January","February","March","April","May","June","July","August","September","October","November","December")</f>
        <v>February</v>
      </c>
      <c r="H145" s="122">
        <f ca="1">DATEDIF(F145,TODAY(),"Y")</f>
        <v>6</v>
      </c>
      <c r="J145" s="202">
        <v>45830</v>
      </c>
      <c r="K145" s="201">
        <v>4</v>
      </c>
    </row>
    <row r="146" spans="1:11">
      <c r="A146" s="122">
        <v>155</v>
      </c>
      <c r="B146" s="204" t="s">
        <v>900</v>
      </c>
      <c r="C146" s="122" t="s">
        <v>271</v>
      </c>
      <c r="D146" s="122" t="s">
        <v>417</v>
      </c>
      <c r="E146" s="122" t="s">
        <v>256</v>
      </c>
      <c r="F146" s="203">
        <v>33117</v>
      </c>
      <c r="G146" s="122" t="str">
        <f>CHOOSE(MONTH(F146),"January","February","March","April","May","June","July","August","September","October","November","December")</f>
        <v>September</v>
      </c>
      <c r="H146" s="122">
        <f ca="1">DATEDIF(F146,TODAY(),"Y")</f>
        <v>26</v>
      </c>
      <c r="I146" s="122" t="s">
        <v>267</v>
      </c>
      <c r="J146" s="202">
        <v>35360</v>
      </c>
      <c r="K146" s="201">
        <v>5</v>
      </c>
    </row>
    <row r="147" spans="1:11">
      <c r="A147" s="122">
        <v>156</v>
      </c>
      <c r="B147" s="204" t="s">
        <v>533</v>
      </c>
      <c r="C147" s="122" t="s">
        <v>245</v>
      </c>
      <c r="D147" s="122" t="s">
        <v>417</v>
      </c>
      <c r="E147" s="122" t="s">
        <v>261</v>
      </c>
      <c r="F147" s="203">
        <v>33709</v>
      </c>
      <c r="G147" s="122" t="str">
        <f>CHOOSE(MONTH(F147),"January","February","March","April","May","June","July","August","September","October","November","December")</f>
        <v>April</v>
      </c>
      <c r="H147" s="122">
        <f ca="1">DATEDIF(F147,TODAY(),"Y")</f>
        <v>24</v>
      </c>
      <c r="I147" s="122" t="s">
        <v>257</v>
      </c>
      <c r="J147" s="202">
        <v>34110</v>
      </c>
      <c r="K147" s="201">
        <v>4</v>
      </c>
    </row>
    <row r="148" spans="1:11">
      <c r="A148" s="122">
        <v>157</v>
      </c>
      <c r="B148" s="204" t="s">
        <v>321</v>
      </c>
      <c r="C148" s="122" t="s">
        <v>271</v>
      </c>
      <c r="D148" s="122" t="s">
        <v>417</v>
      </c>
      <c r="E148" s="122" t="s">
        <v>247</v>
      </c>
      <c r="F148" s="203">
        <v>35939</v>
      </c>
      <c r="G148" s="122" t="str">
        <f>CHOOSE(MONTH(F148),"January","February","March","April","May","June","July","August","September","October","November","December")</f>
        <v>May</v>
      </c>
      <c r="H148" s="122">
        <f ca="1">DATEDIF(F148,TODAY(),"Y")</f>
        <v>18</v>
      </c>
      <c r="J148" s="202">
        <v>25120</v>
      </c>
      <c r="K148" s="201">
        <v>5</v>
      </c>
    </row>
    <row r="149" spans="1:11">
      <c r="A149" s="122">
        <v>158</v>
      </c>
      <c r="B149" s="204" t="s">
        <v>908</v>
      </c>
      <c r="C149" s="122" t="s">
        <v>280</v>
      </c>
      <c r="D149" s="122" t="s">
        <v>417</v>
      </c>
      <c r="E149" s="122" t="s">
        <v>256</v>
      </c>
      <c r="F149" s="203">
        <v>36414</v>
      </c>
      <c r="G149" s="122" t="str">
        <f>CHOOSE(MONTH(F149),"January","February","March","April","May","June","July","August","September","October","November","December")</f>
        <v>September</v>
      </c>
      <c r="H149" s="122">
        <f ca="1">DATEDIF(F149,TODAY(),"Y")</f>
        <v>17</v>
      </c>
      <c r="I149" s="122" t="s">
        <v>276</v>
      </c>
      <c r="J149" s="202">
        <v>39680</v>
      </c>
      <c r="K149" s="201">
        <v>5</v>
      </c>
    </row>
    <row r="150" spans="1:11">
      <c r="A150" s="122">
        <v>159</v>
      </c>
      <c r="B150" s="204" t="s">
        <v>439</v>
      </c>
      <c r="C150" s="122" t="s">
        <v>280</v>
      </c>
      <c r="D150" s="122" t="s">
        <v>417</v>
      </c>
      <c r="E150" s="122" t="s">
        <v>252</v>
      </c>
      <c r="F150" s="203">
        <v>36263</v>
      </c>
      <c r="G150" s="122" t="str">
        <f>CHOOSE(MONTH(F150),"January","February","March","April","May","June","July","August","September","October","November","December")</f>
        <v>April</v>
      </c>
      <c r="H150" s="122">
        <f ca="1">DATEDIF(F150,TODAY(),"Y")</f>
        <v>17</v>
      </c>
      <c r="J150" s="202">
        <v>38768</v>
      </c>
      <c r="K150" s="201">
        <v>4</v>
      </c>
    </row>
    <row r="151" spans="1:11">
      <c r="A151" s="122">
        <v>160</v>
      </c>
      <c r="B151" s="204" t="s">
        <v>831</v>
      </c>
      <c r="C151" s="122" t="s">
        <v>285</v>
      </c>
      <c r="D151" s="122" t="s">
        <v>417</v>
      </c>
      <c r="E151" s="122" t="s">
        <v>247</v>
      </c>
      <c r="F151" s="203">
        <v>33424</v>
      </c>
      <c r="G151" s="122" t="str">
        <f>CHOOSE(MONTH(F151),"January","February","March","April","May","June","July","August","September","October","November","December")</f>
        <v>July</v>
      </c>
      <c r="H151" s="122">
        <f ca="1">DATEDIF(F151,TODAY(),"Y")</f>
        <v>25</v>
      </c>
      <c r="J151" s="202">
        <v>22320</v>
      </c>
      <c r="K151" s="201">
        <v>2</v>
      </c>
    </row>
    <row r="152" spans="1:11">
      <c r="A152" s="122">
        <v>161</v>
      </c>
      <c r="B152" s="204" t="s">
        <v>602</v>
      </c>
      <c r="C152" s="122" t="s">
        <v>271</v>
      </c>
      <c r="D152" s="122" t="s">
        <v>417</v>
      </c>
      <c r="E152" s="122" t="s">
        <v>256</v>
      </c>
      <c r="F152" s="203">
        <v>34213</v>
      </c>
      <c r="G152" s="122" t="str">
        <f>CHOOSE(MONTH(F152),"January","February","March","April","May","June","July","August","September","October","November","December")</f>
        <v>September</v>
      </c>
      <c r="H152" s="122">
        <f ca="1">DATEDIF(F152,TODAY(),"Y")</f>
        <v>23</v>
      </c>
      <c r="I152" s="122" t="s">
        <v>257</v>
      </c>
      <c r="J152" s="202">
        <v>72900</v>
      </c>
      <c r="K152" s="201">
        <v>3</v>
      </c>
    </row>
    <row r="153" spans="1:11">
      <c r="A153" s="122">
        <v>162</v>
      </c>
      <c r="B153" s="204" t="s">
        <v>659</v>
      </c>
      <c r="C153" s="122" t="s">
        <v>245</v>
      </c>
      <c r="D153" s="122" t="s">
        <v>417</v>
      </c>
      <c r="E153" s="122" t="s">
        <v>256</v>
      </c>
      <c r="F153" s="203">
        <v>36643</v>
      </c>
      <c r="G153" s="122" t="str">
        <f>CHOOSE(MONTH(F153),"January","February","March","April","May","June","July","August","September","October","November","December")</f>
        <v>April</v>
      </c>
      <c r="H153" s="122">
        <f ca="1">DATEDIF(F153,TODAY(),"Y")</f>
        <v>16</v>
      </c>
      <c r="I153" s="122" t="s">
        <v>283</v>
      </c>
      <c r="J153" s="202">
        <v>71380</v>
      </c>
      <c r="K153" s="201">
        <v>2</v>
      </c>
    </row>
    <row r="154" spans="1:11">
      <c r="A154" s="122">
        <v>163</v>
      </c>
      <c r="B154" s="204" t="s">
        <v>679</v>
      </c>
      <c r="C154" s="122" t="s">
        <v>251</v>
      </c>
      <c r="D154" s="122" t="s">
        <v>417</v>
      </c>
      <c r="E154" s="122" t="s">
        <v>256</v>
      </c>
      <c r="F154" s="203">
        <v>35989</v>
      </c>
      <c r="G154" s="122" t="str">
        <f>CHOOSE(MONTH(F154),"January","February","March","April","May","June","July","August","September","October","November","December")</f>
        <v>July</v>
      </c>
      <c r="H154" s="122">
        <f ca="1">DATEDIF(F154,TODAY(),"Y")</f>
        <v>18</v>
      </c>
      <c r="I154" s="122" t="s">
        <v>262</v>
      </c>
      <c r="J154" s="202">
        <v>71010</v>
      </c>
      <c r="K154" s="201">
        <v>5</v>
      </c>
    </row>
    <row r="155" spans="1:11">
      <c r="A155" s="122">
        <v>164</v>
      </c>
      <c r="B155" s="204" t="s">
        <v>422</v>
      </c>
      <c r="C155" s="122" t="s">
        <v>271</v>
      </c>
      <c r="D155" s="122" t="s">
        <v>417</v>
      </c>
      <c r="E155" s="122" t="s">
        <v>256</v>
      </c>
      <c r="F155" s="203">
        <v>37288</v>
      </c>
      <c r="G155" s="122" t="str">
        <f>CHOOSE(MONTH(F155),"January","February","March","April","May","June","July","August","September","October","November","December")</f>
        <v>February</v>
      </c>
      <c r="H155" s="122">
        <f ca="1">DATEDIF(F155,TODAY(),"Y")</f>
        <v>14</v>
      </c>
      <c r="I155" s="122" t="s">
        <v>257</v>
      </c>
      <c r="J155" s="202">
        <v>42480</v>
      </c>
      <c r="K155" s="201">
        <v>3</v>
      </c>
    </row>
    <row r="156" spans="1:11">
      <c r="A156" s="122">
        <v>165</v>
      </c>
      <c r="B156" s="204" t="s">
        <v>528</v>
      </c>
      <c r="C156" s="122" t="s">
        <v>285</v>
      </c>
      <c r="D156" s="122" t="s">
        <v>417</v>
      </c>
      <c r="E156" s="122" t="s">
        <v>256</v>
      </c>
      <c r="F156" s="203">
        <v>38135</v>
      </c>
      <c r="G156" s="122" t="str">
        <f>CHOOSE(MONTH(F156),"January","February","March","April","May","June","July","August","September","October","November","December")</f>
        <v>May</v>
      </c>
      <c r="H156" s="122">
        <f ca="1">DATEDIF(F156,TODAY(),"Y")</f>
        <v>12</v>
      </c>
      <c r="I156" s="122" t="s">
        <v>267</v>
      </c>
      <c r="J156" s="202">
        <v>65560</v>
      </c>
      <c r="K156" s="201">
        <v>1</v>
      </c>
    </row>
    <row r="157" spans="1:11">
      <c r="A157" s="122">
        <v>166</v>
      </c>
      <c r="B157" s="204" t="s">
        <v>558</v>
      </c>
      <c r="C157" s="122" t="s">
        <v>285</v>
      </c>
      <c r="D157" s="122" t="s">
        <v>417</v>
      </c>
      <c r="E157" s="122" t="s">
        <v>261</v>
      </c>
      <c r="F157" s="203">
        <v>35070</v>
      </c>
      <c r="G157" s="122" t="str">
        <f>CHOOSE(MONTH(F157),"January","February","March","April","May","June","July","August","September","October","November","December")</f>
        <v>January</v>
      </c>
      <c r="H157" s="122">
        <f ca="1">DATEDIF(F157,TODAY(),"Y")</f>
        <v>20</v>
      </c>
      <c r="I157" s="122" t="s">
        <v>276</v>
      </c>
      <c r="J157" s="202">
        <v>21220</v>
      </c>
      <c r="K157" s="201">
        <v>3</v>
      </c>
    </row>
    <row r="158" spans="1:11">
      <c r="A158" s="122">
        <v>167</v>
      </c>
      <c r="B158" s="204" t="s">
        <v>583</v>
      </c>
      <c r="C158" s="122" t="s">
        <v>280</v>
      </c>
      <c r="D158" s="122" t="s">
        <v>417</v>
      </c>
      <c r="E158" s="122" t="s">
        <v>256</v>
      </c>
      <c r="F158" s="203">
        <v>33872</v>
      </c>
      <c r="G158" s="122" t="str">
        <f>CHOOSE(MONTH(F158),"January","February","March","April","May","June","July","August","September","October","November","December")</f>
        <v>September</v>
      </c>
      <c r="H158" s="122">
        <f ca="1">DATEDIF(F158,TODAY(),"Y")</f>
        <v>24</v>
      </c>
      <c r="I158" s="122" t="s">
        <v>257</v>
      </c>
      <c r="J158" s="202">
        <v>64510</v>
      </c>
      <c r="K158" s="201">
        <v>3</v>
      </c>
    </row>
    <row r="159" spans="1:11">
      <c r="A159" s="122">
        <v>168</v>
      </c>
      <c r="B159" s="204" t="s">
        <v>277</v>
      </c>
      <c r="C159" s="122" t="s">
        <v>285</v>
      </c>
      <c r="D159" s="122" t="s">
        <v>417</v>
      </c>
      <c r="E159" s="122" t="s">
        <v>256</v>
      </c>
      <c r="F159" s="203">
        <v>35501</v>
      </c>
      <c r="G159" s="122" t="str">
        <f>CHOOSE(MONTH(F159),"January","February","March","April","May","June","July","August","September","October","November","December")</f>
        <v>March</v>
      </c>
      <c r="H159" s="122">
        <f ca="1">DATEDIF(F159,TODAY(),"Y")</f>
        <v>19</v>
      </c>
      <c r="I159" s="122" t="s">
        <v>283</v>
      </c>
      <c r="J159" s="202">
        <v>37750</v>
      </c>
      <c r="K159" s="201">
        <v>5</v>
      </c>
    </row>
    <row r="160" spans="1:11">
      <c r="A160" s="122">
        <v>169</v>
      </c>
      <c r="B160" s="204" t="s">
        <v>516</v>
      </c>
      <c r="C160" s="122" t="s">
        <v>245</v>
      </c>
      <c r="D160" s="122" t="s">
        <v>417</v>
      </c>
      <c r="E160" s="122" t="s">
        <v>247</v>
      </c>
      <c r="F160" s="203">
        <v>34161</v>
      </c>
      <c r="G160" s="122" t="str">
        <f>CHOOSE(MONTH(F160),"January","February","March","April","May","June","July","August","September","October","November","December")</f>
        <v>July</v>
      </c>
      <c r="H160" s="122">
        <f ca="1">DATEDIF(F160,TODAY(),"Y")</f>
        <v>23</v>
      </c>
      <c r="J160" s="202">
        <v>64090</v>
      </c>
      <c r="K160" s="201">
        <v>2</v>
      </c>
    </row>
    <row r="161" spans="1:11">
      <c r="A161" s="122">
        <v>170</v>
      </c>
      <c r="B161" s="204" t="s">
        <v>969</v>
      </c>
      <c r="C161" s="122" t="s">
        <v>285</v>
      </c>
      <c r="D161" s="122" t="s">
        <v>417</v>
      </c>
      <c r="E161" s="122" t="s">
        <v>256</v>
      </c>
      <c r="F161" s="203">
        <v>35253</v>
      </c>
      <c r="G161" s="122" t="str">
        <f>CHOOSE(MONTH(F161),"January","February","March","April","May","June","July","August","September","October","November","December")</f>
        <v>July</v>
      </c>
      <c r="H161" s="122">
        <f ca="1">DATEDIF(F161,TODAY(),"Y")</f>
        <v>20</v>
      </c>
      <c r="I161" s="122" t="s">
        <v>257</v>
      </c>
      <c r="J161" s="202">
        <v>63780</v>
      </c>
      <c r="K161" s="201">
        <v>5</v>
      </c>
    </row>
    <row r="162" spans="1:11">
      <c r="A162" s="122">
        <v>171</v>
      </c>
      <c r="B162" s="204" t="s">
        <v>543</v>
      </c>
      <c r="C162" s="122" t="s">
        <v>285</v>
      </c>
      <c r="D162" s="122" t="s">
        <v>417</v>
      </c>
      <c r="E162" s="122" t="s">
        <v>261</v>
      </c>
      <c r="F162" s="203">
        <v>35186</v>
      </c>
      <c r="G162" s="122" t="str">
        <f>CHOOSE(MONTH(F162),"January","February","March","April","May","June","July","August","September","October","November","December")</f>
        <v>May</v>
      </c>
      <c r="H162" s="122">
        <f ca="1">DATEDIF(F162,TODAY(),"Y")</f>
        <v>20</v>
      </c>
      <c r="I162" s="122" t="s">
        <v>276</v>
      </c>
      <c r="J162" s="202">
        <v>32835</v>
      </c>
      <c r="K162" s="201">
        <v>2</v>
      </c>
    </row>
    <row r="163" spans="1:11">
      <c r="A163" s="122">
        <v>172</v>
      </c>
      <c r="B163" s="204" t="s">
        <v>1027</v>
      </c>
      <c r="C163" s="122" t="s">
        <v>245</v>
      </c>
      <c r="D163" s="122" t="s">
        <v>417</v>
      </c>
      <c r="E163" s="122" t="s">
        <v>247</v>
      </c>
      <c r="F163" s="203">
        <v>34761</v>
      </c>
      <c r="G163" s="122" t="str">
        <f>CHOOSE(MONTH(F163),"January","February","March","April","May","June","July","August","September","October","November","December")</f>
        <v>March</v>
      </c>
      <c r="H163" s="122">
        <f ca="1">DATEDIF(F163,TODAY(),"Y")</f>
        <v>21</v>
      </c>
      <c r="J163" s="202">
        <v>45040</v>
      </c>
      <c r="K163" s="201">
        <v>5</v>
      </c>
    </row>
    <row r="164" spans="1:11">
      <c r="A164" s="122">
        <v>173</v>
      </c>
      <c r="B164" s="204" t="s">
        <v>784</v>
      </c>
      <c r="C164" s="122" t="s">
        <v>266</v>
      </c>
      <c r="D164" s="122" t="s">
        <v>417</v>
      </c>
      <c r="E164" s="122" t="s">
        <v>247</v>
      </c>
      <c r="F164" s="203">
        <v>40259</v>
      </c>
      <c r="G164" s="122" t="str">
        <f>CHOOSE(MONTH(F164),"January","February","March","April","May","June","July","August","September","October","November","December")</f>
        <v>March</v>
      </c>
      <c r="H164" s="122">
        <f ca="1">DATEDIF(F164,TODAY(),"Y")</f>
        <v>6</v>
      </c>
      <c r="J164" s="202">
        <v>45710</v>
      </c>
      <c r="K164" s="201">
        <v>3</v>
      </c>
    </row>
    <row r="165" spans="1:11">
      <c r="A165" s="122">
        <v>174</v>
      </c>
      <c r="B165" s="204" t="s">
        <v>822</v>
      </c>
      <c r="C165" s="122" t="s">
        <v>271</v>
      </c>
      <c r="D165" s="122" t="s">
        <v>417</v>
      </c>
      <c r="E165" s="122" t="s">
        <v>261</v>
      </c>
      <c r="F165" s="203">
        <v>39768</v>
      </c>
      <c r="G165" s="122" t="str">
        <f>CHOOSE(MONTH(F165),"January","February","March","April","May","June","July","August","September","October","November","December")</f>
        <v>November</v>
      </c>
      <c r="H165" s="122">
        <f ca="1">DATEDIF(F165,TODAY(),"Y")</f>
        <v>7</v>
      </c>
      <c r="I165" s="122" t="s">
        <v>257</v>
      </c>
      <c r="J165" s="202">
        <v>39515</v>
      </c>
      <c r="K165" s="201">
        <v>5</v>
      </c>
    </row>
    <row r="166" spans="1:11">
      <c r="A166" s="122">
        <v>175</v>
      </c>
      <c r="B166" s="204" t="s">
        <v>498</v>
      </c>
      <c r="C166" s="122" t="s">
        <v>271</v>
      </c>
      <c r="D166" s="122" t="s">
        <v>417</v>
      </c>
      <c r="E166" s="122" t="s">
        <v>256</v>
      </c>
      <c r="F166" s="203">
        <v>33405</v>
      </c>
      <c r="G166" s="122" t="str">
        <f>CHOOSE(MONTH(F166),"January","February","March","April","May","June","July","August","September","October","November","December")</f>
        <v>June</v>
      </c>
      <c r="H166" s="122">
        <f ca="1">DATEDIF(F166,TODAY(),"Y")</f>
        <v>25</v>
      </c>
      <c r="I166" s="122" t="s">
        <v>283</v>
      </c>
      <c r="J166" s="202">
        <v>32140</v>
      </c>
      <c r="K166" s="201">
        <v>2</v>
      </c>
    </row>
    <row r="167" spans="1:11">
      <c r="A167" s="122">
        <v>176</v>
      </c>
      <c r="B167" s="204" t="s">
        <v>363</v>
      </c>
      <c r="C167" s="122" t="s">
        <v>280</v>
      </c>
      <c r="D167" s="122" t="s">
        <v>417</v>
      </c>
      <c r="E167" s="122" t="s">
        <v>256</v>
      </c>
      <c r="F167" s="203">
        <v>33079</v>
      </c>
      <c r="G167" s="122" t="str">
        <f>CHOOSE(MONTH(F167),"January","February","March","April","May","June","July","August","September","October","November","December")</f>
        <v>July</v>
      </c>
      <c r="H167" s="122">
        <f ca="1">DATEDIF(F167,TODAY(),"Y")</f>
        <v>26</v>
      </c>
      <c r="I167" s="122" t="s">
        <v>276</v>
      </c>
      <c r="J167" s="202">
        <v>32360</v>
      </c>
      <c r="K167" s="201">
        <v>4</v>
      </c>
    </row>
    <row r="168" spans="1:11">
      <c r="A168" s="122">
        <v>177</v>
      </c>
      <c r="B168" s="204" t="s">
        <v>753</v>
      </c>
      <c r="C168" s="122" t="s">
        <v>271</v>
      </c>
      <c r="D168" s="122" t="s">
        <v>417</v>
      </c>
      <c r="E168" s="122" t="s">
        <v>256</v>
      </c>
      <c r="F168" s="203">
        <v>35084</v>
      </c>
      <c r="G168" s="122" t="str">
        <f>CHOOSE(MONTH(F168),"January","February","March","April","May","June","July","August","September","October","November","December")</f>
        <v>January</v>
      </c>
      <c r="H168" s="122">
        <f ca="1">DATEDIF(F168,TODAY(),"Y")</f>
        <v>20</v>
      </c>
      <c r="I168" s="122" t="s">
        <v>276</v>
      </c>
      <c r="J168" s="202">
        <v>49260</v>
      </c>
      <c r="K168" s="201">
        <v>3</v>
      </c>
    </row>
    <row r="169" spans="1:11">
      <c r="A169" s="122">
        <v>178</v>
      </c>
      <c r="B169" s="204" t="s">
        <v>265</v>
      </c>
      <c r="C169" s="122" t="s">
        <v>271</v>
      </c>
      <c r="D169" s="122" t="s">
        <v>417</v>
      </c>
      <c r="E169" s="122" t="s">
        <v>247</v>
      </c>
      <c r="F169" s="203">
        <v>34771</v>
      </c>
      <c r="G169" s="122" t="str">
        <f>CHOOSE(MONTH(F169),"January","February","March","April","May","June","July","August","September","October","November","December")</f>
        <v>March</v>
      </c>
      <c r="H169" s="122">
        <f ca="1">DATEDIF(F169,TODAY(),"Y")</f>
        <v>21</v>
      </c>
      <c r="J169" s="202">
        <v>26360</v>
      </c>
      <c r="K169" s="201">
        <v>4</v>
      </c>
    </row>
    <row r="170" spans="1:11">
      <c r="A170" s="122">
        <v>179</v>
      </c>
      <c r="B170" s="204" t="s">
        <v>668</v>
      </c>
      <c r="C170" s="122" t="s">
        <v>251</v>
      </c>
      <c r="D170" s="122" t="s">
        <v>417</v>
      </c>
      <c r="E170" s="122" t="s">
        <v>247</v>
      </c>
      <c r="F170" s="203">
        <v>40054</v>
      </c>
      <c r="G170" s="122" t="str">
        <f>CHOOSE(MONTH(F170),"January","February","March","April","May","June","July","August","September","October","November","December")</f>
        <v>August</v>
      </c>
      <c r="H170" s="122">
        <f ca="1">DATEDIF(F170,TODAY(),"Y")</f>
        <v>7</v>
      </c>
      <c r="J170" s="202">
        <v>56920</v>
      </c>
      <c r="K170" s="201">
        <v>4</v>
      </c>
    </row>
    <row r="171" spans="1:11">
      <c r="A171" s="122">
        <v>180</v>
      </c>
      <c r="B171" s="204" t="s">
        <v>997</v>
      </c>
      <c r="C171" s="122" t="s">
        <v>271</v>
      </c>
      <c r="D171" s="122" t="s">
        <v>417</v>
      </c>
      <c r="E171" s="122" t="s">
        <v>256</v>
      </c>
      <c r="F171" s="203">
        <v>35605</v>
      </c>
      <c r="G171" s="122" t="str">
        <f>CHOOSE(MONTH(F171),"January","February","March","April","May","June","July","August","September","October","November","December")</f>
        <v>June</v>
      </c>
      <c r="H171" s="122">
        <f ca="1">DATEDIF(F171,TODAY(),"Y")</f>
        <v>19</v>
      </c>
      <c r="I171" s="122" t="s">
        <v>283</v>
      </c>
      <c r="J171" s="202">
        <v>56870</v>
      </c>
      <c r="K171" s="201">
        <v>1</v>
      </c>
    </row>
    <row r="172" spans="1:11">
      <c r="A172" s="122">
        <v>181</v>
      </c>
      <c r="B172" s="204" t="s">
        <v>506</v>
      </c>
      <c r="C172" s="122" t="s">
        <v>285</v>
      </c>
      <c r="D172" s="122" t="s">
        <v>417</v>
      </c>
      <c r="E172" s="122" t="s">
        <v>256</v>
      </c>
      <c r="F172" s="203">
        <v>40470</v>
      </c>
      <c r="G172" s="122" t="str">
        <f>CHOOSE(MONTH(F172),"January","February","March","April","May","June","July","August","September","October","November","December")</f>
        <v>October</v>
      </c>
      <c r="H172" s="122">
        <f ca="1">DATEDIF(F172,TODAY(),"Y")</f>
        <v>6</v>
      </c>
      <c r="I172" s="122" t="s">
        <v>283</v>
      </c>
      <c r="J172" s="202">
        <v>42620</v>
      </c>
      <c r="K172" s="201">
        <v>3</v>
      </c>
    </row>
    <row r="173" spans="1:11">
      <c r="A173" s="122">
        <v>182</v>
      </c>
      <c r="B173" s="204" t="s">
        <v>544</v>
      </c>
      <c r="C173" s="122" t="s">
        <v>251</v>
      </c>
      <c r="D173" s="122" t="s">
        <v>417</v>
      </c>
      <c r="E173" s="122" t="s">
        <v>256</v>
      </c>
      <c r="F173" s="203">
        <v>33923</v>
      </c>
      <c r="G173" s="122" t="str">
        <f>CHOOSE(MONTH(F173),"January","February","March","April","May","June","July","August","September","October","November","December")</f>
        <v>November</v>
      </c>
      <c r="H173" s="122">
        <f ca="1">DATEDIF(F173,TODAY(),"Y")</f>
        <v>23</v>
      </c>
      <c r="I173" s="122" t="s">
        <v>283</v>
      </c>
      <c r="J173" s="202">
        <v>46340</v>
      </c>
      <c r="K173" s="201">
        <v>5</v>
      </c>
    </row>
    <row r="174" spans="1:11">
      <c r="A174" s="122">
        <v>183</v>
      </c>
      <c r="B174" s="204" t="s">
        <v>1024</v>
      </c>
      <c r="C174" s="122" t="s">
        <v>285</v>
      </c>
      <c r="D174" s="122" t="s">
        <v>417</v>
      </c>
      <c r="E174" s="122" t="s">
        <v>247</v>
      </c>
      <c r="F174" s="203">
        <v>34912</v>
      </c>
      <c r="G174" s="122" t="str">
        <f>CHOOSE(MONTH(F174),"January","February","March","April","May","June","July","August","September","October","November","December")</f>
        <v>August</v>
      </c>
      <c r="H174" s="122">
        <f ca="1">DATEDIF(F174,TODAY(),"Y")</f>
        <v>21</v>
      </c>
      <c r="J174" s="202">
        <v>40560</v>
      </c>
      <c r="K174" s="201">
        <v>5</v>
      </c>
    </row>
    <row r="175" spans="1:11">
      <c r="A175" s="122">
        <v>184</v>
      </c>
      <c r="B175" s="204" t="s">
        <v>490</v>
      </c>
      <c r="C175" s="122" t="s">
        <v>271</v>
      </c>
      <c r="D175" s="122" t="s">
        <v>417</v>
      </c>
      <c r="E175" s="122" t="s">
        <v>252</v>
      </c>
      <c r="F175" s="203">
        <v>39893</v>
      </c>
      <c r="G175" s="122" t="str">
        <f>CHOOSE(MONTH(F175),"January","February","March","April","May","June","July","August","September","October","November","December")</f>
        <v>March</v>
      </c>
      <c r="H175" s="122">
        <f ca="1">DATEDIF(F175,TODAY(),"Y")</f>
        <v>7</v>
      </c>
      <c r="J175" s="202">
        <v>15744</v>
      </c>
      <c r="K175" s="201">
        <v>3</v>
      </c>
    </row>
    <row r="176" spans="1:11">
      <c r="A176" s="122">
        <v>186</v>
      </c>
      <c r="B176" s="204" t="s">
        <v>532</v>
      </c>
      <c r="C176" s="122" t="s">
        <v>271</v>
      </c>
      <c r="D176" s="122" t="s">
        <v>456</v>
      </c>
      <c r="E176" s="122" t="s">
        <v>261</v>
      </c>
      <c r="F176" s="203">
        <v>34401</v>
      </c>
      <c r="G176" s="122" t="str">
        <f>CHOOSE(MONTH(F176),"January","February","March","April","May","June","July","August","September","October","November","December")</f>
        <v>March</v>
      </c>
      <c r="H176" s="122">
        <f ca="1">DATEDIF(F176,TODAY(),"Y")</f>
        <v>22</v>
      </c>
      <c r="I176" s="122" t="s">
        <v>267</v>
      </c>
      <c r="J176" s="202">
        <v>89780</v>
      </c>
      <c r="K176" s="201">
        <v>4</v>
      </c>
    </row>
    <row r="177" spans="1:11">
      <c r="A177" s="122">
        <v>187</v>
      </c>
      <c r="B177" s="204" t="s">
        <v>495</v>
      </c>
      <c r="C177" s="122" t="s">
        <v>271</v>
      </c>
      <c r="D177" s="122" t="s">
        <v>456</v>
      </c>
      <c r="E177" s="122" t="s">
        <v>256</v>
      </c>
      <c r="F177" s="203">
        <v>33385</v>
      </c>
      <c r="G177" s="122" t="str">
        <f>CHOOSE(MONTH(F177),"January","February","March","April","May","June","July","August","September","October","November","December")</f>
        <v>May</v>
      </c>
      <c r="H177" s="122">
        <f ca="1">DATEDIF(F177,TODAY(),"Y")</f>
        <v>25</v>
      </c>
      <c r="I177" s="122" t="s">
        <v>257</v>
      </c>
      <c r="J177" s="202">
        <v>89140</v>
      </c>
      <c r="K177" s="201">
        <v>1</v>
      </c>
    </row>
    <row r="178" spans="1:11">
      <c r="A178" s="122">
        <v>188</v>
      </c>
      <c r="B178" s="204" t="s">
        <v>671</v>
      </c>
      <c r="C178" s="122" t="s">
        <v>285</v>
      </c>
      <c r="D178" s="122" t="s">
        <v>456</v>
      </c>
      <c r="E178" s="122" t="s">
        <v>252</v>
      </c>
      <c r="F178" s="203">
        <v>37946</v>
      </c>
      <c r="G178" s="122" t="str">
        <f>CHOOSE(MONTH(F178),"January","February","March","April","May","June","July","August","September","October","November","December")</f>
        <v>November</v>
      </c>
      <c r="H178" s="122">
        <f ca="1">DATEDIF(F178,TODAY(),"Y")</f>
        <v>12</v>
      </c>
      <c r="I178" s="122" t="s">
        <v>257</v>
      </c>
      <c r="J178" s="202">
        <v>85130</v>
      </c>
      <c r="K178" s="201">
        <v>5</v>
      </c>
    </row>
    <row r="179" spans="1:11">
      <c r="A179" s="122">
        <v>189</v>
      </c>
      <c r="B179" s="204" t="s">
        <v>412</v>
      </c>
      <c r="C179" s="122" t="s">
        <v>251</v>
      </c>
      <c r="D179" s="122" t="s">
        <v>456</v>
      </c>
      <c r="E179" s="122" t="s">
        <v>247</v>
      </c>
      <c r="F179" s="203">
        <v>40263</v>
      </c>
      <c r="G179" s="122" t="str">
        <f>CHOOSE(MONTH(F179),"January","February","March","April","May","June","July","August","September","October","November","December")</f>
        <v>March</v>
      </c>
      <c r="H179" s="122">
        <f ca="1">DATEDIF(F179,TODAY(),"Y")</f>
        <v>6</v>
      </c>
      <c r="I179" s="122" t="s">
        <v>267</v>
      </c>
      <c r="J179" s="202">
        <v>71190</v>
      </c>
      <c r="K179" s="201">
        <v>4</v>
      </c>
    </row>
    <row r="180" spans="1:11">
      <c r="A180" s="122">
        <v>190</v>
      </c>
      <c r="B180" s="204" t="s">
        <v>860</v>
      </c>
      <c r="C180" s="122" t="s">
        <v>280</v>
      </c>
      <c r="D180" s="122" t="s">
        <v>456</v>
      </c>
      <c r="E180" s="122" t="s">
        <v>256</v>
      </c>
      <c r="F180" s="203">
        <v>37043</v>
      </c>
      <c r="G180" s="122" t="str">
        <f>CHOOSE(MONTH(F180),"January","February","March","April","May","June","July","August","September","October","November","December")</f>
        <v>June</v>
      </c>
      <c r="H180" s="122">
        <f ca="1">DATEDIF(F180,TODAY(),"Y")</f>
        <v>15</v>
      </c>
      <c r="I180" s="122" t="s">
        <v>262</v>
      </c>
      <c r="J180" s="202">
        <v>45150</v>
      </c>
      <c r="K180" s="201">
        <v>1</v>
      </c>
    </row>
    <row r="181" spans="1:11">
      <c r="A181" s="122">
        <v>191</v>
      </c>
      <c r="B181" s="204" t="s">
        <v>698</v>
      </c>
      <c r="C181" s="122" t="s">
        <v>280</v>
      </c>
      <c r="D181" s="122" t="s">
        <v>456</v>
      </c>
      <c r="E181" s="122" t="s">
        <v>247</v>
      </c>
      <c r="F181" s="203">
        <v>36673</v>
      </c>
      <c r="G181" s="122" t="str">
        <f>CHOOSE(MONTH(F181),"January","February","March","April","May","June","July","August","September","October","November","December")</f>
        <v>May</v>
      </c>
      <c r="H181" s="122">
        <f ca="1">DATEDIF(F181,TODAY(),"Y")</f>
        <v>16</v>
      </c>
      <c r="I181" s="122" t="s">
        <v>283</v>
      </c>
      <c r="J181" s="202">
        <v>69410</v>
      </c>
      <c r="K181" s="201">
        <v>4</v>
      </c>
    </row>
    <row r="182" spans="1:11">
      <c r="A182" s="122">
        <v>192</v>
      </c>
      <c r="B182" s="204" t="s">
        <v>511</v>
      </c>
      <c r="C182" s="122" t="s">
        <v>271</v>
      </c>
      <c r="D182" s="122" t="s">
        <v>456</v>
      </c>
      <c r="E182" s="122" t="s">
        <v>252</v>
      </c>
      <c r="F182" s="203">
        <v>36519</v>
      </c>
      <c r="G182" s="122" t="str">
        <f>CHOOSE(MONTH(F182),"January","February","March","April","May","June","July","August","September","October","November","December")</f>
        <v>December</v>
      </c>
      <c r="H182" s="122">
        <f ca="1">DATEDIF(F182,TODAY(),"Y")</f>
        <v>16</v>
      </c>
      <c r="I182" s="122" t="s">
        <v>283</v>
      </c>
      <c r="J182" s="202">
        <v>61860</v>
      </c>
      <c r="K182" s="201">
        <v>5</v>
      </c>
    </row>
    <row r="183" spans="1:11">
      <c r="A183" s="122">
        <v>193</v>
      </c>
      <c r="B183" s="204" t="s">
        <v>821</v>
      </c>
      <c r="C183" s="122" t="s">
        <v>285</v>
      </c>
      <c r="D183" s="122" t="s">
        <v>456</v>
      </c>
      <c r="E183" s="122" t="s">
        <v>261</v>
      </c>
      <c r="F183" s="203">
        <v>37505</v>
      </c>
      <c r="G183" s="122" t="str">
        <f>CHOOSE(MONTH(F183),"January","February","March","April","May","June","July","August","September","October","November","December")</f>
        <v>September</v>
      </c>
      <c r="H183" s="122">
        <f ca="1">DATEDIF(F183,TODAY(),"Y")</f>
        <v>14</v>
      </c>
      <c r="I183" s="122" t="s">
        <v>276</v>
      </c>
      <c r="J183" s="202">
        <v>51800</v>
      </c>
      <c r="K183" s="201">
        <v>1</v>
      </c>
    </row>
    <row r="184" spans="1:11">
      <c r="A184" s="122">
        <v>195</v>
      </c>
      <c r="B184" s="204" t="s">
        <v>1003</v>
      </c>
      <c r="C184" s="122" t="s">
        <v>285</v>
      </c>
      <c r="D184" s="122" t="s">
        <v>465</v>
      </c>
      <c r="E184" s="122" t="s">
        <v>256</v>
      </c>
      <c r="F184" s="203">
        <v>35932</v>
      </c>
      <c r="G184" s="122" t="str">
        <f>CHOOSE(MONTH(F184),"January","February","March","April","May","June","July","August","September","October","November","December")</f>
        <v>May</v>
      </c>
      <c r="H184" s="122">
        <f ca="1">DATEDIF(F184,TODAY(),"Y")</f>
        <v>18</v>
      </c>
      <c r="I184" s="122" t="s">
        <v>283</v>
      </c>
      <c r="J184" s="202">
        <v>89740</v>
      </c>
      <c r="K184" s="201">
        <v>5</v>
      </c>
    </row>
    <row r="185" spans="1:11">
      <c r="A185" s="122">
        <v>196</v>
      </c>
      <c r="B185" s="204" t="s">
        <v>897</v>
      </c>
      <c r="C185" s="122" t="s">
        <v>285</v>
      </c>
      <c r="D185" s="122" t="s">
        <v>465</v>
      </c>
      <c r="E185" s="122" t="s">
        <v>247</v>
      </c>
      <c r="F185" s="203">
        <v>36718</v>
      </c>
      <c r="G185" s="122" t="str">
        <f>CHOOSE(MONTH(F185),"January","February","March","April","May","June","July","August","September","October","November","December")</f>
        <v>July</v>
      </c>
      <c r="H185" s="122">
        <f ca="1">DATEDIF(F185,TODAY(),"Y")</f>
        <v>16</v>
      </c>
      <c r="J185" s="202">
        <v>89520</v>
      </c>
      <c r="K185" s="201">
        <v>5</v>
      </c>
    </row>
    <row r="186" spans="1:11">
      <c r="A186" s="122">
        <v>197</v>
      </c>
      <c r="B186" s="204" t="s">
        <v>904</v>
      </c>
      <c r="C186" s="122" t="s">
        <v>285</v>
      </c>
      <c r="D186" s="122" t="s">
        <v>465</v>
      </c>
      <c r="E186" s="122" t="s">
        <v>247</v>
      </c>
      <c r="F186" s="203">
        <v>35185</v>
      </c>
      <c r="G186" s="122" t="str">
        <f>CHOOSE(MONTH(F186),"January","February","March","April","May","June","July","August","September","October","November","December")</f>
        <v>April</v>
      </c>
      <c r="H186" s="122">
        <f ca="1">DATEDIF(F186,TODAY(),"Y")</f>
        <v>20</v>
      </c>
      <c r="J186" s="202">
        <v>24410</v>
      </c>
      <c r="K186" s="201">
        <v>3</v>
      </c>
    </row>
    <row r="187" spans="1:11">
      <c r="A187" s="122">
        <v>198</v>
      </c>
      <c r="B187" s="204" t="s">
        <v>633</v>
      </c>
      <c r="C187" s="122" t="s">
        <v>285</v>
      </c>
      <c r="D187" s="122" t="s">
        <v>465</v>
      </c>
      <c r="E187" s="122" t="s">
        <v>247</v>
      </c>
      <c r="F187" s="203">
        <v>40449</v>
      </c>
      <c r="G187" s="122" t="str">
        <f>CHOOSE(MONTH(F187),"January","February","March","April","May","June","July","August","September","October","November","December")</f>
        <v>September</v>
      </c>
      <c r="H187" s="122">
        <f ca="1">DATEDIF(F187,TODAY(),"Y")</f>
        <v>6</v>
      </c>
      <c r="J187" s="202">
        <v>88840</v>
      </c>
      <c r="K187" s="201">
        <v>5</v>
      </c>
    </row>
    <row r="188" spans="1:11">
      <c r="A188" s="122">
        <v>199</v>
      </c>
      <c r="B188" s="204" t="s">
        <v>755</v>
      </c>
      <c r="C188" s="122" t="s">
        <v>271</v>
      </c>
      <c r="D188" s="122" t="s">
        <v>465</v>
      </c>
      <c r="E188" s="122" t="s">
        <v>256</v>
      </c>
      <c r="F188" s="203">
        <v>36101</v>
      </c>
      <c r="G188" s="122" t="str">
        <f>CHOOSE(MONTH(F188),"January","February","March","April","May","June","July","August","September","October","November","December")</f>
        <v>November</v>
      </c>
      <c r="H188" s="122">
        <f ca="1">DATEDIF(F188,TODAY(),"Y")</f>
        <v>18</v>
      </c>
      <c r="I188" s="122" t="s">
        <v>257</v>
      </c>
      <c r="J188" s="202">
        <v>88240</v>
      </c>
      <c r="K188" s="201">
        <v>5</v>
      </c>
    </row>
    <row r="189" spans="1:11">
      <c r="A189" s="122">
        <v>200</v>
      </c>
      <c r="B189" s="204" t="s">
        <v>320</v>
      </c>
      <c r="C189" s="122" t="s">
        <v>285</v>
      </c>
      <c r="D189" s="122" t="s">
        <v>465</v>
      </c>
      <c r="E189" s="122" t="s">
        <v>256</v>
      </c>
      <c r="F189" s="203">
        <v>38377</v>
      </c>
      <c r="G189" s="122" t="str">
        <f>CHOOSE(MONTH(F189),"January","February","March","April","May","June","July","August","September","October","November","December")</f>
        <v>January</v>
      </c>
      <c r="H189" s="122">
        <f ca="1">DATEDIF(F189,TODAY(),"Y")</f>
        <v>11</v>
      </c>
      <c r="I189" s="122" t="s">
        <v>257</v>
      </c>
      <c r="J189" s="202">
        <v>87760</v>
      </c>
      <c r="K189" s="201">
        <v>1</v>
      </c>
    </row>
    <row r="190" spans="1:11">
      <c r="A190" s="122">
        <v>201</v>
      </c>
      <c r="B190" s="204" t="s">
        <v>325</v>
      </c>
      <c r="C190" s="122" t="s">
        <v>271</v>
      </c>
      <c r="D190" s="122" t="s">
        <v>465</v>
      </c>
      <c r="E190" s="122" t="s">
        <v>261</v>
      </c>
      <c r="F190" s="203">
        <v>36269</v>
      </c>
      <c r="G190" s="122" t="str">
        <f>CHOOSE(MONTH(F190),"January","February","March","April","May","June","July","August","September","October","November","December")</f>
        <v>April</v>
      </c>
      <c r="H190" s="122">
        <f ca="1">DATEDIF(F190,TODAY(),"Y")</f>
        <v>17</v>
      </c>
      <c r="I190" s="122" t="s">
        <v>283</v>
      </c>
      <c r="J190" s="202">
        <v>48190</v>
      </c>
      <c r="K190" s="201">
        <v>1</v>
      </c>
    </row>
    <row r="191" spans="1:11">
      <c r="A191" s="122">
        <v>202</v>
      </c>
      <c r="B191" s="204" t="s">
        <v>662</v>
      </c>
      <c r="C191" s="122" t="s">
        <v>285</v>
      </c>
      <c r="D191" s="122" t="s">
        <v>465</v>
      </c>
      <c r="E191" s="122" t="s">
        <v>261</v>
      </c>
      <c r="F191" s="203">
        <v>36422</v>
      </c>
      <c r="G191" s="122" t="str">
        <f>CHOOSE(MONTH(F191),"January","February","March","April","May","June","July","August","September","October","November","December")</f>
        <v>September</v>
      </c>
      <c r="H191" s="122">
        <f ca="1">DATEDIF(F191,TODAY(),"Y")</f>
        <v>17</v>
      </c>
      <c r="I191" s="122" t="s">
        <v>283</v>
      </c>
      <c r="J191" s="202">
        <v>17270</v>
      </c>
      <c r="K191" s="201">
        <v>5</v>
      </c>
    </row>
    <row r="192" spans="1:11">
      <c r="A192" s="122">
        <v>203</v>
      </c>
      <c r="B192" s="204" t="s">
        <v>970</v>
      </c>
      <c r="C192" s="122" t="s">
        <v>271</v>
      </c>
      <c r="D192" s="122" t="s">
        <v>465</v>
      </c>
      <c r="E192" s="122" t="s">
        <v>256</v>
      </c>
      <c r="F192" s="203">
        <v>35356</v>
      </c>
      <c r="G192" s="122" t="str">
        <f>CHOOSE(MONTH(F192),"January","February","March","April","May","June","July","August","September","October","November","December")</f>
        <v>October</v>
      </c>
      <c r="H192" s="122">
        <f ca="1">DATEDIF(F192,TODAY(),"Y")</f>
        <v>20</v>
      </c>
      <c r="I192" s="122" t="s">
        <v>262</v>
      </c>
      <c r="J192" s="202">
        <v>45480</v>
      </c>
      <c r="K192" s="201">
        <v>4</v>
      </c>
    </row>
    <row r="193" spans="1:11">
      <c r="A193" s="122">
        <v>204</v>
      </c>
      <c r="B193" s="204" t="s">
        <v>992</v>
      </c>
      <c r="C193" s="122" t="s">
        <v>271</v>
      </c>
      <c r="D193" s="122" t="s">
        <v>465</v>
      </c>
      <c r="E193" s="122" t="s">
        <v>256</v>
      </c>
      <c r="F193" s="203">
        <v>35156</v>
      </c>
      <c r="G193" s="122" t="str">
        <f>CHOOSE(MONTH(F193),"January","February","March","April","May","June","July","August","September","October","November","December")</f>
        <v>April</v>
      </c>
      <c r="H193" s="122">
        <f ca="1">DATEDIF(F193,TODAY(),"Y")</f>
        <v>20</v>
      </c>
      <c r="I193" s="122" t="s">
        <v>283</v>
      </c>
      <c r="J193" s="202">
        <v>86260</v>
      </c>
      <c r="K193" s="201">
        <v>3</v>
      </c>
    </row>
    <row r="194" spans="1:11">
      <c r="A194" s="122">
        <v>205</v>
      </c>
      <c r="B194" s="204" t="s">
        <v>377</v>
      </c>
      <c r="C194" s="122" t="s">
        <v>285</v>
      </c>
      <c r="D194" s="122" t="s">
        <v>465</v>
      </c>
      <c r="E194" s="122" t="s">
        <v>256</v>
      </c>
      <c r="F194" s="203">
        <v>38832</v>
      </c>
      <c r="G194" s="122" t="str">
        <f>CHOOSE(MONTH(F194),"January","February","March","April","May","June","July","August","September","October","November","December")</f>
        <v>April</v>
      </c>
      <c r="H194" s="122">
        <f ca="1">DATEDIF(F194,TODAY(),"Y")</f>
        <v>10</v>
      </c>
      <c r="I194" s="122" t="s">
        <v>276</v>
      </c>
      <c r="J194" s="202">
        <v>29420</v>
      </c>
      <c r="K194" s="201">
        <v>5</v>
      </c>
    </row>
    <row r="195" spans="1:11">
      <c r="A195" s="122">
        <v>206</v>
      </c>
      <c r="B195" s="204" t="s">
        <v>818</v>
      </c>
      <c r="C195" s="122" t="s">
        <v>280</v>
      </c>
      <c r="D195" s="122" t="s">
        <v>465</v>
      </c>
      <c r="E195" s="122" t="s">
        <v>256</v>
      </c>
      <c r="F195" s="203">
        <v>38377</v>
      </c>
      <c r="G195" s="122" t="str">
        <f>CHOOSE(MONTH(F195),"January","February","March","April","May","June","July","August","September","October","November","December")</f>
        <v>January</v>
      </c>
      <c r="H195" s="122">
        <f ca="1">DATEDIF(F195,TODAY(),"Y")</f>
        <v>11</v>
      </c>
      <c r="I195" s="122" t="s">
        <v>257</v>
      </c>
      <c r="J195" s="202">
        <v>41060</v>
      </c>
      <c r="K195" s="201">
        <v>3</v>
      </c>
    </row>
    <row r="196" spans="1:11">
      <c r="A196" s="122">
        <v>207</v>
      </c>
      <c r="B196" s="204" t="s">
        <v>1014</v>
      </c>
      <c r="C196" s="122" t="s">
        <v>271</v>
      </c>
      <c r="D196" s="122" t="s">
        <v>465</v>
      </c>
      <c r="E196" s="122" t="s">
        <v>247</v>
      </c>
      <c r="F196" s="203">
        <v>39545</v>
      </c>
      <c r="G196" s="122" t="str">
        <f>CHOOSE(MONTH(F196),"January","February","March","April","May","June","July","August","September","October","November","December")</f>
        <v>April</v>
      </c>
      <c r="H196" s="122">
        <f ca="1">DATEDIF(F196,TODAY(),"Y")</f>
        <v>8</v>
      </c>
      <c r="J196" s="202">
        <v>84170</v>
      </c>
      <c r="K196" s="201">
        <v>2</v>
      </c>
    </row>
    <row r="197" spans="1:11">
      <c r="A197" s="122">
        <v>208</v>
      </c>
      <c r="B197" s="204" t="s">
        <v>396</v>
      </c>
      <c r="C197" s="122" t="s">
        <v>271</v>
      </c>
      <c r="D197" s="122" t="s">
        <v>465</v>
      </c>
      <c r="E197" s="122" t="s">
        <v>247</v>
      </c>
      <c r="F197" s="203">
        <v>33819</v>
      </c>
      <c r="G197" s="122" t="str">
        <f>CHOOSE(MONTH(F197),"January","February","March","April","May","June","July","August","September","October","November","December")</f>
        <v>August</v>
      </c>
      <c r="H197" s="122">
        <f ca="1">DATEDIF(F197,TODAY(),"Y")</f>
        <v>24</v>
      </c>
      <c r="J197" s="202">
        <v>49530</v>
      </c>
      <c r="K197" s="201">
        <v>2</v>
      </c>
    </row>
    <row r="198" spans="1:11">
      <c r="A198" s="122">
        <v>209</v>
      </c>
      <c r="B198" s="204" t="s">
        <v>685</v>
      </c>
      <c r="C198" s="122" t="s">
        <v>245</v>
      </c>
      <c r="D198" s="122" t="s">
        <v>465</v>
      </c>
      <c r="E198" s="122" t="s">
        <v>256</v>
      </c>
      <c r="F198" s="203">
        <v>35020</v>
      </c>
      <c r="G198" s="122" t="str">
        <f>CHOOSE(MONTH(F198),"January","February","March","April","May","June","July","August","September","October","November","December")</f>
        <v>November</v>
      </c>
      <c r="H198" s="122">
        <f ca="1">DATEDIF(F198,TODAY(),"Y")</f>
        <v>20</v>
      </c>
      <c r="I198" s="122" t="s">
        <v>262</v>
      </c>
      <c r="J198" s="202">
        <v>38940</v>
      </c>
      <c r="K198" s="201">
        <v>2</v>
      </c>
    </row>
    <row r="199" spans="1:11">
      <c r="A199" s="122">
        <v>210</v>
      </c>
      <c r="B199" s="204" t="s">
        <v>735</v>
      </c>
      <c r="C199" s="122" t="s">
        <v>271</v>
      </c>
      <c r="D199" s="122" t="s">
        <v>465</v>
      </c>
      <c r="E199" s="122" t="s">
        <v>256</v>
      </c>
      <c r="F199" s="203">
        <v>34151</v>
      </c>
      <c r="G199" s="122" t="str">
        <f>CHOOSE(MONTH(F199),"January","February","March","April","May","June","July","August","September","October","November","December")</f>
        <v>July</v>
      </c>
      <c r="H199" s="122">
        <f ca="1">DATEDIF(F199,TODAY(),"Y")</f>
        <v>23</v>
      </c>
      <c r="I199" s="122" t="s">
        <v>283</v>
      </c>
      <c r="J199" s="202">
        <v>81980</v>
      </c>
      <c r="K199" s="201">
        <v>2</v>
      </c>
    </row>
    <row r="200" spans="1:11">
      <c r="A200" s="122">
        <v>211</v>
      </c>
      <c r="B200" s="204" t="s">
        <v>351</v>
      </c>
      <c r="C200" s="122" t="s">
        <v>251</v>
      </c>
      <c r="D200" s="122" t="s">
        <v>465</v>
      </c>
      <c r="E200" s="122" t="s">
        <v>256</v>
      </c>
      <c r="F200" s="203">
        <v>36198</v>
      </c>
      <c r="G200" s="122" t="str">
        <f>CHOOSE(MONTH(F200),"January","February","March","April","May","June","July","August","September","October","November","December")</f>
        <v>February</v>
      </c>
      <c r="H200" s="122">
        <f ca="1">DATEDIF(F200,TODAY(),"Y")</f>
        <v>17</v>
      </c>
      <c r="I200" s="122" t="s">
        <v>276</v>
      </c>
      <c r="J200" s="202">
        <v>81400</v>
      </c>
      <c r="K200" s="201">
        <v>2</v>
      </c>
    </row>
    <row r="201" spans="1:11">
      <c r="A201" s="122">
        <v>212</v>
      </c>
      <c r="B201" s="204" t="s">
        <v>493</v>
      </c>
      <c r="C201" s="122" t="s">
        <v>266</v>
      </c>
      <c r="D201" s="122" t="s">
        <v>465</v>
      </c>
      <c r="E201" s="122" t="s">
        <v>256</v>
      </c>
      <c r="F201" s="203">
        <v>40175</v>
      </c>
      <c r="G201" s="122" t="str">
        <f>CHOOSE(MONTH(F201),"January","February","March","April","May","June","July","August","September","October","November","December")</f>
        <v>December</v>
      </c>
      <c r="H201" s="122">
        <f ca="1">DATEDIF(F201,TODAY(),"Y")</f>
        <v>6</v>
      </c>
      <c r="I201" s="122" t="s">
        <v>267</v>
      </c>
      <c r="J201" s="202">
        <v>34690</v>
      </c>
      <c r="K201" s="201">
        <v>2</v>
      </c>
    </row>
    <row r="202" spans="1:11">
      <c r="A202" s="122">
        <v>213</v>
      </c>
      <c r="B202" s="204" t="s">
        <v>573</v>
      </c>
      <c r="C202" s="122" t="s">
        <v>251</v>
      </c>
      <c r="D202" s="122" t="s">
        <v>465</v>
      </c>
      <c r="E202" s="122" t="s">
        <v>256</v>
      </c>
      <c r="F202" s="203">
        <v>34483</v>
      </c>
      <c r="G202" s="122" t="str">
        <f>CHOOSE(MONTH(F202),"January","February","March","April","May","June","July","August","September","October","November","December")</f>
        <v>May</v>
      </c>
      <c r="H202" s="122">
        <f ca="1">DATEDIF(F202,TODAY(),"Y")</f>
        <v>22</v>
      </c>
      <c r="I202" s="122" t="s">
        <v>257</v>
      </c>
      <c r="J202" s="202">
        <v>81010</v>
      </c>
      <c r="K202" s="201">
        <v>4</v>
      </c>
    </row>
    <row r="203" spans="1:11">
      <c r="A203" s="122">
        <v>214</v>
      </c>
      <c r="B203" s="204" t="s">
        <v>657</v>
      </c>
      <c r="C203" s="122" t="s">
        <v>266</v>
      </c>
      <c r="D203" s="122" t="s">
        <v>465</v>
      </c>
      <c r="E203" s="122" t="s">
        <v>247</v>
      </c>
      <c r="F203" s="203">
        <v>34671</v>
      </c>
      <c r="G203" s="122" t="str">
        <f>CHOOSE(MONTH(F203),"January","February","March","April","May","June","July","August","September","October","November","December")</f>
        <v>December</v>
      </c>
      <c r="H203" s="122">
        <f ca="1">DATEDIF(F203,TODAY(),"Y")</f>
        <v>21</v>
      </c>
      <c r="J203" s="202">
        <v>80690</v>
      </c>
      <c r="K203" s="201">
        <v>3</v>
      </c>
    </row>
    <row r="204" spans="1:11">
      <c r="A204" s="122">
        <v>215</v>
      </c>
      <c r="B204" s="204" t="s">
        <v>1019</v>
      </c>
      <c r="C204" s="122" t="s">
        <v>251</v>
      </c>
      <c r="D204" s="122" t="s">
        <v>465</v>
      </c>
      <c r="E204" s="122" t="s">
        <v>247</v>
      </c>
      <c r="F204" s="203">
        <v>38912</v>
      </c>
      <c r="G204" s="122" t="str">
        <f>CHOOSE(MONTH(F204),"January","February","March","April","May","June","July","August","September","October","November","December")</f>
        <v>July</v>
      </c>
      <c r="H204" s="122">
        <f ca="1">DATEDIF(F204,TODAY(),"Y")</f>
        <v>10</v>
      </c>
      <c r="J204" s="202">
        <v>80330</v>
      </c>
      <c r="K204" s="201">
        <v>4</v>
      </c>
    </row>
    <row r="205" spans="1:11">
      <c r="A205" s="122">
        <v>216</v>
      </c>
      <c r="B205" s="204" t="s">
        <v>614</v>
      </c>
      <c r="C205" s="122" t="s">
        <v>271</v>
      </c>
      <c r="D205" s="122" t="s">
        <v>465</v>
      </c>
      <c r="E205" s="122" t="s">
        <v>256</v>
      </c>
      <c r="F205" s="203">
        <v>35520</v>
      </c>
      <c r="G205" s="122" t="str">
        <f>CHOOSE(MONTH(F205),"January","February","March","April","May","June","July","August","September","October","November","December")</f>
        <v>March</v>
      </c>
      <c r="H205" s="122">
        <f ca="1">DATEDIF(F205,TODAY(),"Y")</f>
        <v>19</v>
      </c>
      <c r="I205" s="122" t="s">
        <v>257</v>
      </c>
      <c r="J205" s="202">
        <v>79730</v>
      </c>
      <c r="K205" s="201">
        <v>2</v>
      </c>
    </row>
    <row r="206" spans="1:11">
      <c r="A206" s="122">
        <v>217</v>
      </c>
      <c r="B206" s="204" t="s">
        <v>730</v>
      </c>
      <c r="C206" s="122" t="s">
        <v>285</v>
      </c>
      <c r="D206" s="122" t="s">
        <v>465</v>
      </c>
      <c r="E206" s="122" t="s">
        <v>261</v>
      </c>
      <c r="F206" s="203">
        <v>36604</v>
      </c>
      <c r="G206" s="122" t="str">
        <f>CHOOSE(MONTH(F206),"January","February","March","April","May","June","July","August","September","October","November","December")</f>
        <v>March</v>
      </c>
      <c r="H206" s="122">
        <f ca="1">DATEDIF(F206,TODAY(),"Y")</f>
        <v>16</v>
      </c>
      <c r="I206" s="122" t="s">
        <v>283</v>
      </c>
      <c r="J206" s="202">
        <v>46710</v>
      </c>
      <c r="K206" s="201">
        <v>3</v>
      </c>
    </row>
    <row r="207" spans="1:11">
      <c r="A207" s="122">
        <v>218</v>
      </c>
      <c r="B207" s="204" t="s">
        <v>564</v>
      </c>
      <c r="C207" s="122" t="s">
        <v>285</v>
      </c>
      <c r="D207" s="122" t="s">
        <v>465</v>
      </c>
      <c r="E207" s="122" t="s">
        <v>247</v>
      </c>
      <c r="F207" s="203">
        <v>33774</v>
      </c>
      <c r="G207" s="122" t="str">
        <f>CHOOSE(MONTH(F207),"January","February","March","April","May","June","July","August","September","October","November","December")</f>
        <v>June</v>
      </c>
      <c r="H207" s="122">
        <f ca="1">DATEDIF(F207,TODAY(),"Y")</f>
        <v>24</v>
      </c>
      <c r="J207" s="202">
        <v>32190</v>
      </c>
      <c r="K207" s="201">
        <v>3</v>
      </c>
    </row>
    <row r="208" spans="1:11">
      <c r="A208" s="122">
        <v>219</v>
      </c>
      <c r="B208" s="204" t="s">
        <v>355</v>
      </c>
      <c r="C208" s="122" t="s">
        <v>245</v>
      </c>
      <c r="D208" s="122" t="s">
        <v>465</v>
      </c>
      <c r="E208" s="122" t="s">
        <v>247</v>
      </c>
      <c r="F208" s="203">
        <v>34053</v>
      </c>
      <c r="G208" s="122" t="str">
        <f>CHOOSE(MONTH(F208),"January","February","March","April","May","June","July","August","September","October","November","December")</f>
        <v>March</v>
      </c>
      <c r="H208" s="122">
        <f ca="1">DATEDIF(F208,TODAY(),"Y")</f>
        <v>23</v>
      </c>
      <c r="J208" s="202">
        <v>79220</v>
      </c>
      <c r="K208" s="201">
        <v>4</v>
      </c>
    </row>
    <row r="209" spans="1:11">
      <c r="A209" s="122">
        <v>220</v>
      </c>
      <c r="B209" s="204" t="s">
        <v>545</v>
      </c>
      <c r="C209" s="122" t="s">
        <v>271</v>
      </c>
      <c r="D209" s="122" t="s">
        <v>465</v>
      </c>
      <c r="E209" s="122" t="s">
        <v>256</v>
      </c>
      <c r="F209" s="203">
        <v>33721</v>
      </c>
      <c r="G209" s="122" t="str">
        <f>CHOOSE(MONTH(F209),"January","February","March","April","May","June","July","August","September","October","November","December")</f>
        <v>April</v>
      </c>
      <c r="H209" s="122">
        <f ca="1">DATEDIF(F209,TODAY(),"Y")</f>
        <v>24</v>
      </c>
      <c r="I209" s="122" t="s">
        <v>283</v>
      </c>
      <c r="J209" s="202">
        <v>26190</v>
      </c>
      <c r="K209" s="201">
        <v>5</v>
      </c>
    </row>
    <row r="210" spans="1:11">
      <c r="A210" s="122">
        <v>221</v>
      </c>
      <c r="B210" s="204" t="s">
        <v>483</v>
      </c>
      <c r="C210" s="122" t="s">
        <v>251</v>
      </c>
      <c r="D210" s="122" t="s">
        <v>465</v>
      </c>
      <c r="E210" s="122" t="s">
        <v>256</v>
      </c>
      <c r="F210" s="203">
        <v>35801</v>
      </c>
      <c r="G210" s="122" t="str">
        <f>CHOOSE(MONTH(F210),"January","February","March","April","May","June","July","August","September","October","November","December")</f>
        <v>January</v>
      </c>
      <c r="H210" s="122">
        <f ca="1">DATEDIF(F210,TODAY(),"Y")</f>
        <v>18</v>
      </c>
      <c r="I210" s="122" t="s">
        <v>257</v>
      </c>
      <c r="J210" s="202">
        <v>78570</v>
      </c>
      <c r="K210" s="201">
        <v>1</v>
      </c>
    </row>
    <row r="211" spans="1:11">
      <c r="A211" s="122">
        <v>222</v>
      </c>
      <c r="B211" s="204" t="s">
        <v>1028</v>
      </c>
      <c r="C211" s="122" t="s">
        <v>285</v>
      </c>
      <c r="D211" s="122" t="s">
        <v>465</v>
      </c>
      <c r="E211" s="122" t="s">
        <v>247</v>
      </c>
      <c r="F211" s="203">
        <v>38507</v>
      </c>
      <c r="G211" s="122" t="str">
        <f>CHOOSE(MONTH(F211),"January","February","March","April","May","June","July","August","September","October","November","December")</f>
        <v>June</v>
      </c>
      <c r="H211" s="122">
        <f ca="1">DATEDIF(F211,TODAY(),"Y")</f>
        <v>11</v>
      </c>
      <c r="J211" s="202">
        <v>40940</v>
      </c>
      <c r="K211" s="201">
        <v>2</v>
      </c>
    </row>
    <row r="212" spans="1:11">
      <c r="A212" s="122">
        <v>223</v>
      </c>
      <c r="B212" s="204" t="s">
        <v>881</v>
      </c>
      <c r="C212" s="122" t="s">
        <v>245</v>
      </c>
      <c r="D212" s="122" t="s">
        <v>465</v>
      </c>
      <c r="E212" s="122" t="s">
        <v>247</v>
      </c>
      <c r="F212" s="203">
        <v>39830</v>
      </c>
      <c r="G212" s="122" t="str">
        <f>CHOOSE(MONTH(F212),"January","February","March","April","May","June","July","August","September","October","November","December")</f>
        <v>January</v>
      </c>
      <c r="H212" s="122">
        <f ca="1">DATEDIF(F212,TODAY(),"Y")</f>
        <v>7</v>
      </c>
      <c r="J212" s="202">
        <v>78520</v>
      </c>
      <c r="K212" s="201">
        <v>4</v>
      </c>
    </row>
    <row r="213" spans="1:11">
      <c r="A213" s="122">
        <v>224</v>
      </c>
      <c r="B213" s="204" t="s">
        <v>603</v>
      </c>
      <c r="C213" s="122" t="s">
        <v>280</v>
      </c>
      <c r="D213" s="122" t="s">
        <v>465</v>
      </c>
      <c r="E213" s="122" t="s">
        <v>256</v>
      </c>
      <c r="F213" s="203">
        <v>39972</v>
      </c>
      <c r="G213" s="122" t="str">
        <f>CHOOSE(MONTH(F213),"January","February","March","April","May","June","July","August","September","October","November","December")</f>
        <v>June</v>
      </c>
      <c r="H213" s="122">
        <f ca="1">DATEDIF(F213,TODAY(),"Y")</f>
        <v>7</v>
      </c>
      <c r="I213" s="122" t="s">
        <v>257</v>
      </c>
      <c r="J213" s="202">
        <v>78170</v>
      </c>
      <c r="K213" s="201">
        <v>5</v>
      </c>
    </row>
    <row r="214" spans="1:11">
      <c r="A214" s="122">
        <v>225</v>
      </c>
      <c r="B214" s="204" t="s">
        <v>695</v>
      </c>
      <c r="C214" s="122" t="s">
        <v>285</v>
      </c>
      <c r="D214" s="122" t="s">
        <v>465</v>
      </c>
      <c r="E214" s="122" t="s">
        <v>252</v>
      </c>
      <c r="F214" s="203">
        <v>35982</v>
      </c>
      <c r="G214" s="122" t="str">
        <f>CHOOSE(MONTH(F214),"January","February","March","April","May","June","July","August","September","October","November","December")</f>
        <v>July</v>
      </c>
      <c r="H214" s="122">
        <f ca="1">DATEDIF(F214,TODAY(),"Y")</f>
        <v>18</v>
      </c>
      <c r="J214" s="202">
        <v>8904</v>
      </c>
      <c r="K214" s="201">
        <v>3</v>
      </c>
    </row>
    <row r="215" spans="1:11">
      <c r="A215" s="122">
        <v>226</v>
      </c>
      <c r="B215" s="204" t="s">
        <v>854</v>
      </c>
      <c r="C215" s="122" t="s">
        <v>285</v>
      </c>
      <c r="D215" s="122" t="s">
        <v>465</v>
      </c>
      <c r="E215" s="122" t="s">
        <v>252</v>
      </c>
      <c r="F215" s="203">
        <v>37730</v>
      </c>
      <c r="G215" s="122" t="str">
        <f>CHOOSE(MONTH(F215),"January","February","March","April","May","June","July","August","September","October","November","December")</f>
        <v>April</v>
      </c>
      <c r="H215" s="122">
        <f ca="1">DATEDIF(F215,TODAY(),"Y")</f>
        <v>13</v>
      </c>
      <c r="J215" s="202">
        <v>8892</v>
      </c>
      <c r="K215" s="201">
        <v>1</v>
      </c>
    </row>
    <row r="216" spans="1:11">
      <c r="A216" s="122">
        <v>227</v>
      </c>
      <c r="B216" s="204" t="s">
        <v>886</v>
      </c>
      <c r="C216" s="122" t="s">
        <v>271</v>
      </c>
      <c r="D216" s="122" t="s">
        <v>465</v>
      </c>
      <c r="E216" s="122" t="s">
        <v>256</v>
      </c>
      <c r="F216" s="203">
        <v>34404</v>
      </c>
      <c r="G216" s="122" t="str">
        <f>CHOOSE(MONTH(F216),"January","February","March","April","May","June","July","August","September","October","November","December")</f>
        <v>March</v>
      </c>
      <c r="H216" s="122">
        <f ca="1">DATEDIF(F216,TODAY(),"Y")</f>
        <v>22</v>
      </c>
      <c r="I216" s="122" t="s">
        <v>283</v>
      </c>
      <c r="J216" s="202">
        <v>24710</v>
      </c>
      <c r="K216" s="201">
        <v>2</v>
      </c>
    </row>
    <row r="217" spans="1:11">
      <c r="A217" s="122">
        <v>228</v>
      </c>
      <c r="B217" s="204" t="s">
        <v>738</v>
      </c>
      <c r="C217" s="122" t="s">
        <v>266</v>
      </c>
      <c r="D217" s="122" t="s">
        <v>465</v>
      </c>
      <c r="E217" s="122" t="s">
        <v>256</v>
      </c>
      <c r="F217" s="203">
        <v>35830</v>
      </c>
      <c r="G217" s="122" t="str">
        <f>CHOOSE(MONTH(F217),"January","February","March","April","May","June","July","August","September","October","November","December")</f>
        <v>February</v>
      </c>
      <c r="H217" s="122">
        <f ca="1">DATEDIF(F217,TODAY(),"Y")</f>
        <v>18</v>
      </c>
      <c r="I217" s="122" t="s">
        <v>267</v>
      </c>
      <c r="J217" s="202">
        <v>35460</v>
      </c>
      <c r="K217" s="201">
        <v>5</v>
      </c>
    </row>
    <row r="218" spans="1:11">
      <c r="A218" s="122">
        <v>229</v>
      </c>
      <c r="B218" s="204" t="s">
        <v>940</v>
      </c>
      <c r="C218" s="122" t="s">
        <v>285</v>
      </c>
      <c r="D218" s="122" t="s">
        <v>465</v>
      </c>
      <c r="E218" s="122" t="s">
        <v>256</v>
      </c>
      <c r="F218" s="203">
        <v>35526</v>
      </c>
      <c r="G218" s="122" t="str">
        <f>CHOOSE(MONTH(F218),"January","February","March","April","May","June","July","August","September","October","November","December")</f>
        <v>April</v>
      </c>
      <c r="H218" s="122">
        <f ca="1">DATEDIF(F218,TODAY(),"Y")</f>
        <v>19</v>
      </c>
      <c r="I218" s="122" t="s">
        <v>283</v>
      </c>
      <c r="J218" s="202">
        <v>32390</v>
      </c>
      <c r="K218" s="201">
        <v>2</v>
      </c>
    </row>
    <row r="219" spans="1:11">
      <c r="A219" s="122">
        <v>230</v>
      </c>
      <c r="B219" s="204" t="s">
        <v>724</v>
      </c>
      <c r="C219" s="122" t="s">
        <v>245</v>
      </c>
      <c r="D219" s="122" t="s">
        <v>465</v>
      </c>
      <c r="E219" s="122" t="s">
        <v>256</v>
      </c>
      <c r="F219" s="203">
        <v>36698</v>
      </c>
      <c r="G219" s="122" t="str">
        <f>CHOOSE(MONTH(F219),"January","February","March","April","May","June","July","August","September","October","November","December")</f>
        <v>June</v>
      </c>
      <c r="H219" s="122">
        <f ca="1">DATEDIF(F219,TODAY(),"Y")</f>
        <v>16</v>
      </c>
      <c r="I219" s="122" t="s">
        <v>267</v>
      </c>
      <c r="J219" s="202">
        <v>23650</v>
      </c>
      <c r="K219" s="201">
        <v>1</v>
      </c>
    </row>
    <row r="220" spans="1:11">
      <c r="A220" s="122">
        <v>231</v>
      </c>
      <c r="B220" s="204" t="s">
        <v>857</v>
      </c>
      <c r="C220" s="122" t="s">
        <v>266</v>
      </c>
      <c r="D220" s="122" t="s">
        <v>465</v>
      </c>
      <c r="E220" s="122" t="s">
        <v>252</v>
      </c>
      <c r="F220" s="203">
        <v>39747</v>
      </c>
      <c r="G220" s="122" t="str">
        <f>CHOOSE(MONTH(F220),"January","February","March","April","May","June","July","August","September","October","November","December")</f>
        <v>October</v>
      </c>
      <c r="H220" s="122">
        <f ca="1">DATEDIF(F220,TODAY(),"Y")</f>
        <v>8</v>
      </c>
      <c r="J220" s="202">
        <v>10572</v>
      </c>
      <c r="K220" s="201">
        <v>4</v>
      </c>
    </row>
    <row r="221" spans="1:11">
      <c r="A221" s="122">
        <v>232</v>
      </c>
      <c r="B221" s="204" t="s">
        <v>478</v>
      </c>
      <c r="C221" s="122" t="s">
        <v>251</v>
      </c>
      <c r="D221" s="122" t="s">
        <v>465</v>
      </c>
      <c r="E221" s="122" t="s">
        <v>247</v>
      </c>
      <c r="F221" s="203">
        <v>35927</v>
      </c>
      <c r="G221" s="122" t="str">
        <f>CHOOSE(MONTH(F221),"January","February","March","April","May","June","July","August","September","October","November","December")</f>
        <v>May</v>
      </c>
      <c r="H221" s="122">
        <f ca="1">DATEDIF(F221,TODAY(),"Y")</f>
        <v>18</v>
      </c>
      <c r="J221" s="202">
        <v>76910</v>
      </c>
      <c r="K221" s="201">
        <v>1</v>
      </c>
    </row>
    <row r="222" spans="1:11">
      <c r="A222" s="122">
        <v>233</v>
      </c>
      <c r="B222" s="204" t="s">
        <v>899</v>
      </c>
      <c r="C222" s="122" t="s">
        <v>271</v>
      </c>
      <c r="D222" s="122" t="s">
        <v>465</v>
      </c>
      <c r="E222" s="122" t="s">
        <v>247</v>
      </c>
      <c r="F222" s="203">
        <v>40470</v>
      </c>
      <c r="G222" s="122" t="str">
        <f>CHOOSE(MONTH(F222),"January","February","March","April","May","June","July","August","September","October","November","December")</f>
        <v>October</v>
      </c>
      <c r="H222" s="122">
        <f ca="1">DATEDIF(F222,TODAY(),"Y")</f>
        <v>6</v>
      </c>
      <c r="J222" s="202">
        <v>37840</v>
      </c>
      <c r="K222" s="201">
        <v>1</v>
      </c>
    </row>
    <row r="223" spans="1:11">
      <c r="A223" s="122">
        <v>234</v>
      </c>
      <c r="B223" s="204" t="s">
        <v>489</v>
      </c>
      <c r="C223" s="122" t="s">
        <v>285</v>
      </c>
      <c r="D223" s="122" t="s">
        <v>465</v>
      </c>
      <c r="E223" s="122" t="s">
        <v>256</v>
      </c>
      <c r="F223" s="203">
        <v>36707</v>
      </c>
      <c r="G223" s="122" t="str">
        <f>CHOOSE(MONTH(F223),"January","February","March","April","May","June","July","August","September","October","November","December")</f>
        <v>June</v>
      </c>
      <c r="H223" s="122">
        <f ca="1">DATEDIF(F223,TODAY(),"Y")</f>
        <v>16</v>
      </c>
      <c r="I223" s="122" t="s">
        <v>276</v>
      </c>
      <c r="J223" s="202">
        <v>38870</v>
      </c>
      <c r="K223" s="201">
        <v>2</v>
      </c>
    </row>
    <row r="224" spans="1:11">
      <c r="A224" s="122">
        <v>235</v>
      </c>
      <c r="B224" s="204" t="s">
        <v>303</v>
      </c>
      <c r="C224" s="122" t="s">
        <v>251</v>
      </c>
      <c r="D224" s="122" t="s">
        <v>465</v>
      </c>
      <c r="E224" s="122" t="s">
        <v>256</v>
      </c>
      <c r="F224" s="203">
        <v>35311</v>
      </c>
      <c r="G224" s="122" t="str">
        <f>CHOOSE(MONTH(F224),"January","February","March","April","May","June","July","August","September","October","November","December")</f>
        <v>September</v>
      </c>
      <c r="H224" s="122">
        <f ca="1">DATEDIF(F224,TODAY(),"Y")</f>
        <v>20</v>
      </c>
      <c r="I224" s="122" t="s">
        <v>267</v>
      </c>
      <c r="J224" s="202">
        <v>39520</v>
      </c>
      <c r="K224" s="201">
        <v>5</v>
      </c>
    </row>
    <row r="225" spans="1:11">
      <c r="A225" s="122">
        <v>236</v>
      </c>
      <c r="B225" s="204" t="s">
        <v>507</v>
      </c>
      <c r="C225" s="122" t="s">
        <v>245</v>
      </c>
      <c r="D225" s="122" t="s">
        <v>465</v>
      </c>
      <c r="E225" s="122" t="s">
        <v>256</v>
      </c>
      <c r="F225" s="203">
        <v>38809</v>
      </c>
      <c r="G225" s="122" t="str">
        <f>CHOOSE(MONTH(F225),"January","February","March","April","May","June","July","August","September","October","November","December")</f>
        <v>April</v>
      </c>
      <c r="H225" s="122">
        <f ca="1">DATEDIF(F225,TODAY(),"Y")</f>
        <v>10</v>
      </c>
      <c r="I225" s="122" t="s">
        <v>262</v>
      </c>
      <c r="J225" s="202">
        <v>76584</v>
      </c>
      <c r="K225" s="201">
        <v>1</v>
      </c>
    </row>
    <row r="226" spans="1:11">
      <c r="A226" s="122">
        <v>237</v>
      </c>
      <c r="B226" s="204" t="s">
        <v>912</v>
      </c>
      <c r="C226" s="122" t="s">
        <v>285</v>
      </c>
      <c r="D226" s="122" t="s">
        <v>465</v>
      </c>
      <c r="E226" s="122" t="s">
        <v>256</v>
      </c>
      <c r="F226" s="203">
        <v>40203</v>
      </c>
      <c r="G226" s="122" t="str">
        <f>CHOOSE(MONTH(F226),"January","February","March","April","May","June","July","August","September","October","November","December")</f>
        <v>January</v>
      </c>
      <c r="H226" s="122">
        <f ca="1">DATEDIF(F226,TODAY(),"Y")</f>
        <v>6</v>
      </c>
      <c r="I226" s="122" t="s">
        <v>257</v>
      </c>
      <c r="J226" s="202">
        <v>35600</v>
      </c>
      <c r="K226" s="201">
        <v>5</v>
      </c>
    </row>
    <row r="227" spans="1:11">
      <c r="A227" s="122">
        <v>238</v>
      </c>
      <c r="B227" s="204" t="s">
        <v>691</v>
      </c>
      <c r="C227" s="122" t="s">
        <v>271</v>
      </c>
      <c r="D227" s="122" t="s">
        <v>465</v>
      </c>
      <c r="E227" s="122" t="s">
        <v>256</v>
      </c>
      <c r="F227" s="203">
        <v>36535</v>
      </c>
      <c r="G227" s="122" t="str">
        <f>CHOOSE(MONTH(F227),"January","February","March","April","May","June","July","August","September","October","November","December")</f>
        <v>January</v>
      </c>
      <c r="H227" s="122">
        <f ca="1">DATEDIF(F227,TODAY(),"Y")</f>
        <v>16</v>
      </c>
      <c r="I227" s="122" t="s">
        <v>257</v>
      </c>
      <c r="J227" s="202">
        <v>76192</v>
      </c>
      <c r="K227" s="201">
        <v>4</v>
      </c>
    </row>
    <row r="228" spans="1:11">
      <c r="A228" s="122">
        <v>239</v>
      </c>
      <c r="B228" s="204" t="s">
        <v>878</v>
      </c>
      <c r="C228" s="122" t="s">
        <v>266</v>
      </c>
      <c r="D228" s="122" t="s">
        <v>465</v>
      </c>
      <c r="E228" s="122" t="s">
        <v>247</v>
      </c>
      <c r="F228" s="203">
        <v>37820</v>
      </c>
      <c r="G228" s="122" t="str">
        <f>CHOOSE(MONTH(F228),"January","February","March","April","May","June","July","August","September","October","November","December")</f>
        <v>July</v>
      </c>
      <c r="H228" s="122">
        <f ca="1">DATEDIF(F228,TODAY(),"Y")</f>
        <v>13</v>
      </c>
      <c r="J228" s="202">
        <v>75420</v>
      </c>
      <c r="K228" s="201">
        <v>1</v>
      </c>
    </row>
    <row r="229" spans="1:11">
      <c r="A229" s="122">
        <v>240</v>
      </c>
      <c r="B229" s="204" t="s">
        <v>293</v>
      </c>
      <c r="C229" s="122" t="s">
        <v>271</v>
      </c>
      <c r="D229" s="122" t="s">
        <v>465</v>
      </c>
      <c r="E229" s="122" t="s">
        <v>256</v>
      </c>
      <c r="F229" s="203">
        <v>37943</v>
      </c>
      <c r="G229" s="122" t="str">
        <f>CHOOSE(MONTH(F229),"January","February","March","April","May","June","July","August","September","October","November","December")</f>
        <v>November</v>
      </c>
      <c r="H229" s="122">
        <f ca="1">DATEDIF(F229,TODAY(),"Y")</f>
        <v>12</v>
      </c>
      <c r="I229" s="122" t="s">
        <v>257</v>
      </c>
      <c r="J229" s="202">
        <v>75176</v>
      </c>
      <c r="K229" s="201">
        <v>3</v>
      </c>
    </row>
    <row r="230" spans="1:11">
      <c r="A230" s="122">
        <v>241</v>
      </c>
      <c r="B230" s="204" t="s">
        <v>751</v>
      </c>
      <c r="C230" s="122" t="s">
        <v>271</v>
      </c>
      <c r="D230" s="122" t="s">
        <v>465</v>
      </c>
      <c r="E230" s="122" t="s">
        <v>256</v>
      </c>
      <c r="F230" s="203">
        <v>36009</v>
      </c>
      <c r="G230" s="122" t="str">
        <f>CHOOSE(MONTH(F230),"January","February","March","April","May","June","July","August","September","October","November","December")</f>
        <v>August</v>
      </c>
      <c r="H230" s="122">
        <f ca="1">DATEDIF(F230,TODAY(),"Y")</f>
        <v>18</v>
      </c>
      <c r="I230" s="122" t="s">
        <v>257</v>
      </c>
      <c r="J230" s="202">
        <v>75120</v>
      </c>
      <c r="K230" s="201">
        <v>5</v>
      </c>
    </row>
    <row r="231" spans="1:11">
      <c r="A231" s="122">
        <v>242</v>
      </c>
      <c r="B231" s="204" t="s">
        <v>862</v>
      </c>
      <c r="C231" s="122" t="s">
        <v>285</v>
      </c>
      <c r="D231" s="122" t="s">
        <v>465</v>
      </c>
      <c r="E231" s="122" t="s">
        <v>256</v>
      </c>
      <c r="F231" s="203">
        <v>40603</v>
      </c>
      <c r="G231" s="122" t="str">
        <f>CHOOSE(MONTH(F231),"January","February","March","April","May","June","July","August","September","October","November","December")</f>
        <v>March</v>
      </c>
      <c r="H231" s="122">
        <f ca="1">DATEDIF(F231,TODAY(),"Y")</f>
        <v>5</v>
      </c>
      <c r="I231" s="122" t="s">
        <v>267</v>
      </c>
      <c r="J231" s="202">
        <v>44260</v>
      </c>
      <c r="K231" s="201">
        <v>1</v>
      </c>
    </row>
    <row r="232" spans="1:11">
      <c r="A232" s="122">
        <v>243</v>
      </c>
      <c r="B232" s="204" t="s">
        <v>550</v>
      </c>
      <c r="C232" s="122" t="s">
        <v>280</v>
      </c>
      <c r="D232" s="122" t="s">
        <v>465</v>
      </c>
      <c r="E232" s="122" t="s">
        <v>256</v>
      </c>
      <c r="F232" s="203">
        <v>36084</v>
      </c>
      <c r="G232" s="122" t="str">
        <f>CHOOSE(MONTH(F232),"January","February","March","April","May","June","July","August","September","October","November","December")</f>
        <v>October</v>
      </c>
      <c r="H232" s="122">
        <f ca="1">DATEDIF(F232,TODAY(),"Y")</f>
        <v>18</v>
      </c>
      <c r="I232" s="122" t="s">
        <v>257</v>
      </c>
      <c r="J232" s="202">
        <v>33210</v>
      </c>
      <c r="K232" s="201">
        <v>4</v>
      </c>
    </row>
    <row r="233" spans="1:11">
      <c r="A233" s="122">
        <v>244</v>
      </c>
      <c r="B233" s="204" t="s">
        <v>869</v>
      </c>
      <c r="C233" s="122" t="s">
        <v>271</v>
      </c>
      <c r="D233" s="122" t="s">
        <v>465</v>
      </c>
      <c r="E233" s="122" t="s">
        <v>247</v>
      </c>
      <c r="F233" s="203">
        <v>33979</v>
      </c>
      <c r="G233" s="122" t="str">
        <f>CHOOSE(MONTH(F233),"January","February","March","April","May","June","July","August","September","October","November","December")</f>
        <v>January</v>
      </c>
      <c r="H233" s="122">
        <f ca="1">DATEDIF(F233,TODAY(),"Y")</f>
        <v>23</v>
      </c>
      <c r="J233" s="202">
        <v>73990</v>
      </c>
      <c r="K233" s="201">
        <v>3</v>
      </c>
    </row>
    <row r="234" spans="1:11">
      <c r="A234" s="122">
        <v>245</v>
      </c>
      <c r="B234" s="204" t="s">
        <v>709</v>
      </c>
      <c r="C234" s="122" t="s">
        <v>285</v>
      </c>
      <c r="D234" s="122" t="s">
        <v>465</v>
      </c>
      <c r="E234" s="122" t="s">
        <v>256</v>
      </c>
      <c r="F234" s="203">
        <v>35199</v>
      </c>
      <c r="G234" s="122" t="str">
        <f>CHOOSE(MONTH(F234),"January","February","March","April","May","June","July","August","September","October","November","December")</f>
        <v>May</v>
      </c>
      <c r="H234" s="122">
        <f ca="1">DATEDIF(F234,TODAY(),"Y")</f>
        <v>20</v>
      </c>
      <c r="I234" s="122" t="s">
        <v>257</v>
      </c>
      <c r="J234" s="202">
        <v>73450</v>
      </c>
      <c r="K234" s="201">
        <v>3</v>
      </c>
    </row>
    <row r="235" spans="1:11">
      <c r="A235" s="122">
        <v>246</v>
      </c>
      <c r="B235" s="204" t="s">
        <v>789</v>
      </c>
      <c r="C235" s="122" t="s">
        <v>271</v>
      </c>
      <c r="D235" s="122" t="s">
        <v>465</v>
      </c>
      <c r="E235" s="122" t="s">
        <v>252</v>
      </c>
      <c r="F235" s="203">
        <v>36305</v>
      </c>
      <c r="G235" s="122" t="str">
        <f>CHOOSE(MONTH(F235),"January","February","March","April","May","June","July","August","September","October","November","December")</f>
        <v>May</v>
      </c>
      <c r="H235" s="122">
        <f ca="1">DATEDIF(F235,TODAY(),"Y")</f>
        <v>17</v>
      </c>
      <c r="J235" s="202">
        <v>9424</v>
      </c>
      <c r="K235" s="201">
        <v>4</v>
      </c>
    </row>
    <row r="236" spans="1:11">
      <c r="A236" s="122">
        <v>247</v>
      </c>
      <c r="B236" s="204" t="s">
        <v>652</v>
      </c>
      <c r="C236" s="122" t="s">
        <v>245</v>
      </c>
      <c r="D236" s="122" t="s">
        <v>465</v>
      </c>
      <c r="E236" s="122" t="s">
        <v>261</v>
      </c>
      <c r="F236" s="203">
        <v>37620</v>
      </c>
      <c r="G236" s="122" t="str">
        <f>CHOOSE(MONTH(F236),"January","February","March","April","May","June","July","August","September","October","November","December")</f>
        <v>December</v>
      </c>
      <c r="H236" s="122">
        <f ca="1">DATEDIF(F236,TODAY(),"Y")</f>
        <v>13</v>
      </c>
      <c r="I236" s="122" t="s">
        <v>257</v>
      </c>
      <c r="J236" s="202">
        <v>24460</v>
      </c>
      <c r="K236" s="201">
        <v>1</v>
      </c>
    </row>
    <row r="237" spans="1:11">
      <c r="A237" s="122">
        <v>248</v>
      </c>
      <c r="B237" s="204" t="s">
        <v>585</v>
      </c>
      <c r="C237" s="122" t="s">
        <v>245</v>
      </c>
      <c r="D237" s="122" t="s">
        <v>465</v>
      </c>
      <c r="E237" s="122" t="s">
        <v>256</v>
      </c>
      <c r="F237" s="203">
        <v>35511</v>
      </c>
      <c r="G237" s="122" t="str">
        <f>CHOOSE(MONTH(F237),"January","February","March","April","May","June","July","August","September","October","November","December")</f>
        <v>March</v>
      </c>
      <c r="H237" s="122">
        <f ca="1">DATEDIF(F237,TODAY(),"Y")</f>
        <v>19</v>
      </c>
      <c r="I237" s="122" t="s">
        <v>283</v>
      </c>
      <c r="J237" s="202">
        <v>73144</v>
      </c>
      <c r="K237" s="201">
        <v>5</v>
      </c>
    </row>
    <row r="238" spans="1:11">
      <c r="A238" s="122">
        <v>249</v>
      </c>
      <c r="B238" s="204" t="s">
        <v>640</v>
      </c>
      <c r="C238" s="122" t="s">
        <v>285</v>
      </c>
      <c r="D238" s="122" t="s">
        <v>465</v>
      </c>
      <c r="E238" s="122" t="s">
        <v>256</v>
      </c>
      <c r="F238" s="203">
        <v>35024</v>
      </c>
      <c r="G238" s="122" t="str">
        <f>CHOOSE(MONTH(F238),"January","February","March","April","May","June","July","August","September","October","November","December")</f>
        <v>November</v>
      </c>
      <c r="H238" s="122">
        <f ca="1">DATEDIF(F238,TODAY(),"Y")</f>
        <v>20</v>
      </c>
      <c r="I238" s="122" t="s">
        <v>283</v>
      </c>
      <c r="J238" s="202">
        <v>73072</v>
      </c>
      <c r="K238" s="201">
        <v>5</v>
      </c>
    </row>
    <row r="239" spans="1:11">
      <c r="A239" s="122">
        <v>250</v>
      </c>
      <c r="B239" s="204" t="s">
        <v>623</v>
      </c>
      <c r="C239" s="122" t="s">
        <v>245</v>
      </c>
      <c r="D239" s="122" t="s">
        <v>465</v>
      </c>
      <c r="E239" s="122" t="s">
        <v>256</v>
      </c>
      <c r="F239" s="203">
        <v>40578</v>
      </c>
      <c r="G239" s="122" t="str">
        <f>CHOOSE(MONTH(F239),"January","February","March","April","May","June","July","August","September","October","November","December")</f>
        <v>February</v>
      </c>
      <c r="H239" s="122">
        <f ca="1">DATEDIF(F239,TODAY(),"Y")</f>
        <v>5</v>
      </c>
      <c r="I239" s="122" t="s">
        <v>257</v>
      </c>
      <c r="J239" s="202">
        <v>43820</v>
      </c>
      <c r="K239" s="201">
        <v>2</v>
      </c>
    </row>
    <row r="240" spans="1:11">
      <c r="A240" s="122">
        <v>251</v>
      </c>
      <c r="B240" s="204" t="s">
        <v>804</v>
      </c>
      <c r="C240" s="122" t="s">
        <v>285</v>
      </c>
      <c r="D240" s="122" t="s">
        <v>465</v>
      </c>
      <c r="E240" s="122" t="s">
        <v>247</v>
      </c>
      <c r="F240" s="203">
        <v>35997</v>
      </c>
      <c r="G240" s="122" t="str">
        <f>CHOOSE(MONTH(F240),"January","February","March","April","May","June","July","August","September","October","November","December")</f>
        <v>July</v>
      </c>
      <c r="H240" s="122">
        <f ca="1">DATEDIF(F240,TODAY(),"Y")</f>
        <v>18</v>
      </c>
      <c r="J240" s="202">
        <v>72520</v>
      </c>
      <c r="K240" s="201">
        <v>3</v>
      </c>
    </row>
    <row r="241" spans="1:11">
      <c r="A241" s="122">
        <v>252</v>
      </c>
      <c r="B241" s="204" t="s">
        <v>304</v>
      </c>
      <c r="C241" s="122" t="s">
        <v>280</v>
      </c>
      <c r="D241" s="122" t="s">
        <v>465</v>
      </c>
      <c r="E241" s="122" t="s">
        <v>252</v>
      </c>
      <c r="F241" s="203">
        <v>34165</v>
      </c>
      <c r="G241" s="122" t="str">
        <f>CHOOSE(MONTH(F241),"January","February","March","April","May","June","July","August","September","October","November","December")</f>
        <v>July</v>
      </c>
      <c r="H241" s="122">
        <f ca="1">DATEDIF(F241,TODAY(),"Y")</f>
        <v>23</v>
      </c>
      <c r="J241" s="202">
        <v>30416</v>
      </c>
      <c r="K241" s="201">
        <v>1</v>
      </c>
    </row>
    <row r="242" spans="1:11">
      <c r="A242" s="122">
        <v>253</v>
      </c>
      <c r="B242" s="204" t="s">
        <v>1010</v>
      </c>
      <c r="C242" s="122" t="s">
        <v>245</v>
      </c>
      <c r="D242" s="122" t="s">
        <v>465</v>
      </c>
      <c r="E242" s="122" t="s">
        <v>252</v>
      </c>
      <c r="F242" s="203">
        <v>35829</v>
      </c>
      <c r="G242" s="122" t="str">
        <f>CHOOSE(MONTH(F242),"January","February","March","April","May","June","July","August","September","October","November","December")</f>
        <v>February</v>
      </c>
      <c r="H242" s="122">
        <f ca="1">DATEDIF(F242,TODAY(),"Y")</f>
        <v>18</v>
      </c>
      <c r="J242" s="202">
        <v>29176</v>
      </c>
      <c r="K242" s="201">
        <v>3</v>
      </c>
    </row>
    <row r="243" spans="1:11">
      <c r="A243" s="122">
        <v>254</v>
      </c>
      <c r="B243" s="204" t="s">
        <v>988</v>
      </c>
      <c r="C243" s="122" t="s">
        <v>245</v>
      </c>
      <c r="D243" s="122" t="s">
        <v>465</v>
      </c>
      <c r="E243" s="122" t="s">
        <v>247</v>
      </c>
      <c r="F243" s="203">
        <v>38289</v>
      </c>
      <c r="G243" s="122" t="str">
        <f>CHOOSE(MONTH(F243),"January","February","March","April","May","June","July","August","September","October","November","December")</f>
        <v>October</v>
      </c>
      <c r="H243" s="122">
        <f ca="1">DATEDIF(F243,TODAY(),"Y")</f>
        <v>12</v>
      </c>
      <c r="J243" s="202">
        <v>71830</v>
      </c>
      <c r="K243" s="201">
        <v>3</v>
      </c>
    </row>
    <row r="244" spans="1:11">
      <c r="A244" s="122">
        <v>255</v>
      </c>
      <c r="B244" s="204" t="s">
        <v>890</v>
      </c>
      <c r="C244" s="122" t="s">
        <v>285</v>
      </c>
      <c r="D244" s="122" t="s">
        <v>465</v>
      </c>
      <c r="E244" s="122" t="s">
        <v>247</v>
      </c>
      <c r="F244" s="203">
        <v>35972</v>
      </c>
      <c r="G244" s="122" t="str">
        <f>CHOOSE(MONTH(F244),"January","February","March","April","May","June","July","August","September","October","November","December")</f>
        <v>June</v>
      </c>
      <c r="H244" s="122">
        <f ca="1">DATEDIF(F244,TODAY(),"Y")</f>
        <v>18</v>
      </c>
      <c r="J244" s="202">
        <v>71710</v>
      </c>
      <c r="K244" s="201">
        <v>5</v>
      </c>
    </row>
    <row r="245" spans="1:11">
      <c r="A245" s="122">
        <v>256</v>
      </c>
      <c r="B245" s="204" t="s">
        <v>634</v>
      </c>
      <c r="C245" s="122" t="s">
        <v>271</v>
      </c>
      <c r="D245" s="122" t="s">
        <v>465</v>
      </c>
      <c r="E245" s="122" t="s">
        <v>256</v>
      </c>
      <c r="F245" s="203">
        <v>39390</v>
      </c>
      <c r="G245" s="122" t="str">
        <f>CHOOSE(MONTH(F245),"January","February","March","April","May","June","July","August","September","October","November","December")</f>
        <v>November</v>
      </c>
      <c r="H245" s="122">
        <f ca="1">DATEDIF(F245,TODAY(),"Y")</f>
        <v>9</v>
      </c>
      <c r="I245" s="122" t="s">
        <v>267</v>
      </c>
      <c r="J245" s="202">
        <v>71490</v>
      </c>
      <c r="K245" s="201">
        <v>5</v>
      </c>
    </row>
    <row r="246" spans="1:11">
      <c r="A246" s="122">
        <v>257</v>
      </c>
      <c r="B246" s="204" t="s">
        <v>587</v>
      </c>
      <c r="C246" s="122" t="s">
        <v>245</v>
      </c>
      <c r="D246" s="122" t="s">
        <v>465</v>
      </c>
      <c r="E246" s="122" t="s">
        <v>256</v>
      </c>
      <c r="F246" s="203">
        <v>36122</v>
      </c>
      <c r="G246" s="122" t="str">
        <f>CHOOSE(MONTH(F246),"January","February","March","April","May","June","July","August","September","October","November","December")</f>
        <v>November</v>
      </c>
      <c r="H246" s="122">
        <f ca="1">DATEDIF(F246,TODAY(),"Y")</f>
        <v>17</v>
      </c>
      <c r="I246" s="122" t="s">
        <v>262</v>
      </c>
      <c r="J246" s="202">
        <v>22660</v>
      </c>
      <c r="K246" s="201">
        <v>2</v>
      </c>
    </row>
    <row r="247" spans="1:11">
      <c r="A247" s="122">
        <v>258</v>
      </c>
      <c r="B247" s="204" t="s">
        <v>315</v>
      </c>
      <c r="C247" s="122" t="s">
        <v>266</v>
      </c>
      <c r="D247" s="122" t="s">
        <v>465</v>
      </c>
      <c r="E247" s="122" t="s">
        <v>256</v>
      </c>
      <c r="F247" s="203">
        <v>39312</v>
      </c>
      <c r="G247" s="122" t="str">
        <f>CHOOSE(MONTH(F247),"January","February","March","April","May","June","July","August","September","October","November","December")</f>
        <v>August</v>
      </c>
      <c r="H247" s="122">
        <f ca="1">DATEDIF(F247,TODAY(),"Y")</f>
        <v>9</v>
      </c>
      <c r="I247" s="122" t="s">
        <v>262</v>
      </c>
      <c r="J247" s="202">
        <v>71030</v>
      </c>
      <c r="K247" s="201">
        <v>3</v>
      </c>
    </row>
    <row r="248" spans="1:11">
      <c r="A248" s="122">
        <v>259</v>
      </c>
      <c r="B248" s="204" t="s">
        <v>510</v>
      </c>
      <c r="C248" s="122" t="s">
        <v>266</v>
      </c>
      <c r="D248" s="122" t="s">
        <v>465</v>
      </c>
      <c r="E248" s="122" t="s">
        <v>256</v>
      </c>
      <c r="F248" s="203">
        <v>38321</v>
      </c>
      <c r="G248" s="122" t="str">
        <f>CHOOSE(MONTH(F248),"January","February","March","April","May","June","July","August","September","October","November","December")</f>
        <v>November</v>
      </c>
      <c r="H248" s="122">
        <f ca="1">DATEDIF(F248,TODAY(),"Y")</f>
        <v>11</v>
      </c>
      <c r="I248" s="122" t="s">
        <v>262</v>
      </c>
      <c r="J248" s="202">
        <v>70760</v>
      </c>
      <c r="K248" s="201">
        <v>1</v>
      </c>
    </row>
    <row r="249" spans="1:11">
      <c r="A249" s="122">
        <v>260</v>
      </c>
      <c r="B249" s="204" t="s">
        <v>742</v>
      </c>
      <c r="C249" s="122" t="s">
        <v>245</v>
      </c>
      <c r="D249" s="122" t="s">
        <v>465</v>
      </c>
      <c r="E249" s="122" t="s">
        <v>256</v>
      </c>
      <c r="F249" s="203">
        <v>35714</v>
      </c>
      <c r="G249" s="122" t="str">
        <f>CHOOSE(MONTH(F249),"January","February","March","April","May","June","July","August","September","October","November","December")</f>
        <v>October</v>
      </c>
      <c r="H249" s="122">
        <f ca="1">DATEDIF(F249,TODAY(),"Y")</f>
        <v>19</v>
      </c>
      <c r="I249" s="122" t="s">
        <v>262</v>
      </c>
      <c r="J249" s="202">
        <v>70020</v>
      </c>
      <c r="K249" s="201">
        <v>3</v>
      </c>
    </row>
    <row r="250" spans="1:11">
      <c r="A250" s="122">
        <v>261</v>
      </c>
      <c r="B250" s="204" t="s">
        <v>450</v>
      </c>
      <c r="C250" s="122" t="s">
        <v>251</v>
      </c>
      <c r="D250" s="122" t="s">
        <v>465</v>
      </c>
      <c r="E250" s="122" t="s">
        <v>261</v>
      </c>
      <c r="F250" s="203">
        <v>35343</v>
      </c>
      <c r="G250" s="122" t="str">
        <f>CHOOSE(MONTH(F250),"January","February","March","April","May","June","July","August","September","October","November","December")</f>
        <v>October</v>
      </c>
      <c r="H250" s="122">
        <f ca="1">DATEDIF(F250,TODAY(),"Y")</f>
        <v>20</v>
      </c>
      <c r="I250" s="122" t="s">
        <v>257</v>
      </c>
      <c r="J250" s="202">
        <v>46645</v>
      </c>
      <c r="K250" s="201">
        <v>5</v>
      </c>
    </row>
    <row r="251" spans="1:11">
      <c r="A251" s="122">
        <v>262</v>
      </c>
      <c r="B251" s="204" t="s">
        <v>879</v>
      </c>
      <c r="C251" s="122" t="s">
        <v>271</v>
      </c>
      <c r="D251" s="122" t="s">
        <v>465</v>
      </c>
      <c r="E251" s="122" t="s">
        <v>247</v>
      </c>
      <c r="F251" s="203">
        <v>36455</v>
      </c>
      <c r="G251" s="122" t="str">
        <f>CHOOSE(MONTH(F251),"January","February","March","April","May","June","July","August","September","October","November","December")</f>
        <v>October</v>
      </c>
      <c r="H251" s="122">
        <f ca="1">DATEDIF(F251,TODAY(),"Y")</f>
        <v>17</v>
      </c>
      <c r="J251" s="202">
        <v>23810</v>
      </c>
      <c r="K251" s="201">
        <v>4</v>
      </c>
    </row>
    <row r="252" spans="1:11">
      <c r="A252" s="122">
        <v>263</v>
      </c>
      <c r="B252" s="204" t="s">
        <v>958</v>
      </c>
      <c r="C252" s="122" t="s">
        <v>271</v>
      </c>
      <c r="D252" s="122" t="s">
        <v>465</v>
      </c>
      <c r="E252" s="122" t="s">
        <v>256</v>
      </c>
      <c r="F252" s="203">
        <v>39696</v>
      </c>
      <c r="G252" s="122" t="str">
        <f>CHOOSE(MONTH(F252),"January","February","March","April","May","June","July","August","September","October","November","December")</f>
        <v>September</v>
      </c>
      <c r="H252" s="122">
        <f ca="1">DATEDIF(F252,TODAY(),"Y")</f>
        <v>8</v>
      </c>
      <c r="I252" s="122" t="s">
        <v>257</v>
      </c>
      <c r="J252" s="202">
        <v>69320</v>
      </c>
      <c r="K252" s="201">
        <v>3</v>
      </c>
    </row>
    <row r="253" spans="1:11">
      <c r="A253" s="122">
        <v>264</v>
      </c>
      <c r="B253" s="204" t="s">
        <v>1000</v>
      </c>
      <c r="C253" s="122" t="s">
        <v>271</v>
      </c>
      <c r="D253" s="122" t="s">
        <v>465</v>
      </c>
      <c r="E253" s="122" t="s">
        <v>256</v>
      </c>
      <c r="F253" s="203">
        <v>37509</v>
      </c>
      <c r="G253" s="122" t="str">
        <f>CHOOSE(MONTH(F253),"January","February","March","April","May","June","July","August","September","October","November","December")</f>
        <v>September</v>
      </c>
      <c r="H253" s="122">
        <f ca="1">DATEDIF(F253,TODAY(),"Y")</f>
        <v>14</v>
      </c>
      <c r="I253" s="122" t="s">
        <v>283</v>
      </c>
      <c r="J253" s="202">
        <v>69080</v>
      </c>
      <c r="K253" s="201">
        <v>3</v>
      </c>
    </row>
    <row r="254" spans="1:11">
      <c r="A254" s="122">
        <v>265</v>
      </c>
      <c r="B254" s="204" t="s">
        <v>749</v>
      </c>
      <c r="C254" s="122" t="s">
        <v>280</v>
      </c>
      <c r="D254" s="122" t="s">
        <v>465</v>
      </c>
      <c r="E254" s="122" t="s">
        <v>252</v>
      </c>
      <c r="F254" s="203">
        <v>36067</v>
      </c>
      <c r="G254" s="122" t="str">
        <f>CHOOSE(MONTH(F254),"January","February","March","April","May","June","July","August","September","October","November","December")</f>
        <v>September</v>
      </c>
      <c r="H254" s="122">
        <f ca="1">DATEDIF(F254,TODAY(),"Y")</f>
        <v>18</v>
      </c>
      <c r="J254" s="202">
        <v>37612</v>
      </c>
      <c r="K254" s="201">
        <v>4</v>
      </c>
    </row>
    <row r="255" spans="1:11">
      <c r="A255" s="122">
        <v>266</v>
      </c>
      <c r="B255" s="204" t="s">
        <v>654</v>
      </c>
      <c r="C255" s="122" t="s">
        <v>245</v>
      </c>
      <c r="D255" s="122" t="s">
        <v>465</v>
      </c>
      <c r="E255" s="122" t="s">
        <v>252</v>
      </c>
      <c r="F255" s="203">
        <v>39087</v>
      </c>
      <c r="G255" s="122" t="str">
        <f>CHOOSE(MONTH(F255),"January","February","March","April","May","June","July","August","September","October","November","December")</f>
        <v>January</v>
      </c>
      <c r="H255" s="122">
        <f ca="1">DATEDIF(F255,TODAY(),"Y")</f>
        <v>9</v>
      </c>
      <c r="J255" s="202">
        <v>14416</v>
      </c>
      <c r="K255" s="201">
        <v>4</v>
      </c>
    </row>
    <row r="256" spans="1:11">
      <c r="A256" s="122">
        <v>267</v>
      </c>
      <c r="B256" s="204" t="s">
        <v>665</v>
      </c>
      <c r="C256" s="122" t="s">
        <v>280</v>
      </c>
      <c r="D256" s="122" t="s">
        <v>465</v>
      </c>
      <c r="E256" s="122" t="s">
        <v>256</v>
      </c>
      <c r="F256" s="203">
        <v>36413</v>
      </c>
      <c r="G256" s="122" t="str">
        <f>CHOOSE(MONTH(F256),"January","February","March","April","May","June","July","August","September","October","November","December")</f>
        <v>September</v>
      </c>
      <c r="H256" s="122">
        <f ca="1">DATEDIF(F256,TODAY(),"Y")</f>
        <v>17</v>
      </c>
      <c r="I256" s="122" t="s">
        <v>257</v>
      </c>
      <c r="J256" s="202">
        <v>40060</v>
      </c>
      <c r="K256" s="201">
        <v>3</v>
      </c>
    </row>
    <row r="257" spans="1:11">
      <c r="A257" s="122">
        <v>268</v>
      </c>
      <c r="B257" s="204" t="s">
        <v>885</v>
      </c>
      <c r="C257" s="122" t="s">
        <v>285</v>
      </c>
      <c r="D257" s="122" t="s">
        <v>465</v>
      </c>
      <c r="E257" s="122" t="s">
        <v>256</v>
      </c>
      <c r="F257" s="203">
        <v>36318</v>
      </c>
      <c r="G257" s="122" t="str">
        <f>CHOOSE(MONTH(F257),"January","February","March","April","May","June","July","August","September","October","November","December")</f>
        <v>June</v>
      </c>
      <c r="H257" s="122">
        <f ca="1">DATEDIF(F257,TODAY(),"Y")</f>
        <v>17</v>
      </c>
      <c r="I257" s="122" t="s">
        <v>283</v>
      </c>
      <c r="J257" s="202">
        <v>68750</v>
      </c>
      <c r="K257" s="201">
        <v>1</v>
      </c>
    </row>
    <row r="258" spans="1:11">
      <c r="A258" s="122">
        <v>269</v>
      </c>
      <c r="B258" s="204" t="s">
        <v>1029</v>
      </c>
      <c r="C258" s="122" t="s">
        <v>285</v>
      </c>
      <c r="D258" s="122" t="s">
        <v>465</v>
      </c>
      <c r="E258" s="122" t="s">
        <v>247</v>
      </c>
      <c r="F258" s="203">
        <v>38073</v>
      </c>
      <c r="G258" s="122" t="str">
        <f>CHOOSE(MONTH(F258),"January","February","March","April","May","June","July","August","September","October","November","December")</f>
        <v>March</v>
      </c>
      <c r="H258" s="122">
        <f ca="1">DATEDIF(F258,TODAY(),"Y")</f>
        <v>12</v>
      </c>
      <c r="J258" s="202">
        <v>39300</v>
      </c>
      <c r="K258" s="201">
        <v>2</v>
      </c>
    </row>
    <row r="259" spans="1:11">
      <c r="A259" s="122">
        <v>270</v>
      </c>
      <c r="B259" s="204" t="s">
        <v>748</v>
      </c>
      <c r="C259" s="122" t="s">
        <v>245</v>
      </c>
      <c r="D259" s="122" t="s">
        <v>465</v>
      </c>
      <c r="E259" s="122" t="s">
        <v>256</v>
      </c>
      <c r="F259" s="203">
        <v>38733</v>
      </c>
      <c r="G259" s="122" t="str">
        <f>CHOOSE(MONTH(F259),"January","February","March","April","May","June","July","August","September","October","November","December")</f>
        <v>January</v>
      </c>
      <c r="H259" s="122">
        <f ca="1">DATEDIF(F259,TODAY(),"Y")</f>
        <v>10</v>
      </c>
      <c r="I259" s="122" t="s">
        <v>276</v>
      </c>
      <c r="J259" s="202">
        <v>68710</v>
      </c>
      <c r="K259" s="201">
        <v>4</v>
      </c>
    </row>
    <row r="260" spans="1:11">
      <c r="A260" s="122">
        <v>271</v>
      </c>
      <c r="B260" s="204" t="s">
        <v>1012</v>
      </c>
      <c r="C260" s="122" t="s">
        <v>285</v>
      </c>
      <c r="D260" s="122" t="s">
        <v>465</v>
      </c>
      <c r="E260" s="122" t="s">
        <v>247</v>
      </c>
      <c r="F260" s="203">
        <v>36977</v>
      </c>
      <c r="G260" s="122" t="str">
        <f>CHOOSE(MONTH(F260),"January","February","March","April","May","June","July","August","September","October","November","December")</f>
        <v>March</v>
      </c>
      <c r="H260" s="122">
        <f ca="1">DATEDIF(F260,TODAY(),"Y")</f>
        <v>15</v>
      </c>
      <c r="J260" s="202">
        <v>68510</v>
      </c>
      <c r="K260" s="201">
        <v>5</v>
      </c>
    </row>
    <row r="261" spans="1:11">
      <c r="A261" s="122">
        <v>272</v>
      </c>
      <c r="B261" s="204" t="s">
        <v>681</v>
      </c>
      <c r="C261" s="122" t="s">
        <v>285</v>
      </c>
      <c r="D261" s="122" t="s">
        <v>465</v>
      </c>
      <c r="E261" s="122" t="s">
        <v>256</v>
      </c>
      <c r="F261" s="203">
        <v>37394</v>
      </c>
      <c r="G261" s="122" t="str">
        <f>CHOOSE(MONTH(F261),"January","February","March","April","May","June","July","August","September","October","November","December")</f>
        <v>May</v>
      </c>
      <c r="H261" s="122">
        <f ca="1">DATEDIF(F261,TODAY(),"Y")</f>
        <v>14</v>
      </c>
      <c r="I261" s="122" t="s">
        <v>257</v>
      </c>
      <c r="J261" s="202">
        <v>28970</v>
      </c>
      <c r="K261" s="201">
        <v>3</v>
      </c>
    </row>
    <row r="262" spans="1:11">
      <c r="A262" s="122">
        <v>273</v>
      </c>
      <c r="B262" s="204" t="s">
        <v>502</v>
      </c>
      <c r="C262" s="122" t="s">
        <v>271</v>
      </c>
      <c r="D262" s="122" t="s">
        <v>465</v>
      </c>
      <c r="E262" s="122" t="s">
        <v>247</v>
      </c>
      <c r="F262" s="203">
        <v>35992</v>
      </c>
      <c r="G262" s="122" t="str">
        <f>CHOOSE(MONTH(F262),"January","February","March","April","May","June","July","August","September","October","November","December")</f>
        <v>July</v>
      </c>
      <c r="H262" s="122">
        <f ca="1">DATEDIF(F262,TODAY(),"Y")</f>
        <v>18</v>
      </c>
      <c r="J262" s="202">
        <v>68260</v>
      </c>
      <c r="K262" s="201">
        <v>5</v>
      </c>
    </row>
    <row r="263" spans="1:11">
      <c r="A263" s="122">
        <v>274</v>
      </c>
      <c r="B263" s="204" t="s">
        <v>538</v>
      </c>
      <c r="C263" s="122" t="s">
        <v>280</v>
      </c>
      <c r="D263" s="122" t="s">
        <v>465</v>
      </c>
      <c r="E263" s="122" t="s">
        <v>247</v>
      </c>
      <c r="F263" s="203">
        <v>34265</v>
      </c>
      <c r="G263" s="122" t="str">
        <f>CHOOSE(MONTH(F263),"January","February","March","April","May","June","July","August","September","October","November","December")</f>
        <v>October</v>
      </c>
      <c r="H263" s="122">
        <f ca="1">DATEDIF(F263,TODAY(),"Y")</f>
        <v>23</v>
      </c>
      <c r="J263" s="202">
        <v>35460</v>
      </c>
      <c r="K263" s="201">
        <v>3</v>
      </c>
    </row>
    <row r="264" spans="1:11">
      <c r="A264" s="122">
        <v>275</v>
      </c>
      <c r="B264" s="204" t="s">
        <v>687</v>
      </c>
      <c r="C264" s="122" t="s">
        <v>245</v>
      </c>
      <c r="D264" s="122" t="s">
        <v>465</v>
      </c>
      <c r="E264" s="122" t="s">
        <v>256</v>
      </c>
      <c r="F264" s="203">
        <v>36444</v>
      </c>
      <c r="G264" s="122" t="str">
        <f>CHOOSE(MONTH(F264),"January","February","March","April","May","June","July","August","September","October","November","December")</f>
        <v>October</v>
      </c>
      <c r="H264" s="122">
        <f ca="1">DATEDIF(F264,TODAY(),"Y")</f>
        <v>17</v>
      </c>
      <c r="I264" s="122" t="s">
        <v>257</v>
      </c>
      <c r="J264" s="202">
        <v>67280</v>
      </c>
      <c r="K264" s="201">
        <v>3</v>
      </c>
    </row>
    <row r="265" spans="1:11">
      <c r="A265" s="122">
        <v>276</v>
      </c>
      <c r="B265" s="204" t="s">
        <v>669</v>
      </c>
      <c r="C265" s="122" t="s">
        <v>285</v>
      </c>
      <c r="D265" s="122" t="s">
        <v>465</v>
      </c>
      <c r="E265" s="122" t="s">
        <v>256</v>
      </c>
      <c r="F265" s="203">
        <v>34971</v>
      </c>
      <c r="G265" s="122" t="str">
        <f>CHOOSE(MONTH(F265),"January","February","March","April","May","June","July","August","September","October","November","December")</f>
        <v>September</v>
      </c>
      <c r="H265" s="122">
        <f ca="1">DATEDIF(F265,TODAY(),"Y")</f>
        <v>21</v>
      </c>
      <c r="I265" s="122" t="s">
        <v>283</v>
      </c>
      <c r="J265" s="202">
        <v>67050</v>
      </c>
      <c r="K265" s="201">
        <v>4</v>
      </c>
    </row>
    <row r="266" spans="1:11">
      <c r="A266" s="122">
        <v>277</v>
      </c>
      <c r="B266" s="204" t="s">
        <v>279</v>
      </c>
      <c r="C266" s="122" t="s">
        <v>285</v>
      </c>
      <c r="D266" s="122" t="s">
        <v>465</v>
      </c>
      <c r="E266" s="122" t="s">
        <v>256</v>
      </c>
      <c r="F266" s="203">
        <v>35703</v>
      </c>
      <c r="G266" s="122" t="str">
        <f>CHOOSE(MONTH(F266),"January","February","March","April","May","June","July","August","September","October","November","December")</f>
        <v>September</v>
      </c>
      <c r="H266" s="122">
        <f ca="1">DATEDIF(F266,TODAY(),"Y")</f>
        <v>19</v>
      </c>
      <c r="I266" s="122" t="s">
        <v>262</v>
      </c>
      <c r="J266" s="202">
        <v>66430</v>
      </c>
      <c r="K266" s="201">
        <v>2</v>
      </c>
    </row>
    <row r="267" spans="1:11">
      <c r="A267" s="122">
        <v>278</v>
      </c>
      <c r="B267" s="204" t="s">
        <v>962</v>
      </c>
      <c r="C267" s="122" t="s">
        <v>285</v>
      </c>
      <c r="D267" s="122" t="s">
        <v>465</v>
      </c>
      <c r="E267" s="122" t="s">
        <v>256</v>
      </c>
      <c r="F267" s="203">
        <v>37068</v>
      </c>
      <c r="G267" s="122" t="str">
        <f>CHOOSE(MONTH(F267),"January","February","March","April","May","June","July","August","September","October","November","December")</f>
        <v>June</v>
      </c>
      <c r="H267" s="122">
        <f ca="1">DATEDIF(F267,TODAY(),"Y")</f>
        <v>15</v>
      </c>
      <c r="I267" s="122" t="s">
        <v>262</v>
      </c>
      <c r="J267" s="202">
        <v>66010</v>
      </c>
      <c r="K267" s="201">
        <v>5</v>
      </c>
    </row>
    <row r="268" spans="1:11">
      <c r="A268" s="122">
        <v>279</v>
      </c>
      <c r="B268" s="204" t="s">
        <v>628</v>
      </c>
      <c r="C268" s="122" t="s">
        <v>271</v>
      </c>
      <c r="D268" s="122" t="s">
        <v>465</v>
      </c>
      <c r="E268" s="122" t="s">
        <v>247</v>
      </c>
      <c r="F268" s="203">
        <v>35379</v>
      </c>
      <c r="G268" s="122" t="str">
        <f>CHOOSE(MONTH(F268),"January","February","March","April","May","June","July","August","September","October","November","December")</f>
        <v>November</v>
      </c>
      <c r="H268" s="122">
        <f ca="1">DATEDIF(F268,TODAY(),"Y")</f>
        <v>20</v>
      </c>
      <c r="J268" s="202">
        <v>66010</v>
      </c>
      <c r="K268" s="201">
        <v>2</v>
      </c>
    </row>
    <row r="269" spans="1:11">
      <c r="A269" s="122">
        <v>280</v>
      </c>
      <c r="B269" s="204" t="s">
        <v>401</v>
      </c>
      <c r="C269" s="122" t="s">
        <v>285</v>
      </c>
      <c r="D269" s="122" t="s">
        <v>465</v>
      </c>
      <c r="E269" s="122" t="s">
        <v>256</v>
      </c>
      <c r="F269" s="203">
        <v>38821</v>
      </c>
      <c r="G269" s="122" t="str">
        <f>CHOOSE(MONTH(F269),"January","February","March","April","May","June","July","August","September","October","November","December")</f>
        <v>April</v>
      </c>
      <c r="H269" s="122">
        <f ca="1">DATEDIF(F269,TODAY(),"Y")</f>
        <v>10</v>
      </c>
      <c r="I269" s="122" t="s">
        <v>283</v>
      </c>
      <c r="J269" s="202">
        <v>65720</v>
      </c>
      <c r="K269" s="201">
        <v>1</v>
      </c>
    </row>
    <row r="270" spans="1:11">
      <c r="A270" s="122">
        <v>281</v>
      </c>
      <c r="B270" s="204" t="s">
        <v>782</v>
      </c>
      <c r="C270" s="122" t="s">
        <v>271</v>
      </c>
      <c r="D270" s="122" t="s">
        <v>465</v>
      </c>
      <c r="E270" s="122" t="s">
        <v>256</v>
      </c>
      <c r="F270" s="203">
        <v>40634</v>
      </c>
      <c r="G270" s="122" t="str">
        <f>CHOOSE(MONTH(F270),"January","February","March","April","May","June","July","August","September","October","November","December")</f>
        <v>April</v>
      </c>
      <c r="H270" s="122">
        <f ca="1">DATEDIF(F270,TODAY(),"Y")</f>
        <v>5</v>
      </c>
      <c r="I270" s="122" t="s">
        <v>257</v>
      </c>
      <c r="J270" s="202">
        <v>47440</v>
      </c>
      <c r="K270" s="201">
        <v>3</v>
      </c>
    </row>
    <row r="271" spans="1:11">
      <c r="A271" s="122">
        <v>282</v>
      </c>
      <c r="B271" s="204" t="s">
        <v>410</v>
      </c>
      <c r="C271" s="122" t="s">
        <v>271</v>
      </c>
      <c r="D271" s="122" t="s">
        <v>465</v>
      </c>
      <c r="E271" s="122" t="s">
        <v>256</v>
      </c>
      <c r="F271" s="203">
        <v>35188</v>
      </c>
      <c r="G271" s="122" t="str">
        <f>CHOOSE(MONTH(F271),"January","February","March","April","May","June","July","August","September","October","November","December")</f>
        <v>May</v>
      </c>
      <c r="H271" s="122">
        <f ca="1">DATEDIF(F271,TODAY(),"Y")</f>
        <v>20</v>
      </c>
      <c r="I271" s="122" t="s">
        <v>283</v>
      </c>
      <c r="J271" s="202">
        <v>44270</v>
      </c>
      <c r="K271" s="201">
        <v>2</v>
      </c>
    </row>
    <row r="272" spans="1:11">
      <c r="A272" s="122">
        <v>283</v>
      </c>
      <c r="B272" s="204" t="s">
        <v>537</v>
      </c>
      <c r="C272" s="122" t="s">
        <v>271</v>
      </c>
      <c r="D272" s="122" t="s">
        <v>465</v>
      </c>
      <c r="E272" s="122" t="s">
        <v>256</v>
      </c>
      <c r="F272" s="203">
        <v>33993</v>
      </c>
      <c r="G272" s="122" t="str">
        <f>CHOOSE(MONTH(F272),"January","February","March","April","May","June","July","August","September","October","November","December")</f>
        <v>January</v>
      </c>
      <c r="H272" s="122">
        <f ca="1">DATEDIF(F272,TODAY(),"Y")</f>
        <v>23</v>
      </c>
      <c r="I272" s="122" t="s">
        <v>283</v>
      </c>
      <c r="J272" s="202">
        <v>45500</v>
      </c>
      <c r="K272" s="201">
        <v>3</v>
      </c>
    </row>
    <row r="273" spans="1:11">
      <c r="A273" s="122">
        <v>284</v>
      </c>
      <c r="B273" s="204" t="s">
        <v>559</v>
      </c>
      <c r="C273" s="122" t="s">
        <v>245</v>
      </c>
      <c r="D273" s="122" t="s">
        <v>465</v>
      </c>
      <c r="E273" s="122" t="s">
        <v>261</v>
      </c>
      <c r="F273" s="203">
        <v>34163</v>
      </c>
      <c r="G273" s="122" t="str">
        <f>CHOOSE(MONTH(F273),"January","February","March","April","May","June","July","August","September","October","November","December")</f>
        <v>July</v>
      </c>
      <c r="H273" s="122">
        <f ca="1">DATEDIF(F273,TODAY(),"Y")</f>
        <v>23</v>
      </c>
      <c r="I273" s="122" t="s">
        <v>262</v>
      </c>
      <c r="J273" s="202">
        <v>18895</v>
      </c>
      <c r="K273" s="201">
        <v>4</v>
      </c>
    </row>
    <row r="274" spans="1:11">
      <c r="A274" s="122">
        <v>285</v>
      </c>
      <c r="B274" s="204" t="s">
        <v>316</v>
      </c>
      <c r="C274" s="122" t="s">
        <v>251</v>
      </c>
      <c r="D274" s="122" t="s">
        <v>465</v>
      </c>
      <c r="E274" s="122" t="s">
        <v>247</v>
      </c>
      <c r="F274" s="203">
        <v>34031</v>
      </c>
      <c r="G274" s="122" t="str">
        <f>CHOOSE(MONTH(F274),"January","February","March","April","May","June","July","August","September","October","November","December")</f>
        <v>March</v>
      </c>
      <c r="H274" s="122">
        <f ca="1">DATEDIF(F274,TODAY(),"Y")</f>
        <v>23</v>
      </c>
      <c r="J274" s="202">
        <v>64430</v>
      </c>
      <c r="K274" s="201">
        <v>4</v>
      </c>
    </row>
    <row r="275" spans="1:11">
      <c r="A275" s="122">
        <v>286</v>
      </c>
      <c r="B275" s="204" t="s">
        <v>929</v>
      </c>
      <c r="C275" s="122" t="s">
        <v>266</v>
      </c>
      <c r="D275" s="122" t="s">
        <v>465</v>
      </c>
      <c r="E275" s="122" t="s">
        <v>247</v>
      </c>
      <c r="F275" s="203">
        <v>37899</v>
      </c>
      <c r="G275" s="122" t="str">
        <f>CHOOSE(MONTH(F275),"January","February","March","April","May","June","July","August","September","October","November","December")</f>
        <v>October</v>
      </c>
      <c r="H275" s="122">
        <f ca="1">DATEDIF(F275,TODAY(),"Y")</f>
        <v>13</v>
      </c>
      <c r="J275" s="202">
        <v>64220</v>
      </c>
      <c r="K275" s="201">
        <v>5</v>
      </c>
    </row>
    <row r="276" spans="1:11">
      <c r="A276" s="122">
        <v>287</v>
      </c>
      <c r="B276" s="204" t="s">
        <v>608</v>
      </c>
      <c r="C276" s="122" t="s">
        <v>271</v>
      </c>
      <c r="D276" s="122" t="s">
        <v>465</v>
      </c>
      <c r="E276" s="122" t="s">
        <v>256</v>
      </c>
      <c r="F276" s="203">
        <v>37436</v>
      </c>
      <c r="G276" s="122" t="str">
        <f>CHOOSE(MONTH(F276),"January","February","March","April","May","June","July","August","September","October","November","December")</f>
        <v>June</v>
      </c>
      <c r="H276" s="122">
        <f ca="1">DATEDIF(F276,TODAY(),"Y")</f>
        <v>14</v>
      </c>
      <c r="I276" s="122" t="s">
        <v>267</v>
      </c>
      <c r="J276" s="202">
        <v>64130</v>
      </c>
      <c r="K276" s="201">
        <v>1</v>
      </c>
    </row>
    <row r="277" spans="1:11">
      <c r="A277" s="122">
        <v>288</v>
      </c>
      <c r="B277" s="204" t="s">
        <v>1018</v>
      </c>
      <c r="C277" s="122" t="s">
        <v>285</v>
      </c>
      <c r="D277" s="122" t="s">
        <v>465</v>
      </c>
      <c r="E277" s="122" t="s">
        <v>247</v>
      </c>
      <c r="F277" s="203">
        <v>39189</v>
      </c>
      <c r="G277" s="122" t="str">
        <f>CHOOSE(MONTH(F277),"January","February","March","April","May","June","July","August","September","October","November","December")</f>
        <v>April</v>
      </c>
      <c r="H277" s="122">
        <f ca="1">DATEDIF(F277,TODAY(),"Y")</f>
        <v>9</v>
      </c>
      <c r="J277" s="202">
        <v>63850</v>
      </c>
      <c r="K277" s="201">
        <v>2</v>
      </c>
    </row>
    <row r="278" spans="1:11">
      <c r="A278" s="122">
        <v>289</v>
      </c>
      <c r="B278" s="204" t="s">
        <v>592</v>
      </c>
      <c r="C278" s="122" t="s">
        <v>280</v>
      </c>
      <c r="D278" s="122" t="s">
        <v>465</v>
      </c>
      <c r="E278" s="122" t="s">
        <v>247</v>
      </c>
      <c r="F278" s="203">
        <v>36600</v>
      </c>
      <c r="G278" s="122" t="str">
        <f>CHOOSE(MONTH(F278),"January","February","March","April","May","June","July","August","September","October","November","December")</f>
        <v>March</v>
      </c>
      <c r="H278" s="122">
        <f ca="1">DATEDIF(F278,TODAY(),"Y")</f>
        <v>16</v>
      </c>
      <c r="J278" s="202">
        <v>41840</v>
      </c>
      <c r="K278" s="201">
        <v>2</v>
      </c>
    </row>
    <row r="279" spans="1:11">
      <c r="A279" s="122">
        <v>290</v>
      </c>
      <c r="B279" s="204" t="s">
        <v>663</v>
      </c>
      <c r="C279" s="122" t="s">
        <v>285</v>
      </c>
      <c r="D279" s="122" t="s">
        <v>465</v>
      </c>
      <c r="E279" s="122" t="s">
        <v>261</v>
      </c>
      <c r="F279" s="203">
        <v>35189</v>
      </c>
      <c r="G279" s="122" t="str">
        <f>CHOOSE(MONTH(F279),"January","February","March","April","May","June","July","August","September","October","November","December")</f>
        <v>May</v>
      </c>
      <c r="H279" s="122">
        <f ca="1">DATEDIF(F279,TODAY(),"Y")</f>
        <v>20</v>
      </c>
      <c r="I279" s="122" t="s">
        <v>257</v>
      </c>
      <c r="J279" s="202">
        <v>46285</v>
      </c>
      <c r="K279" s="201">
        <v>5</v>
      </c>
    </row>
    <row r="280" spans="1:11">
      <c r="A280" s="122">
        <v>291</v>
      </c>
      <c r="B280" s="204" t="s">
        <v>882</v>
      </c>
      <c r="C280" s="122" t="s">
        <v>271</v>
      </c>
      <c r="D280" s="122" t="s">
        <v>465</v>
      </c>
      <c r="E280" s="122" t="s">
        <v>256</v>
      </c>
      <c r="F280" s="203">
        <v>35996</v>
      </c>
      <c r="G280" s="122" t="str">
        <f>CHOOSE(MONTH(F280),"January","February","March","April","May","June","July","August","September","October","November","December")</f>
        <v>July</v>
      </c>
      <c r="H280" s="122">
        <f ca="1">DATEDIF(F280,TODAY(),"Y")</f>
        <v>18</v>
      </c>
      <c r="I280" s="122" t="s">
        <v>257</v>
      </c>
      <c r="J280" s="202">
        <v>40340</v>
      </c>
      <c r="K280" s="201">
        <v>2</v>
      </c>
    </row>
    <row r="281" spans="1:11">
      <c r="A281" s="122">
        <v>292</v>
      </c>
      <c r="B281" s="204" t="s">
        <v>604</v>
      </c>
      <c r="C281" s="122" t="s">
        <v>271</v>
      </c>
      <c r="D281" s="122" t="s">
        <v>465</v>
      </c>
      <c r="E281" s="122" t="s">
        <v>261</v>
      </c>
      <c r="F281" s="203">
        <v>36503</v>
      </c>
      <c r="G281" s="122" t="str">
        <f>CHOOSE(MONTH(F281),"January","February","March","April","May","June","July","August","September","October","November","December")</f>
        <v>December</v>
      </c>
      <c r="H281" s="122">
        <f ca="1">DATEDIF(F281,TODAY(),"Y")</f>
        <v>16</v>
      </c>
      <c r="I281" s="122" t="s">
        <v>267</v>
      </c>
      <c r="J281" s="202">
        <v>41615</v>
      </c>
      <c r="K281" s="201">
        <v>1</v>
      </c>
    </row>
    <row r="282" spans="1:11">
      <c r="A282" s="122">
        <v>293</v>
      </c>
      <c r="B282" s="204" t="s">
        <v>772</v>
      </c>
      <c r="C282" s="122" t="s">
        <v>285</v>
      </c>
      <c r="D282" s="122" t="s">
        <v>465</v>
      </c>
      <c r="E282" s="122" t="s">
        <v>247</v>
      </c>
      <c r="F282" s="203">
        <v>36729</v>
      </c>
      <c r="G282" s="122" t="str">
        <f>CHOOSE(MONTH(F282),"January","February","March","April","May","June","July","August","September","October","November","December")</f>
        <v>July</v>
      </c>
      <c r="H282" s="122">
        <f ca="1">DATEDIF(F282,TODAY(),"Y")</f>
        <v>16</v>
      </c>
      <c r="J282" s="202">
        <v>45420</v>
      </c>
      <c r="K282" s="201">
        <v>1</v>
      </c>
    </row>
    <row r="283" spans="1:11">
      <c r="A283" s="122">
        <v>294</v>
      </c>
      <c r="B283" s="204" t="s">
        <v>346</v>
      </c>
      <c r="C283" s="122" t="s">
        <v>271</v>
      </c>
      <c r="D283" s="122" t="s">
        <v>465</v>
      </c>
      <c r="E283" s="122" t="s">
        <v>247</v>
      </c>
      <c r="F283" s="203">
        <v>34425</v>
      </c>
      <c r="G283" s="122" t="str">
        <f>CHOOSE(MONTH(F283),"January","February","March","April","May","June","July","August","September","October","November","December")</f>
        <v>April</v>
      </c>
      <c r="H283" s="122">
        <f ca="1">DATEDIF(F283,TODAY(),"Y")</f>
        <v>22</v>
      </c>
      <c r="J283" s="202">
        <v>63310</v>
      </c>
      <c r="K283" s="201">
        <v>3</v>
      </c>
    </row>
    <row r="284" spans="1:11">
      <c r="A284" s="122">
        <v>295</v>
      </c>
      <c r="B284" s="204" t="s">
        <v>964</v>
      </c>
      <c r="C284" s="122" t="s">
        <v>245</v>
      </c>
      <c r="D284" s="122" t="s">
        <v>465</v>
      </c>
      <c r="E284" s="122" t="s">
        <v>256</v>
      </c>
      <c r="F284" s="203">
        <v>34541</v>
      </c>
      <c r="G284" s="122" t="str">
        <f>CHOOSE(MONTH(F284),"January","February","March","April","May","June","July","August","September","October","November","December")</f>
        <v>July</v>
      </c>
      <c r="H284" s="122">
        <f ca="1">DATEDIF(F284,TODAY(),"Y")</f>
        <v>22</v>
      </c>
      <c r="I284" s="122" t="s">
        <v>276</v>
      </c>
      <c r="J284" s="202">
        <v>34480</v>
      </c>
      <c r="K284" s="201">
        <v>3</v>
      </c>
    </row>
    <row r="285" spans="1:11">
      <c r="A285" s="122">
        <v>296</v>
      </c>
      <c r="B285" s="204" t="s">
        <v>785</v>
      </c>
      <c r="C285" s="122" t="s">
        <v>285</v>
      </c>
      <c r="D285" s="122" t="s">
        <v>465</v>
      </c>
      <c r="E285" s="122" t="s">
        <v>256</v>
      </c>
      <c r="F285" s="203">
        <v>34881</v>
      </c>
      <c r="G285" s="122" t="str">
        <f>CHOOSE(MONTH(F285),"January","February","March","April","May","June","July","August","September","October","November","December")</f>
        <v>July</v>
      </c>
      <c r="H285" s="122">
        <f ca="1">DATEDIF(F285,TODAY(),"Y")</f>
        <v>21</v>
      </c>
      <c r="I285" s="122" t="s">
        <v>262</v>
      </c>
      <c r="J285" s="202">
        <v>63070</v>
      </c>
      <c r="K285" s="201">
        <v>1</v>
      </c>
    </row>
    <row r="286" spans="1:11">
      <c r="A286" s="122">
        <v>297</v>
      </c>
      <c r="B286" s="204" t="s">
        <v>845</v>
      </c>
      <c r="C286" s="122" t="s">
        <v>280</v>
      </c>
      <c r="D286" s="122" t="s">
        <v>465</v>
      </c>
      <c r="E286" s="122" t="s">
        <v>247</v>
      </c>
      <c r="F286" s="203">
        <v>36011</v>
      </c>
      <c r="G286" s="122" t="str">
        <f>CHOOSE(MONTH(F286),"January","February","March","April","May","June","July","August","September","October","November","December")</f>
        <v>August</v>
      </c>
      <c r="H286" s="122">
        <f ca="1">DATEDIF(F286,TODAY(),"Y")</f>
        <v>18</v>
      </c>
      <c r="J286" s="202">
        <v>45050</v>
      </c>
      <c r="K286" s="201">
        <v>1</v>
      </c>
    </row>
    <row r="287" spans="1:11">
      <c r="A287" s="122">
        <v>298</v>
      </c>
      <c r="B287" s="204" t="s">
        <v>825</v>
      </c>
      <c r="C287" s="122" t="s">
        <v>245</v>
      </c>
      <c r="D287" s="122" t="s">
        <v>465</v>
      </c>
      <c r="E287" s="122" t="s">
        <v>247</v>
      </c>
      <c r="F287" s="203">
        <v>39538</v>
      </c>
      <c r="G287" s="122" t="str">
        <f>CHOOSE(MONTH(F287),"January","February","March","April","May","June","July","August","September","October","November","December")</f>
        <v>March</v>
      </c>
      <c r="H287" s="122">
        <f ca="1">DATEDIF(F287,TODAY(),"Y")</f>
        <v>8</v>
      </c>
      <c r="J287" s="202">
        <v>62780</v>
      </c>
      <c r="K287" s="201">
        <v>4</v>
      </c>
    </row>
    <row r="288" spans="1:11">
      <c r="A288" s="122">
        <v>299</v>
      </c>
      <c r="B288" s="204" t="s">
        <v>440</v>
      </c>
      <c r="C288" s="122" t="s">
        <v>271</v>
      </c>
      <c r="D288" s="122" t="s">
        <v>465</v>
      </c>
      <c r="E288" s="122" t="s">
        <v>256</v>
      </c>
      <c r="F288" s="203">
        <v>37331</v>
      </c>
      <c r="G288" s="122" t="str">
        <f>CHOOSE(MONTH(F288),"January","February","March","April","May","June","July","August","September","October","November","December")</f>
        <v>March</v>
      </c>
      <c r="H288" s="122">
        <f ca="1">DATEDIF(F288,TODAY(),"Y")</f>
        <v>14</v>
      </c>
      <c r="I288" s="122" t="s">
        <v>283</v>
      </c>
      <c r="J288" s="202">
        <v>62750</v>
      </c>
      <c r="K288" s="201">
        <v>3</v>
      </c>
    </row>
    <row r="289" spans="1:11">
      <c r="A289" s="122">
        <v>300</v>
      </c>
      <c r="B289" s="204" t="s">
        <v>792</v>
      </c>
      <c r="C289" s="122" t="s">
        <v>285</v>
      </c>
      <c r="D289" s="122" t="s">
        <v>465</v>
      </c>
      <c r="E289" s="122" t="s">
        <v>261</v>
      </c>
      <c r="F289" s="203">
        <v>36360</v>
      </c>
      <c r="G289" s="122" t="str">
        <f>CHOOSE(MONTH(F289),"January","February","March","April","May","June","July","August","September","October","November","December")</f>
        <v>July</v>
      </c>
      <c r="H289" s="122">
        <f ca="1">DATEDIF(F289,TODAY(),"Y")</f>
        <v>17</v>
      </c>
      <c r="I289" s="122" t="s">
        <v>283</v>
      </c>
      <c r="J289" s="202">
        <v>11065</v>
      </c>
      <c r="K289" s="201">
        <v>1</v>
      </c>
    </row>
    <row r="290" spans="1:11">
      <c r="A290" s="122">
        <v>301</v>
      </c>
      <c r="B290" s="204" t="s">
        <v>328</v>
      </c>
      <c r="C290" s="122" t="s">
        <v>285</v>
      </c>
      <c r="D290" s="122" t="s">
        <v>465</v>
      </c>
      <c r="E290" s="122" t="s">
        <v>247</v>
      </c>
      <c r="F290" s="203">
        <v>37634</v>
      </c>
      <c r="G290" s="122" t="str">
        <f>CHOOSE(MONTH(F290),"January","February","March","April","May","June","July","August","September","October","November","December")</f>
        <v>January</v>
      </c>
      <c r="H290" s="122">
        <f ca="1">DATEDIF(F290,TODAY(),"Y")</f>
        <v>13</v>
      </c>
      <c r="J290" s="202">
        <v>61370</v>
      </c>
      <c r="K290" s="201">
        <v>3</v>
      </c>
    </row>
    <row r="291" spans="1:11">
      <c r="A291" s="122">
        <v>302</v>
      </c>
      <c r="B291" s="204" t="s">
        <v>492</v>
      </c>
      <c r="C291" s="122" t="s">
        <v>271</v>
      </c>
      <c r="D291" s="122" t="s">
        <v>465</v>
      </c>
      <c r="E291" s="122" t="s">
        <v>256</v>
      </c>
      <c r="F291" s="203">
        <v>36273</v>
      </c>
      <c r="G291" s="122" t="str">
        <f>CHOOSE(MONTH(F291),"January","February","March","April","May","June","July","August","September","October","November","December")</f>
        <v>April</v>
      </c>
      <c r="H291" s="122">
        <f ca="1">DATEDIF(F291,TODAY(),"Y")</f>
        <v>17</v>
      </c>
      <c r="I291" s="122" t="s">
        <v>283</v>
      </c>
      <c r="J291" s="202">
        <v>61330</v>
      </c>
      <c r="K291" s="201">
        <v>4</v>
      </c>
    </row>
    <row r="292" spans="1:11">
      <c r="A292" s="122">
        <v>303</v>
      </c>
      <c r="B292" s="204" t="s">
        <v>294</v>
      </c>
      <c r="C292" s="122" t="s">
        <v>245</v>
      </c>
      <c r="D292" s="122" t="s">
        <v>465</v>
      </c>
      <c r="E292" s="122" t="s">
        <v>256</v>
      </c>
      <c r="F292" s="203">
        <v>38146</v>
      </c>
      <c r="G292" s="122" t="str">
        <f>CHOOSE(MONTH(F292),"January","February","March","April","May","June","July","August","September","October","November","December")</f>
        <v>June</v>
      </c>
      <c r="H292" s="122">
        <f ca="1">DATEDIF(F292,TODAY(),"Y")</f>
        <v>12</v>
      </c>
      <c r="I292" s="122" t="s">
        <v>257</v>
      </c>
      <c r="J292" s="202">
        <v>47340</v>
      </c>
      <c r="K292" s="201">
        <v>2</v>
      </c>
    </row>
    <row r="293" spans="1:11">
      <c r="A293" s="122">
        <v>304</v>
      </c>
      <c r="B293" s="204" t="s">
        <v>515</v>
      </c>
      <c r="C293" s="122" t="s">
        <v>251</v>
      </c>
      <c r="D293" s="122" t="s">
        <v>465</v>
      </c>
      <c r="E293" s="122" t="s">
        <v>256</v>
      </c>
      <c r="F293" s="203">
        <v>35591</v>
      </c>
      <c r="G293" s="122" t="str">
        <f>CHOOSE(MONTH(F293),"January","February","March","April","May","June","July","August","September","October","November","December")</f>
        <v>June</v>
      </c>
      <c r="H293" s="122">
        <f ca="1">DATEDIF(F293,TODAY(),"Y")</f>
        <v>19</v>
      </c>
      <c r="I293" s="122" t="s">
        <v>283</v>
      </c>
      <c r="J293" s="202">
        <v>61150</v>
      </c>
      <c r="K293" s="201">
        <v>2</v>
      </c>
    </row>
    <row r="294" spans="1:11">
      <c r="A294" s="122">
        <v>305</v>
      </c>
      <c r="B294" s="204" t="s">
        <v>902</v>
      </c>
      <c r="C294" s="122" t="s">
        <v>285</v>
      </c>
      <c r="D294" s="122" t="s">
        <v>465</v>
      </c>
      <c r="E294" s="122" t="s">
        <v>256</v>
      </c>
      <c r="F294" s="203">
        <v>38664</v>
      </c>
      <c r="G294" s="122" t="str">
        <f>CHOOSE(MONTH(F294),"January","February","March","April","May","June","July","August","September","October","November","December")</f>
        <v>November</v>
      </c>
      <c r="H294" s="122">
        <f ca="1">DATEDIF(F294,TODAY(),"Y")</f>
        <v>11</v>
      </c>
      <c r="I294" s="122" t="s">
        <v>257</v>
      </c>
      <c r="J294" s="202">
        <v>61060</v>
      </c>
      <c r="K294" s="201">
        <v>5</v>
      </c>
    </row>
    <row r="295" spans="1:11">
      <c r="A295" s="122">
        <v>306</v>
      </c>
      <c r="B295" s="204" t="s">
        <v>775</v>
      </c>
      <c r="C295" s="122" t="s">
        <v>280</v>
      </c>
      <c r="D295" s="122" t="s">
        <v>465</v>
      </c>
      <c r="E295" s="122" t="s">
        <v>256</v>
      </c>
      <c r="F295" s="203">
        <v>35529</v>
      </c>
      <c r="G295" s="122" t="str">
        <f>CHOOSE(MONTH(F295),"January","February","March","April","May","June","July","August","September","October","November","December")</f>
        <v>April</v>
      </c>
      <c r="H295" s="122">
        <f ca="1">DATEDIF(F295,TODAY(),"Y")</f>
        <v>19</v>
      </c>
      <c r="I295" s="122" t="s">
        <v>267</v>
      </c>
      <c r="J295" s="202">
        <v>44920</v>
      </c>
      <c r="K295" s="201">
        <v>1</v>
      </c>
    </row>
    <row r="296" spans="1:11">
      <c r="A296" s="122">
        <v>307</v>
      </c>
      <c r="B296" s="204" t="s">
        <v>525</v>
      </c>
      <c r="C296" s="122" t="s">
        <v>280</v>
      </c>
      <c r="D296" s="122" t="s">
        <v>465</v>
      </c>
      <c r="E296" s="122" t="s">
        <v>252</v>
      </c>
      <c r="F296" s="203">
        <v>33751</v>
      </c>
      <c r="G296" s="122" t="str">
        <f>CHOOSE(MONTH(F296),"January","February","March","April","May","June","July","August","September","October","November","December")</f>
        <v>May</v>
      </c>
      <c r="H296" s="122">
        <f ca="1">DATEDIF(F296,TODAY(),"Y")</f>
        <v>24</v>
      </c>
      <c r="J296" s="202">
        <v>22344</v>
      </c>
      <c r="K296" s="201">
        <v>4</v>
      </c>
    </row>
    <row r="297" spans="1:11">
      <c r="A297" s="122">
        <v>308</v>
      </c>
      <c r="B297" s="204" t="s">
        <v>588</v>
      </c>
      <c r="C297" s="122" t="s">
        <v>271</v>
      </c>
      <c r="D297" s="122" t="s">
        <v>465</v>
      </c>
      <c r="E297" s="122" t="s">
        <v>256</v>
      </c>
      <c r="F297" s="203">
        <v>33648</v>
      </c>
      <c r="G297" s="122" t="str">
        <f>CHOOSE(MONTH(F297),"January","February","March","April","May","June","July","August","September","October","November","December")</f>
        <v>February</v>
      </c>
      <c r="H297" s="122">
        <f ca="1">DATEDIF(F297,TODAY(),"Y")</f>
        <v>24</v>
      </c>
      <c r="I297" s="122" t="s">
        <v>276</v>
      </c>
      <c r="J297" s="202">
        <v>60380</v>
      </c>
      <c r="K297" s="201">
        <v>4</v>
      </c>
    </row>
    <row r="298" spans="1:11">
      <c r="A298" s="122">
        <v>309</v>
      </c>
      <c r="B298" s="204" t="s">
        <v>710</v>
      </c>
      <c r="C298" s="122" t="s">
        <v>271</v>
      </c>
      <c r="D298" s="122" t="s">
        <v>465</v>
      </c>
      <c r="E298" s="122" t="s">
        <v>256</v>
      </c>
      <c r="F298" s="203">
        <v>35589</v>
      </c>
      <c r="G298" s="122" t="str">
        <f>CHOOSE(MONTH(F298),"January","February","March","April","May","June","July","August","September","October","November","December")</f>
        <v>June</v>
      </c>
      <c r="H298" s="122">
        <f ca="1">DATEDIF(F298,TODAY(),"Y")</f>
        <v>19</v>
      </c>
      <c r="I298" s="122" t="s">
        <v>257</v>
      </c>
      <c r="J298" s="202">
        <v>60280</v>
      </c>
      <c r="K298" s="201">
        <v>1</v>
      </c>
    </row>
    <row r="299" spans="1:11">
      <c r="A299" s="122">
        <v>310</v>
      </c>
      <c r="B299" s="204" t="s">
        <v>756</v>
      </c>
      <c r="C299" s="122" t="s">
        <v>271</v>
      </c>
      <c r="D299" s="122" t="s">
        <v>465</v>
      </c>
      <c r="E299" s="122" t="s">
        <v>256</v>
      </c>
      <c r="F299" s="203">
        <v>35695</v>
      </c>
      <c r="G299" s="122" t="str">
        <f>CHOOSE(MONTH(F299),"January","February","March","April","May","June","July","August","September","October","November","December")</f>
        <v>September</v>
      </c>
      <c r="H299" s="122">
        <f ca="1">DATEDIF(F299,TODAY(),"Y")</f>
        <v>19</v>
      </c>
      <c r="I299" s="122" t="s">
        <v>257</v>
      </c>
      <c r="J299" s="202">
        <v>60100</v>
      </c>
      <c r="K299" s="201">
        <v>1</v>
      </c>
    </row>
    <row r="300" spans="1:11">
      <c r="A300" s="122">
        <v>311</v>
      </c>
      <c r="B300" s="204" t="s">
        <v>519</v>
      </c>
      <c r="C300" s="122" t="s">
        <v>271</v>
      </c>
      <c r="D300" s="122" t="s">
        <v>465</v>
      </c>
      <c r="E300" s="122" t="s">
        <v>247</v>
      </c>
      <c r="F300" s="203">
        <v>35451</v>
      </c>
      <c r="G300" s="122" t="str">
        <f>CHOOSE(MONTH(F300),"January","February","March","April","May","June","July","August","September","October","November","December")</f>
        <v>January</v>
      </c>
      <c r="H300" s="122">
        <f ca="1">DATEDIF(F300,TODAY(),"Y")</f>
        <v>19</v>
      </c>
      <c r="J300" s="202">
        <v>42150</v>
      </c>
      <c r="K300" s="201">
        <v>5</v>
      </c>
    </row>
    <row r="301" spans="1:11">
      <c r="A301" s="122">
        <v>312</v>
      </c>
      <c r="B301" s="204" t="s">
        <v>714</v>
      </c>
      <c r="C301" s="122" t="s">
        <v>266</v>
      </c>
      <c r="D301" s="122" t="s">
        <v>465</v>
      </c>
      <c r="E301" s="122" t="s">
        <v>247</v>
      </c>
      <c r="F301" s="203">
        <v>36350</v>
      </c>
      <c r="G301" s="122" t="str">
        <f>CHOOSE(MONTH(F301),"January","February","March","April","May","June","July","August","September","October","November","December")</f>
        <v>July</v>
      </c>
      <c r="H301" s="122">
        <f ca="1">DATEDIF(F301,TODAY(),"Y")</f>
        <v>17</v>
      </c>
      <c r="J301" s="202">
        <v>27380</v>
      </c>
      <c r="K301" s="201">
        <v>3</v>
      </c>
    </row>
    <row r="302" spans="1:11">
      <c r="A302" s="122">
        <v>313</v>
      </c>
      <c r="B302" s="204" t="s">
        <v>809</v>
      </c>
      <c r="C302" s="122" t="s">
        <v>271</v>
      </c>
      <c r="D302" s="122" t="s">
        <v>465</v>
      </c>
      <c r="E302" s="122" t="s">
        <v>247</v>
      </c>
      <c r="F302" s="203">
        <v>34149</v>
      </c>
      <c r="G302" s="122" t="str">
        <f>CHOOSE(MONTH(F302),"January","February","March","April","May","June","July","August","September","October","November","December")</f>
        <v>June</v>
      </c>
      <c r="H302" s="122">
        <f ca="1">DATEDIF(F302,TODAY(),"Y")</f>
        <v>23</v>
      </c>
      <c r="J302" s="202">
        <v>45770</v>
      </c>
      <c r="K302" s="201">
        <v>5</v>
      </c>
    </row>
    <row r="303" spans="1:11">
      <c r="A303" s="122">
        <v>314</v>
      </c>
      <c r="B303" s="204" t="s">
        <v>616</v>
      </c>
      <c r="C303" s="122" t="s">
        <v>245</v>
      </c>
      <c r="D303" s="122" t="s">
        <v>465</v>
      </c>
      <c r="E303" s="122" t="s">
        <v>247</v>
      </c>
      <c r="F303" s="203">
        <v>39822</v>
      </c>
      <c r="G303" s="122" t="str">
        <f>CHOOSE(MONTH(F303),"January","February","March","April","May","June","July","August","September","October","November","December")</f>
        <v>January</v>
      </c>
      <c r="H303" s="122">
        <f ca="1">DATEDIF(F303,TODAY(),"Y")</f>
        <v>7</v>
      </c>
      <c r="J303" s="202">
        <v>60040</v>
      </c>
      <c r="K303" s="201">
        <v>5</v>
      </c>
    </row>
    <row r="304" spans="1:11">
      <c r="A304" s="122">
        <v>315</v>
      </c>
      <c r="B304" s="204" t="s">
        <v>341</v>
      </c>
      <c r="C304" s="122" t="s">
        <v>266</v>
      </c>
      <c r="D304" s="122" t="s">
        <v>465</v>
      </c>
      <c r="E304" s="122" t="s">
        <v>256</v>
      </c>
      <c r="F304" s="203">
        <v>39455</v>
      </c>
      <c r="G304" s="122" t="str">
        <f>CHOOSE(MONTH(F304),"January","February","March","April","May","June","July","August","September","October","November","December")</f>
        <v>January</v>
      </c>
      <c r="H304" s="122">
        <f ca="1">DATEDIF(F304,TODAY(),"Y")</f>
        <v>8</v>
      </c>
      <c r="I304" s="122" t="s">
        <v>283</v>
      </c>
      <c r="J304" s="202">
        <v>59420</v>
      </c>
      <c r="K304" s="201">
        <v>4</v>
      </c>
    </row>
    <row r="305" spans="1:11">
      <c r="A305" s="122">
        <v>316</v>
      </c>
      <c r="B305" s="204" t="s">
        <v>1470</v>
      </c>
      <c r="C305" s="122" t="s">
        <v>266</v>
      </c>
      <c r="D305" s="122" t="s">
        <v>465</v>
      </c>
      <c r="E305" s="122" t="s">
        <v>247</v>
      </c>
      <c r="F305" s="203">
        <v>35360</v>
      </c>
      <c r="G305" s="122" t="str">
        <f>CHOOSE(MONTH(F305),"January","February","March","April","May","June","July","August","September","October","November","December")</f>
        <v>October</v>
      </c>
      <c r="H305" s="122">
        <f ca="1">DATEDIF(F305,TODAY(),"Y")</f>
        <v>20</v>
      </c>
      <c r="J305" s="202">
        <v>28260</v>
      </c>
      <c r="K305" s="201">
        <v>5</v>
      </c>
    </row>
    <row r="306" spans="1:11">
      <c r="A306" s="122">
        <v>317</v>
      </c>
      <c r="B306" s="204" t="s">
        <v>966</v>
      </c>
      <c r="C306" s="122" t="s">
        <v>280</v>
      </c>
      <c r="D306" s="122" t="s">
        <v>465</v>
      </c>
      <c r="E306" s="122" t="s">
        <v>247</v>
      </c>
      <c r="F306" s="203">
        <v>38874</v>
      </c>
      <c r="G306" s="122" t="str">
        <f>CHOOSE(MONTH(F306),"January","February","March","April","May","June","July","August","September","October","November","December")</f>
        <v>June</v>
      </c>
      <c r="H306" s="122">
        <f ca="1">DATEDIF(F306,TODAY(),"Y")</f>
        <v>10</v>
      </c>
      <c r="J306" s="202">
        <v>59330</v>
      </c>
      <c r="K306" s="201">
        <v>4</v>
      </c>
    </row>
    <row r="307" spans="1:11">
      <c r="A307" s="122">
        <v>318</v>
      </c>
      <c r="B307" s="204" t="s">
        <v>527</v>
      </c>
      <c r="C307" s="122" t="s">
        <v>266</v>
      </c>
      <c r="D307" s="122" t="s">
        <v>465</v>
      </c>
      <c r="E307" s="122" t="s">
        <v>256</v>
      </c>
      <c r="F307" s="203">
        <v>35361</v>
      </c>
      <c r="G307" s="122" t="str">
        <f>CHOOSE(MONTH(F307),"January","February","March","April","May","June","July","August","September","October","November","December")</f>
        <v>October</v>
      </c>
      <c r="H307" s="122">
        <f ca="1">DATEDIF(F307,TODAY(),"Y")</f>
        <v>20</v>
      </c>
      <c r="I307" s="122" t="s">
        <v>257</v>
      </c>
      <c r="J307" s="202">
        <v>59320</v>
      </c>
      <c r="K307" s="201">
        <v>4</v>
      </c>
    </row>
    <row r="308" spans="1:11">
      <c r="A308" s="122">
        <v>319</v>
      </c>
      <c r="B308" s="204" t="s">
        <v>560</v>
      </c>
      <c r="C308" s="122" t="s">
        <v>280</v>
      </c>
      <c r="D308" s="122" t="s">
        <v>465</v>
      </c>
      <c r="E308" s="122" t="s">
        <v>256</v>
      </c>
      <c r="F308" s="203">
        <v>34068</v>
      </c>
      <c r="G308" s="122" t="str">
        <f>CHOOSE(MONTH(F308),"January","February","March","April","May","June","July","August","September","October","November","December")</f>
        <v>April</v>
      </c>
      <c r="H308" s="122">
        <f ca="1">DATEDIF(F308,TODAY(),"Y")</f>
        <v>23</v>
      </c>
      <c r="I308" s="122" t="s">
        <v>283</v>
      </c>
      <c r="J308" s="202">
        <v>23330</v>
      </c>
      <c r="K308" s="201">
        <v>4</v>
      </c>
    </row>
    <row r="309" spans="1:11">
      <c r="A309" s="122">
        <v>320</v>
      </c>
      <c r="B309" s="204" t="s">
        <v>979</v>
      </c>
      <c r="C309" s="122" t="s">
        <v>271</v>
      </c>
      <c r="D309" s="122" t="s">
        <v>465</v>
      </c>
      <c r="E309" s="122" t="s">
        <v>256</v>
      </c>
      <c r="F309" s="203">
        <v>40270</v>
      </c>
      <c r="G309" s="122" t="str">
        <f>CHOOSE(MONTH(F309),"January","February","March","April","May","June","July","August","September","October","November","December")</f>
        <v>April</v>
      </c>
      <c r="H309" s="122">
        <f ca="1">DATEDIF(F309,TODAY(),"Y")</f>
        <v>6</v>
      </c>
      <c r="I309" s="122" t="s">
        <v>283</v>
      </c>
      <c r="J309" s="202">
        <v>35300</v>
      </c>
      <c r="K309" s="201">
        <v>5</v>
      </c>
    </row>
    <row r="310" spans="1:11">
      <c r="A310" s="122">
        <v>321</v>
      </c>
      <c r="B310" s="204" t="s">
        <v>876</v>
      </c>
      <c r="C310" s="122" t="s">
        <v>251</v>
      </c>
      <c r="D310" s="122" t="s">
        <v>465</v>
      </c>
      <c r="E310" s="122" t="s">
        <v>256</v>
      </c>
      <c r="F310" s="203">
        <v>34785</v>
      </c>
      <c r="G310" s="122" t="str">
        <f>CHOOSE(MONTH(F310),"January","February","March","April","May","June","July","August","September","October","November","December")</f>
        <v>March</v>
      </c>
      <c r="H310" s="122">
        <f ca="1">DATEDIF(F310,TODAY(),"Y")</f>
        <v>21</v>
      </c>
      <c r="I310" s="122" t="s">
        <v>257</v>
      </c>
      <c r="J310" s="202">
        <v>24300</v>
      </c>
      <c r="K310" s="201">
        <v>3</v>
      </c>
    </row>
    <row r="311" spans="1:11">
      <c r="A311" s="122">
        <v>322</v>
      </c>
      <c r="B311" s="204" t="s">
        <v>574</v>
      </c>
      <c r="C311" s="122" t="s">
        <v>280</v>
      </c>
      <c r="D311" s="122" t="s">
        <v>465</v>
      </c>
      <c r="E311" s="122" t="s">
        <v>247</v>
      </c>
      <c r="F311" s="203">
        <v>36283</v>
      </c>
      <c r="G311" s="122" t="str">
        <f>CHOOSE(MONTH(F311),"January","February","March","April","May","June","July","August","September","October","November","December")</f>
        <v>May</v>
      </c>
      <c r="H311" s="122">
        <f ca="1">DATEDIF(F311,TODAY(),"Y")</f>
        <v>17</v>
      </c>
      <c r="J311" s="202">
        <v>25130</v>
      </c>
      <c r="K311" s="201">
        <v>5</v>
      </c>
    </row>
    <row r="312" spans="1:11">
      <c r="A312" s="122">
        <v>323</v>
      </c>
      <c r="B312" s="204" t="s">
        <v>674</v>
      </c>
      <c r="C312" s="122" t="s">
        <v>280</v>
      </c>
      <c r="D312" s="122" t="s">
        <v>465</v>
      </c>
      <c r="E312" s="122" t="s">
        <v>256</v>
      </c>
      <c r="F312" s="203">
        <v>37229</v>
      </c>
      <c r="G312" s="122" t="str">
        <f>CHOOSE(MONTH(F312),"January","February","March","April","May","June","July","August","September","October","November","December")</f>
        <v>December</v>
      </c>
      <c r="H312" s="122">
        <f ca="1">DATEDIF(F312,TODAY(),"Y")</f>
        <v>14</v>
      </c>
      <c r="I312" s="122" t="s">
        <v>283</v>
      </c>
      <c r="J312" s="202">
        <v>25310</v>
      </c>
      <c r="K312" s="201">
        <v>4</v>
      </c>
    </row>
    <row r="313" spans="1:11">
      <c r="A313" s="122">
        <v>324</v>
      </c>
      <c r="B313" s="204" t="s">
        <v>799</v>
      </c>
      <c r="C313" s="122" t="s">
        <v>285</v>
      </c>
      <c r="D313" s="122" t="s">
        <v>465</v>
      </c>
      <c r="E313" s="122" t="s">
        <v>256</v>
      </c>
      <c r="F313" s="203">
        <v>36431</v>
      </c>
      <c r="G313" s="122" t="str">
        <f>CHOOSE(MONTH(F313),"January","February","March","April","May","June","July","August","September","October","November","December")</f>
        <v>September</v>
      </c>
      <c r="H313" s="122">
        <f ca="1">DATEDIF(F313,TODAY(),"Y")</f>
        <v>17</v>
      </c>
      <c r="I313" s="122" t="s">
        <v>257</v>
      </c>
      <c r="J313" s="202">
        <v>35820</v>
      </c>
      <c r="K313" s="201">
        <v>2</v>
      </c>
    </row>
    <row r="314" spans="1:11">
      <c r="A314" s="122">
        <v>325</v>
      </c>
      <c r="B314" s="204" t="s">
        <v>697</v>
      </c>
      <c r="C314" s="122" t="s">
        <v>245</v>
      </c>
      <c r="D314" s="122" t="s">
        <v>465</v>
      </c>
      <c r="E314" s="122" t="s">
        <v>256</v>
      </c>
      <c r="F314" s="203">
        <v>33720</v>
      </c>
      <c r="G314" s="122" t="str">
        <f>CHOOSE(MONTH(F314),"January","February","March","April","May","June","July","August","September","October","November","December")</f>
        <v>April</v>
      </c>
      <c r="H314" s="122">
        <f ca="1">DATEDIF(F314,TODAY(),"Y")</f>
        <v>24</v>
      </c>
      <c r="I314" s="122" t="s">
        <v>283</v>
      </c>
      <c r="J314" s="202">
        <v>58910</v>
      </c>
      <c r="K314" s="201">
        <v>1</v>
      </c>
    </row>
    <row r="315" spans="1:11">
      <c r="A315" s="122">
        <v>326</v>
      </c>
      <c r="B315" s="204" t="s">
        <v>731</v>
      </c>
      <c r="C315" s="122" t="s">
        <v>285</v>
      </c>
      <c r="D315" s="122" t="s">
        <v>465</v>
      </c>
      <c r="E315" s="122" t="s">
        <v>256</v>
      </c>
      <c r="F315" s="203">
        <v>36332</v>
      </c>
      <c r="G315" s="122" t="str">
        <f>CHOOSE(MONTH(F315),"January","February","March","April","May","June","July","August","September","October","November","December")</f>
        <v>June</v>
      </c>
      <c r="H315" s="122">
        <f ca="1">DATEDIF(F315,TODAY(),"Y")</f>
        <v>17</v>
      </c>
      <c r="I315" s="122" t="s">
        <v>267</v>
      </c>
      <c r="J315" s="202">
        <v>37760</v>
      </c>
      <c r="K315" s="201">
        <v>2</v>
      </c>
    </row>
    <row r="316" spans="1:11">
      <c r="A316" s="122">
        <v>327</v>
      </c>
      <c r="B316" s="204" t="s">
        <v>514</v>
      </c>
      <c r="C316" s="122" t="s">
        <v>280</v>
      </c>
      <c r="D316" s="122" t="s">
        <v>465</v>
      </c>
      <c r="E316" s="122" t="s">
        <v>247</v>
      </c>
      <c r="F316" s="203">
        <v>36704</v>
      </c>
      <c r="G316" s="122" t="str">
        <f>CHOOSE(MONTH(F316),"January","February","March","April","May","June","July","August","September","October","November","December")</f>
        <v>June</v>
      </c>
      <c r="H316" s="122">
        <f ca="1">DATEDIF(F316,TODAY(),"Y")</f>
        <v>16</v>
      </c>
      <c r="J316" s="202">
        <v>57760</v>
      </c>
      <c r="K316" s="201">
        <v>3</v>
      </c>
    </row>
    <row r="317" spans="1:11">
      <c r="A317" s="122">
        <v>328</v>
      </c>
      <c r="B317" s="204" t="s">
        <v>482</v>
      </c>
      <c r="C317" s="122" t="s">
        <v>271</v>
      </c>
      <c r="D317" s="122" t="s">
        <v>465</v>
      </c>
      <c r="E317" s="122" t="s">
        <v>247</v>
      </c>
      <c r="F317" s="203">
        <v>36637</v>
      </c>
      <c r="G317" s="122" t="str">
        <f>CHOOSE(MONTH(F317),"January","February","March","April","May","June","July","August","September","October","November","December")</f>
        <v>April</v>
      </c>
      <c r="H317" s="122">
        <f ca="1">DATEDIF(F317,TODAY(),"Y")</f>
        <v>16</v>
      </c>
      <c r="J317" s="202">
        <v>57600</v>
      </c>
      <c r="K317" s="201">
        <v>3</v>
      </c>
    </row>
    <row r="318" spans="1:11">
      <c r="A318" s="122">
        <v>329</v>
      </c>
      <c r="B318" s="204" t="s">
        <v>837</v>
      </c>
      <c r="C318" s="122" t="s">
        <v>285</v>
      </c>
      <c r="D318" s="122" t="s">
        <v>465</v>
      </c>
      <c r="E318" s="122" t="s">
        <v>247</v>
      </c>
      <c r="F318" s="203">
        <v>38321</v>
      </c>
      <c r="G318" s="122" t="str">
        <f>CHOOSE(MONTH(F318),"January","February","March","April","May","June","July","August","September","October","November","December")</f>
        <v>November</v>
      </c>
      <c r="H318" s="122">
        <f ca="1">DATEDIF(F318,TODAY(),"Y")</f>
        <v>11</v>
      </c>
      <c r="J318" s="202">
        <v>37980</v>
      </c>
      <c r="K318" s="201">
        <v>4</v>
      </c>
    </row>
    <row r="319" spans="1:11">
      <c r="A319" s="122">
        <v>330</v>
      </c>
      <c r="B319" s="204" t="s">
        <v>553</v>
      </c>
      <c r="C319" s="122" t="s">
        <v>285</v>
      </c>
      <c r="D319" s="122" t="s">
        <v>465</v>
      </c>
      <c r="E319" s="122" t="s">
        <v>247</v>
      </c>
      <c r="F319" s="203">
        <v>38044</v>
      </c>
      <c r="G319" s="122" t="str">
        <f>CHOOSE(MONTH(F319),"January","February","March","April","May","June","July","August","September","October","November","December")</f>
        <v>February</v>
      </c>
      <c r="H319" s="122">
        <f ca="1">DATEDIF(F319,TODAY(),"Y")</f>
        <v>12</v>
      </c>
      <c r="J319" s="202">
        <v>57410</v>
      </c>
      <c r="K319" s="201">
        <v>2</v>
      </c>
    </row>
    <row r="320" spans="1:11">
      <c r="A320" s="122">
        <v>331</v>
      </c>
      <c r="B320" s="204" t="s">
        <v>906</v>
      </c>
      <c r="C320" s="122" t="s">
        <v>271</v>
      </c>
      <c r="D320" s="122" t="s">
        <v>465</v>
      </c>
      <c r="E320" s="122" t="s">
        <v>247</v>
      </c>
      <c r="F320" s="203">
        <v>40680</v>
      </c>
      <c r="G320" s="122" t="str">
        <f>CHOOSE(MONTH(F320),"January","February","March","April","May","June","July","August","September","October","November","December")</f>
        <v>May</v>
      </c>
      <c r="H320" s="122">
        <f ca="1">DATEDIF(F320,TODAY(),"Y")</f>
        <v>5</v>
      </c>
      <c r="J320" s="202">
        <v>57110</v>
      </c>
      <c r="K320" s="201">
        <v>3</v>
      </c>
    </row>
    <row r="321" spans="1:11">
      <c r="A321" s="122">
        <v>332</v>
      </c>
      <c r="B321" s="204" t="s">
        <v>635</v>
      </c>
      <c r="C321" s="122" t="s">
        <v>285</v>
      </c>
      <c r="D321" s="122" t="s">
        <v>465</v>
      </c>
      <c r="E321" s="122" t="s">
        <v>256</v>
      </c>
      <c r="F321" s="203">
        <v>33613</v>
      </c>
      <c r="G321" s="122" t="str">
        <f>CHOOSE(MONTH(F321),"January","February","March","April","May","June","July","August","September","October","November","December")</f>
        <v>January</v>
      </c>
      <c r="H321" s="122">
        <f ca="1">DATEDIF(F321,TODAY(),"Y")</f>
        <v>24</v>
      </c>
      <c r="I321" s="122" t="s">
        <v>586</v>
      </c>
      <c r="J321" s="202">
        <v>56900</v>
      </c>
      <c r="K321" s="201">
        <v>5</v>
      </c>
    </row>
    <row r="322" spans="1:11">
      <c r="A322" s="122">
        <v>333</v>
      </c>
      <c r="B322" s="204" t="s">
        <v>313</v>
      </c>
      <c r="C322" s="122" t="s">
        <v>251</v>
      </c>
      <c r="D322" s="122" t="s">
        <v>465</v>
      </c>
      <c r="E322" s="122" t="s">
        <v>261</v>
      </c>
      <c r="F322" s="203">
        <v>34583</v>
      </c>
      <c r="G322" s="122" t="str">
        <f>CHOOSE(MONTH(F322),"January","February","March","April","May","June","July","August","September","October","November","December")</f>
        <v>September</v>
      </c>
      <c r="H322" s="122">
        <f ca="1">DATEDIF(F322,TODAY(),"Y")</f>
        <v>22</v>
      </c>
      <c r="I322" s="122" t="s">
        <v>262</v>
      </c>
      <c r="J322" s="202">
        <v>15260</v>
      </c>
      <c r="K322" s="201">
        <v>2</v>
      </c>
    </row>
    <row r="323" spans="1:11">
      <c r="A323" s="122">
        <v>334</v>
      </c>
      <c r="B323" s="204" t="s">
        <v>760</v>
      </c>
      <c r="C323" s="122" t="s">
        <v>245</v>
      </c>
      <c r="D323" s="122" t="s">
        <v>465</v>
      </c>
      <c r="E323" s="122" t="s">
        <v>247</v>
      </c>
      <c r="F323" s="203">
        <v>38537</v>
      </c>
      <c r="G323" s="122" t="str">
        <f>CHOOSE(MONTH(F323),"January","February","March","April","May","June","July","August","September","October","November","December")</f>
        <v>July</v>
      </c>
      <c r="H323" s="122">
        <f ca="1">DATEDIF(F323,TODAY(),"Y")</f>
        <v>11</v>
      </c>
      <c r="J323" s="202">
        <v>39680</v>
      </c>
      <c r="K323" s="201">
        <v>1</v>
      </c>
    </row>
    <row r="324" spans="1:11">
      <c r="A324" s="122">
        <v>335</v>
      </c>
      <c r="B324" s="204" t="s">
        <v>813</v>
      </c>
      <c r="C324" s="122" t="s">
        <v>266</v>
      </c>
      <c r="D324" s="122" t="s">
        <v>465</v>
      </c>
      <c r="E324" s="122" t="s">
        <v>256</v>
      </c>
      <c r="F324" s="203">
        <v>37936</v>
      </c>
      <c r="G324" s="122" t="str">
        <f>CHOOSE(MONTH(F324),"January","February","March","April","May","June","July","August","September","October","November","December")</f>
        <v>November</v>
      </c>
      <c r="H324" s="122">
        <f ca="1">DATEDIF(F324,TODAY(),"Y")</f>
        <v>12</v>
      </c>
      <c r="I324" s="122" t="s">
        <v>283</v>
      </c>
      <c r="J324" s="202">
        <v>30920</v>
      </c>
      <c r="K324" s="201">
        <v>5</v>
      </c>
    </row>
    <row r="325" spans="1:11">
      <c r="A325" s="122">
        <v>336</v>
      </c>
      <c r="B325" s="204" t="s">
        <v>286</v>
      </c>
      <c r="C325" s="122" t="s">
        <v>245</v>
      </c>
      <c r="D325" s="122" t="s">
        <v>465</v>
      </c>
      <c r="E325" s="122" t="s">
        <v>256</v>
      </c>
      <c r="F325" s="203">
        <v>35938</v>
      </c>
      <c r="G325" s="122" t="str">
        <f>CHOOSE(MONTH(F325),"January","February","March","April","May","June","July","August","September","October","November","December")</f>
        <v>May</v>
      </c>
      <c r="H325" s="122">
        <f ca="1">DATEDIF(F325,TODAY(),"Y")</f>
        <v>18</v>
      </c>
      <c r="I325" s="122" t="s">
        <v>267</v>
      </c>
      <c r="J325" s="202">
        <v>55450</v>
      </c>
      <c r="K325" s="201">
        <v>5</v>
      </c>
    </row>
    <row r="326" spans="1:11">
      <c r="A326" s="122">
        <v>337</v>
      </c>
      <c r="B326" s="204" t="s">
        <v>423</v>
      </c>
      <c r="C326" s="122" t="s">
        <v>245</v>
      </c>
      <c r="D326" s="122" t="s">
        <v>465</v>
      </c>
      <c r="E326" s="122" t="s">
        <v>252</v>
      </c>
      <c r="F326" s="203">
        <v>35490</v>
      </c>
      <c r="G326" s="122" t="str">
        <f>CHOOSE(MONTH(F326),"January","February","March","April","May","June","July","August","September","October","November","December")</f>
        <v>March</v>
      </c>
      <c r="H326" s="122">
        <f ca="1">DATEDIF(F326,TODAY(),"Y")</f>
        <v>19</v>
      </c>
      <c r="J326" s="202">
        <v>22472</v>
      </c>
      <c r="K326" s="201">
        <v>1</v>
      </c>
    </row>
    <row r="327" spans="1:11">
      <c r="A327" s="122">
        <v>338</v>
      </c>
      <c r="B327" s="204" t="s">
        <v>460</v>
      </c>
      <c r="C327" s="122" t="s">
        <v>285</v>
      </c>
      <c r="D327" s="122" t="s">
        <v>465</v>
      </c>
      <c r="E327" s="122" t="s">
        <v>256</v>
      </c>
      <c r="F327" s="203">
        <v>37866</v>
      </c>
      <c r="G327" s="122" t="str">
        <f>CHOOSE(MONTH(F327),"January","February","March","April","May","June","July","August","September","October","November","December")</f>
        <v>September</v>
      </c>
      <c r="H327" s="122">
        <f ca="1">DATEDIF(F327,TODAY(),"Y")</f>
        <v>13</v>
      </c>
      <c r="I327" s="122" t="s">
        <v>262</v>
      </c>
      <c r="J327" s="202">
        <v>54230</v>
      </c>
      <c r="K327" s="201">
        <v>5</v>
      </c>
    </row>
    <row r="328" spans="1:11">
      <c r="A328" s="122">
        <v>339</v>
      </c>
      <c r="B328" s="204" t="s">
        <v>911</v>
      </c>
      <c r="C328" s="122" t="s">
        <v>280</v>
      </c>
      <c r="D328" s="122" t="s">
        <v>465</v>
      </c>
      <c r="E328" s="122" t="s">
        <v>256</v>
      </c>
      <c r="F328" s="203">
        <v>39348</v>
      </c>
      <c r="G328" s="122" t="str">
        <f>CHOOSE(MONTH(F328),"January","February","March","April","May","June","July","August","September","October","November","December")</f>
        <v>September</v>
      </c>
      <c r="H328" s="122">
        <f ca="1">DATEDIF(F328,TODAY(),"Y")</f>
        <v>9</v>
      </c>
      <c r="I328" s="122" t="s">
        <v>257</v>
      </c>
      <c r="J328" s="202">
        <v>46220</v>
      </c>
      <c r="K328" s="201">
        <v>2</v>
      </c>
    </row>
    <row r="329" spans="1:11">
      <c r="A329" s="122">
        <v>340</v>
      </c>
      <c r="B329" s="204" t="s">
        <v>481</v>
      </c>
      <c r="C329" s="122" t="s">
        <v>271</v>
      </c>
      <c r="D329" s="122" t="s">
        <v>465</v>
      </c>
      <c r="E329" s="122" t="s">
        <v>247</v>
      </c>
      <c r="F329" s="203">
        <v>35349</v>
      </c>
      <c r="G329" s="122" t="str">
        <f>CHOOSE(MONTH(F329),"January","February","March","April","May","June","July","August","September","October","November","December")</f>
        <v>October</v>
      </c>
      <c r="H329" s="122">
        <f ca="1">DATEDIF(F329,TODAY(),"Y")</f>
        <v>20</v>
      </c>
      <c r="J329" s="202">
        <v>52940</v>
      </c>
      <c r="K329" s="201">
        <v>4</v>
      </c>
    </row>
    <row r="330" spans="1:11">
      <c r="A330" s="122">
        <v>341</v>
      </c>
      <c r="B330" s="204" t="s">
        <v>615</v>
      </c>
      <c r="C330" s="122" t="s">
        <v>271</v>
      </c>
      <c r="D330" s="122" t="s">
        <v>465</v>
      </c>
      <c r="E330" s="122" t="s">
        <v>256</v>
      </c>
      <c r="F330" s="203">
        <v>33631</v>
      </c>
      <c r="G330" s="122" t="str">
        <f>CHOOSE(MONTH(F330),"January","February","March","April","May","June","July","August","September","October","November","December")</f>
        <v>January</v>
      </c>
      <c r="H330" s="122">
        <f ca="1">DATEDIF(F330,TODAY(),"Y")</f>
        <v>24</v>
      </c>
      <c r="I330" s="122" t="s">
        <v>257</v>
      </c>
      <c r="J330" s="202">
        <v>52940</v>
      </c>
      <c r="K330" s="201">
        <v>4</v>
      </c>
    </row>
    <row r="331" spans="1:11">
      <c r="A331" s="122">
        <v>342</v>
      </c>
      <c r="B331" s="204" t="s">
        <v>722</v>
      </c>
      <c r="C331" s="122" t="s">
        <v>251</v>
      </c>
      <c r="D331" s="122" t="s">
        <v>465</v>
      </c>
      <c r="E331" s="122" t="s">
        <v>261</v>
      </c>
      <c r="F331" s="203">
        <v>35807</v>
      </c>
      <c r="G331" s="122" t="str">
        <f>CHOOSE(MONTH(F331),"January","February","March","April","May","June","July","August","September","October","November","December")</f>
        <v>January</v>
      </c>
      <c r="H331" s="122">
        <f ca="1">DATEDIF(F331,TODAY(),"Y")</f>
        <v>18</v>
      </c>
      <c r="I331" s="122" t="s">
        <v>257</v>
      </c>
      <c r="J331" s="202">
        <v>48835</v>
      </c>
      <c r="K331" s="201">
        <v>5</v>
      </c>
    </row>
    <row r="332" spans="1:11">
      <c r="A332" s="122">
        <v>343</v>
      </c>
      <c r="B332" s="204" t="s">
        <v>680</v>
      </c>
      <c r="C332" s="122" t="s">
        <v>251</v>
      </c>
      <c r="D332" s="122" t="s">
        <v>465</v>
      </c>
      <c r="E332" s="122" t="s">
        <v>247</v>
      </c>
      <c r="F332" s="203">
        <v>37326</v>
      </c>
      <c r="G332" s="122" t="str">
        <f>CHOOSE(MONTH(F332),"January","February","March","April","May","June","July","August","September","October","November","December")</f>
        <v>March</v>
      </c>
      <c r="H332" s="122">
        <f ca="1">DATEDIF(F332,TODAY(),"Y")</f>
        <v>14</v>
      </c>
      <c r="J332" s="202">
        <v>52770</v>
      </c>
      <c r="K332" s="201">
        <v>2</v>
      </c>
    </row>
    <row r="333" spans="1:11">
      <c r="A333" s="122">
        <v>344</v>
      </c>
      <c r="B333" s="204" t="s">
        <v>593</v>
      </c>
      <c r="C333" s="122" t="s">
        <v>271</v>
      </c>
      <c r="D333" s="122" t="s">
        <v>465</v>
      </c>
      <c r="E333" s="122" t="s">
        <v>261</v>
      </c>
      <c r="F333" s="203">
        <v>36177</v>
      </c>
      <c r="G333" s="122" t="str">
        <f>CHOOSE(MONTH(F333),"January","February","March","April","May","June","July","August","September","October","November","December")</f>
        <v>January</v>
      </c>
      <c r="H333" s="122">
        <f ca="1">DATEDIF(F333,TODAY(),"Y")</f>
        <v>17</v>
      </c>
      <c r="I333" s="122" t="s">
        <v>267</v>
      </c>
      <c r="J333" s="202">
        <v>21670</v>
      </c>
      <c r="K333" s="201">
        <v>2</v>
      </c>
    </row>
    <row r="334" spans="1:11">
      <c r="A334" s="122">
        <v>345</v>
      </c>
      <c r="B334" s="204" t="s">
        <v>1013</v>
      </c>
      <c r="C334" s="122" t="s">
        <v>271</v>
      </c>
      <c r="D334" s="122" t="s">
        <v>465</v>
      </c>
      <c r="E334" s="122" t="s">
        <v>252</v>
      </c>
      <c r="F334" s="203">
        <v>40574</v>
      </c>
      <c r="G334" s="122" t="str">
        <f>CHOOSE(MONTH(F334),"January","February","March","April","May","June","July","August","September","October","November","December")</f>
        <v>January</v>
      </c>
      <c r="H334" s="122">
        <f ca="1">DATEDIF(F334,TODAY(),"Y")</f>
        <v>5</v>
      </c>
      <c r="J334" s="202">
        <v>28424</v>
      </c>
      <c r="K334" s="201">
        <v>4</v>
      </c>
    </row>
    <row r="335" spans="1:11">
      <c r="A335" s="122">
        <v>347</v>
      </c>
      <c r="B335" s="204" t="s">
        <v>889</v>
      </c>
      <c r="C335" s="122" t="s">
        <v>245</v>
      </c>
      <c r="D335" s="122" t="s">
        <v>618</v>
      </c>
      <c r="E335" s="122" t="s">
        <v>247</v>
      </c>
      <c r="F335" s="203">
        <v>36765</v>
      </c>
      <c r="G335" s="122" t="str">
        <f>CHOOSE(MONTH(F335),"January","February","March","April","May","June","July","August","September","October","November","December")</f>
        <v>August</v>
      </c>
      <c r="H335" s="122">
        <f ca="1">DATEDIF(F335,TODAY(),"Y")</f>
        <v>16</v>
      </c>
      <c r="J335" s="202">
        <v>74500</v>
      </c>
      <c r="K335" s="201">
        <v>4</v>
      </c>
    </row>
    <row r="336" spans="1:11">
      <c r="A336" s="122">
        <v>348</v>
      </c>
      <c r="B336" s="204" t="s">
        <v>612</v>
      </c>
      <c r="C336" s="122" t="s">
        <v>245</v>
      </c>
      <c r="D336" s="122" t="s">
        <v>618</v>
      </c>
      <c r="E336" s="122" t="s">
        <v>256</v>
      </c>
      <c r="F336" s="203">
        <v>39038</v>
      </c>
      <c r="G336" s="122" t="str">
        <f>CHOOSE(MONTH(F336),"January","February","March","April","May","June","July","August","September","October","November","December")</f>
        <v>November</v>
      </c>
      <c r="H336" s="122">
        <f ca="1">DATEDIF(F336,TODAY(),"Y")</f>
        <v>9</v>
      </c>
      <c r="I336" s="122" t="s">
        <v>276</v>
      </c>
      <c r="J336" s="202">
        <v>71400</v>
      </c>
      <c r="K336" s="201">
        <v>4</v>
      </c>
    </row>
    <row r="337" spans="1:11">
      <c r="A337" s="122">
        <v>349</v>
      </c>
      <c r="B337" s="204" t="s">
        <v>530</v>
      </c>
      <c r="C337" s="122" t="s">
        <v>280</v>
      </c>
      <c r="D337" s="122" t="s">
        <v>618</v>
      </c>
      <c r="E337" s="122" t="s">
        <v>256</v>
      </c>
      <c r="F337" s="203">
        <v>33832</v>
      </c>
      <c r="G337" s="122" t="str">
        <f>CHOOSE(MONTH(F337),"January","February","March","April","May","June","July","August","September","October","November","December")</f>
        <v>August</v>
      </c>
      <c r="H337" s="122">
        <f ca="1">DATEDIF(F337,TODAY(),"Y")</f>
        <v>24</v>
      </c>
      <c r="I337" s="122" t="s">
        <v>257</v>
      </c>
      <c r="J337" s="202">
        <v>39160</v>
      </c>
      <c r="K337" s="201">
        <v>3</v>
      </c>
    </row>
    <row r="338" spans="1:11">
      <c r="A338" s="122">
        <v>350</v>
      </c>
      <c r="B338" s="204" t="s">
        <v>368</v>
      </c>
      <c r="C338" s="122" t="s">
        <v>266</v>
      </c>
      <c r="D338" s="122" t="s">
        <v>618</v>
      </c>
      <c r="E338" s="122" t="s">
        <v>247</v>
      </c>
      <c r="F338" s="203">
        <v>40292</v>
      </c>
      <c r="G338" s="122" t="str">
        <f>CHOOSE(MONTH(F338),"January","February","March","April","May","June","July","August","September","October","November","December")</f>
        <v>April</v>
      </c>
      <c r="H338" s="122">
        <f ca="1">DATEDIF(F338,TODAY(),"Y")</f>
        <v>6</v>
      </c>
      <c r="J338" s="202">
        <v>61890</v>
      </c>
      <c r="K338" s="201">
        <v>2</v>
      </c>
    </row>
    <row r="339" spans="1:11">
      <c r="A339" s="122">
        <v>351</v>
      </c>
      <c r="B339" s="204" t="s">
        <v>281</v>
      </c>
      <c r="C339" s="122" t="s">
        <v>251</v>
      </c>
      <c r="D339" s="122" t="s">
        <v>618</v>
      </c>
      <c r="E339" s="122" t="s">
        <v>256</v>
      </c>
      <c r="F339" s="203">
        <v>37407</v>
      </c>
      <c r="G339" s="122" t="str">
        <f>CHOOSE(MONTH(F339),"January","February","March","April","May","June","July","August","September","October","November","December")</f>
        <v>May</v>
      </c>
      <c r="H339" s="122">
        <f ca="1">DATEDIF(F339,TODAY(),"Y")</f>
        <v>14</v>
      </c>
      <c r="I339" s="122" t="s">
        <v>257</v>
      </c>
      <c r="J339" s="202">
        <v>59140</v>
      </c>
      <c r="K339" s="201">
        <v>5</v>
      </c>
    </row>
    <row r="340" spans="1:11">
      <c r="A340" s="122">
        <v>352</v>
      </c>
      <c r="B340" s="204" t="s">
        <v>920</v>
      </c>
      <c r="C340" s="122" t="s">
        <v>285</v>
      </c>
      <c r="D340" s="122" t="s">
        <v>618</v>
      </c>
      <c r="E340" s="122" t="s">
        <v>256</v>
      </c>
      <c r="F340" s="203">
        <v>37936</v>
      </c>
      <c r="G340" s="122" t="str">
        <f>CHOOSE(MONTH(F340),"January","February","March","April","May","June","July","August","September","October","November","December")</f>
        <v>November</v>
      </c>
      <c r="H340" s="122">
        <f ca="1">DATEDIF(F340,TODAY(),"Y")</f>
        <v>12</v>
      </c>
      <c r="I340" s="122" t="s">
        <v>283</v>
      </c>
      <c r="J340" s="202">
        <v>53870</v>
      </c>
      <c r="K340" s="201">
        <v>2</v>
      </c>
    </row>
    <row r="341" spans="1:11">
      <c r="A341" s="122">
        <v>353</v>
      </c>
      <c r="B341" s="204" t="s">
        <v>505</v>
      </c>
      <c r="C341" s="122" t="s">
        <v>266</v>
      </c>
      <c r="D341" s="122" t="s">
        <v>618</v>
      </c>
      <c r="E341" s="122" t="s">
        <v>256</v>
      </c>
      <c r="F341" s="203">
        <v>40313</v>
      </c>
      <c r="G341" s="122" t="str">
        <f>CHOOSE(MONTH(F341),"January","February","March","April","May","June","July","August","September","October","November","December")</f>
        <v>May</v>
      </c>
      <c r="H341" s="122">
        <f ca="1">DATEDIF(F341,TODAY(),"Y")</f>
        <v>6</v>
      </c>
      <c r="I341" s="122" t="s">
        <v>283</v>
      </c>
      <c r="J341" s="202">
        <v>27250</v>
      </c>
      <c r="K341" s="201">
        <v>5</v>
      </c>
    </row>
    <row r="342" spans="1:11">
      <c r="A342" s="122">
        <v>355</v>
      </c>
      <c r="B342" s="204" t="s">
        <v>675</v>
      </c>
      <c r="C342" s="122" t="s">
        <v>245</v>
      </c>
      <c r="D342" s="122" t="s">
        <v>626</v>
      </c>
      <c r="E342" s="122" t="s">
        <v>256</v>
      </c>
      <c r="F342" s="203">
        <v>36940</v>
      </c>
      <c r="G342" s="122" t="str">
        <f>CHOOSE(MONTH(F342),"January","February","March","April","May","June","July","August","September","October","November","December")</f>
        <v>February</v>
      </c>
      <c r="H342" s="122">
        <f ca="1">DATEDIF(F342,TODAY(),"Y")</f>
        <v>15</v>
      </c>
      <c r="I342" s="122" t="s">
        <v>257</v>
      </c>
      <c r="J342" s="202">
        <v>48990</v>
      </c>
      <c r="K342" s="201">
        <v>5</v>
      </c>
    </row>
    <row r="343" spans="1:11">
      <c r="A343" s="122">
        <v>356</v>
      </c>
      <c r="B343" s="204" t="s">
        <v>761</v>
      </c>
      <c r="C343" s="122" t="s">
        <v>245</v>
      </c>
      <c r="D343" s="122" t="s">
        <v>626</v>
      </c>
      <c r="E343" s="122" t="s">
        <v>256</v>
      </c>
      <c r="F343" s="203">
        <v>35254</v>
      </c>
      <c r="G343" s="122" t="str">
        <f>CHOOSE(MONTH(F343),"January","February","March","April","May","June","July","August","September","October","November","December")</f>
        <v>July</v>
      </c>
      <c r="H343" s="122">
        <f ca="1">DATEDIF(F343,TODAY(),"Y")</f>
        <v>20</v>
      </c>
      <c r="I343" s="122" t="s">
        <v>257</v>
      </c>
      <c r="J343" s="202">
        <v>48800</v>
      </c>
      <c r="K343" s="201">
        <v>4</v>
      </c>
    </row>
    <row r="344" spans="1:11">
      <c r="A344" s="122">
        <v>357</v>
      </c>
      <c r="B344" s="204" t="s">
        <v>338</v>
      </c>
      <c r="C344" s="122" t="s">
        <v>285</v>
      </c>
      <c r="D344" s="122" t="s">
        <v>626</v>
      </c>
      <c r="E344" s="122" t="s">
        <v>256</v>
      </c>
      <c r="F344" s="203">
        <v>33606</v>
      </c>
      <c r="G344" s="122" t="str">
        <f>CHOOSE(MONTH(F344),"January","February","March","April","May","June","July","August","September","October","November","December")</f>
        <v>January</v>
      </c>
      <c r="H344" s="122">
        <f ca="1">DATEDIF(F344,TODAY(),"Y")</f>
        <v>24</v>
      </c>
      <c r="I344" s="122" t="s">
        <v>262</v>
      </c>
      <c r="J344" s="202">
        <v>87120</v>
      </c>
      <c r="K344" s="201">
        <v>3</v>
      </c>
    </row>
    <row r="345" spans="1:11">
      <c r="A345" s="122">
        <v>358</v>
      </c>
      <c r="B345" s="204" t="s">
        <v>466</v>
      </c>
      <c r="C345" s="122" t="s">
        <v>245</v>
      </c>
      <c r="D345" s="122" t="s">
        <v>626</v>
      </c>
      <c r="E345" s="122" t="s">
        <v>256</v>
      </c>
      <c r="F345" s="203">
        <v>35856</v>
      </c>
      <c r="G345" s="122" t="str">
        <f>CHOOSE(MONTH(F345),"January","February","March","April","May","June","July","August","September","October","November","December")</f>
        <v>March</v>
      </c>
      <c r="H345" s="122">
        <f ca="1">DATEDIF(F345,TODAY(),"Y")</f>
        <v>18</v>
      </c>
      <c r="I345" s="122" t="s">
        <v>276</v>
      </c>
      <c r="J345" s="202">
        <v>86830</v>
      </c>
      <c r="K345" s="201">
        <v>3</v>
      </c>
    </row>
    <row r="346" spans="1:11">
      <c r="A346" s="122">
        <v>359</v>
      </c>
      <c r="B346" s="204" t="s">
        <v>431</v>
      </c>
      <c r="C346" s="122" t="s">
        <v>285</v>
      </c>
      <c r="D346" s="122" t="s">
        <v>626</v>
      </c>
      <c r="E346" s="122" t="s">
        <v>256</v>
      </c>
      <c r="F346" s="203">
        <v>34067</v>
      </c>
      <c r="G346" s="122" t="str">
        <f>CHOOSE(MONTH(F346),"January","February","March","April","May","June","July","August","September","October","November","December")</f>
        <v>April</v>
      </c>
      <c r="H346" s="122">
        <f ca="1">DATEDIF(F346,TODAY(),"Y")</f>
        <v>23</v>
      </c>
      <c r="I346" s="122" t="s">
        <v>267</v>
      </c>
      <c r="J346" s="202">
        <v>86540</v>
      </c>
      <c r="K346" s="201">
        <v>4</v>
      </c>
    </row>
    <row r="347" spans="1:11">
      <c r="A347" s="122">
        <v>360</v>
      </c>
      <c r="B347" s="204" t="s">
        <v>987</v>
      </c>
      <c r="C347" s="122" t="s">
        <v>245</v>
      </c>
      <c r="D347" s="122" t="s">
        <v>626</v>
      </c>
      <c r="E347" s="122" t="s">
        <v>247</v>
      </c>
      <c r="F347" s="203">
        <v>36192</v>
      </c>
      <c r="G347" s="122" t="str">
        <f>CHOOSE(MONTH(F347),"January","February","March","April","May","June","July","August","September","October","November","December")</f>
        <v>February</v>
      </c>
      <c r="H347" s="122">
        <f ca="1">DATEDIF(F347,TODAY(),"Y")</f>
        <v>17</v>
      </c>
      <c r="J347" s="202">
        <v>47620</v>
      </c>
      <c r="K347" s="201">
        <v>5</v>
      </c>
    </row>
    <row r="348" spans="1:11">
      <c r="A348" s="122">
        <v>361</v>
      </c>
      <c r="B348" s="204" t="s">
        <v>524</v>
      </c>
      <c r="C348" s="122" t="s">
        <v>271</v>
      </c>
      <c r="D348" s="122" t="s">
        <v>626</v>
      </c>
      <c r="E348" s="122" t="s">
        <v>256</v>
      </c>
      <c r="F348" s="203">
        <v>35857</v>
      </c>
      <c r="G348" s="122" t="str">
        <f>CHOOSE(MONTH(F348),"January","February","March","April","May","June","July","August","September","October","November","December")</f>
        <v>March</v>
      </c>
      <c r="H348" s="122">
        <f ca="1">DATEDIF(F348,TODAY(),"Y")</f>
        <v>18</v>
      </c>
      <c r="I348" s="122" t="s">
        <v>283</v>
      </c>
      <c r="J348" s="202">
        <v>82110</v>
      </c>
      <c r="K348" s="201">
        <v>3</v>
      </c>
    </row>
    <row r="349" spans="1:11">
      <c r="A349" s="122">
        <v>362</v>
      </c>
      <c r="B349" s="204" t="s">
        <v>347</v>
      </c>
      <c r="C349" s="122" t="s">
        <v>280</v>
      </c>
      <c r="D349" s="122" t="s">
        <v>626</v>
      </c>
      <c r="E349" s="122" t="s">
        <v>247</v>
      </c>
      <c r="F349" s="203">
        <v>34947</v>
      </c>
      <c r="G349" s="122" t="str">
        <f>CHOOSE(MONTH(F349),"January","February","March","April","May","June","July","August","September","October","November","December")</f>
        <v>September</v>
      </c>
      <c r="H349" s="122">
        <f ca="1">DATEDIF(F349,TODAY(),"Y")</f>
        <v>21</v>
      </c>
      <c r="J349" s="202">
        <v>81930</v>
      </c>
      <c r="K349" s="201">
        <v>5</v>
      </c>
    </row>
    <row r="350" spans="1:11">
      <c r="A350" s="122">
        <v>363</v>
      </c>
      <c r="B350" s="204" t="s">
        <v>407</v>
      </c>
      <c r="C350" s="122" t="s">
        <v>285</v>
      </c>
      <c r="D350" s="122" t="s">
        <v>626</v>
      </c>
      <c r="E350" s="122" t="s">
        <v>256</v>
      </c>
      <c r="F350" s="203">
        <v>35547</v>
      </c>
      <c r="G350" s="122" t="str">
        <f>CHOOSE(MONTH(F350),"January","February","March","April","May","June","July","August","September","October","November","December")</f>
        <v>April</v>
      </c>
      <c r="H350" s="122">
        <f ca="1">DATEDIF(F350,TODAY(),"Y")</f>
        <v>19</v>
      </c>
      <c r="I350" s="122" t="s">
        <v>257</v>
      </c>
      <c r="J350" s="202">
        <v>81640</v>
      </c>
      <c r="K350" s="201">
        <v>4</v>
      </c>
    </row>
    <row r="351" spans="1:11">
      <c r="A351" s="122">
        <v>364</v>
      </c>
      <c r="B351" s="204" t="s">
        <v>383</v>
      </c>
      <c r="C351" s="122" t="s">
        <v>280</v>
      </c>
      <c r="D351" s="122" t="s">
        <v>626</v>
      </c>
      <c r="E351" s="122" t="s">
        <v>261</v>
      </c>
      <c r="F351" s="203">
        <v>36371</v>
      </c>
      <c r="G351" s="122" t="str">
        <f>CHOOSE(MONTH(F351),"January","February","March","April","May","June","July","August","September","October","November","December")</f>
        <v>July</v>
      </c>
      <c r="H351" s="122">
        <f ca="1">DATEDIF(F351,TODAY(),"Y")</f>
        <v>17</v>
      </c>
      <c r="I351" s="122" t="s">
        <v>283</v>
      </c>
      <c r="J351" s="202">
        <v>26790</v>
      </c>
      <c r="K351" s="201">
        <v>2</v>
      </c>
    </row>
    <row r="352" spans="1:11">
      <c r="A352" s="122">
        <v>365</v>
      </c>
      <c r="B352" s="204" t="s">
        <v>842</v>
      </c>
      <c r="C352" s="122" t="s">
        <v>285</v>
      </c>
      <c r="D352" s="122" t="s">
        <v>626</v>
      </c>
      <c r="E352" s="122" t="s">
        <v>256</v>
      </c>
      <c r="F352" s="203">
        <v>36116</v>
      </c>
      <c r="G352" s="122" t="str">
        <f>CHOOSE(MONTH(F352),"January","February","March","April","May","June","July","August","September","October","November","December")</f>
        <v>November</v>
      </c>
      <c r="H352" s="122">
        <f ca="1">DATEDIF(F352,TODAY(),"Y")</f>
        <v>17</v>
      </c>
      <c r="I352" s="122" t="s">
        <v>276</v>
      </c>
      <c r="J352" s="202">
        <v>49770</v>
      </c>
      <c r="K352" s="201">
        <v>1</v>
      </c>
    </row>
    <row r="353" spans="1:11">
      <c r="A353" s="122">
        <v>366</v>
      </c>
      <c r="B353" s="204" t="s">
        <v>903</v>
      </c>
      <c r="C353" s="122" t="s">
        <v>245</v>
      </c>
      <c r="D353" s="122" t="s">
        <v>626</v>
      </c>
      <c r="E353" s="122" t="s">
        <v>261</v>
      </c>
      <c r="F353" s="203">
        <v>36121</v>
      </c>
      <c r="G353" s="122" t="str">
        <f>CHOOSE(MONTH(F353),"January","February","March","April","May","June","July","August","September","October","November","December")</f>
        <v>November</v>
      </c>
      <c r="H353" s="122">
        <f ca="1">DATEDIF(F353,TODAY(),"Y")</f>
        <v>17</v>
      </c>
      <c r="I353" s="122" t="s">
        <v>283</v>
      </c>
      <c r="J353" s="202">
        <v>28880</v>
      </c>
      <c r="K353" s="201">
        <v>3</v>
      </c>
    </row>
    <row r="354" spans="1:11">
      <c r="A354" s="122">
        <v>367</v>
      </c>
      <c r="B354" s="204" t="s">
        <v>336</v>
      </c>
      <c r="C354" s="122" t="s">
        <v>271</v>
      </c>
      <c r="D354" s="122" t="s">
        <v>626</v>
      </c>
      <c r="E354" s="122" t="s">
        <v>261</v>
      </c>
      <c r="F354" s="203">
        <v>37166</v>
      </c>
      <c r="G354" s="122" t="str">
        <f>CHOOSE(MONTH(F354),"January","February","March","April","May","June","July","August","September","October","November","December")</f>
        <v>October</v>
      </c>
      <c r="H354" s="122">
        <f ca="1">DATEDIF(F354,TODAY(),"Y")</f>
        <v>15</v>
      </c>
      <c r="I354" s="122" t="s">
        <v>262</v>
      </c>
      <c r="J354" s="202">
        <v>47295</v>
      </c>
      <c r="K354" s="201">
        <v>4</v>
      </c>
    </row>
    <row r="355" spans="1:11">
      <c r="A355" s="122">
        <v>368</v>
      </c>
      <c r="B355" s="204" t="s">
        <v>327</v>
      </c>
      <c r="C355" s="122" t="s">
        <v>266</v>
      </c>
      <c r="D355" s="122" t="s">
        <v>626</v>
      </c>
      <c r="E355" s="122" t="s">
        <v>256</v>
      </c>
      <c r="F355" s="203">
        <v>36297</v>
      </c>
      <c r="G355" s="122" t="str">
        <f>CHOOSE(MONTH(F355),"January","February","March","April","May","June","July","August","September","October","November","December")</f>
        <v>May</v>
      </c>
      <c r="H355" s="122">
        <f ca="1">DATEDIF(F355,TODAY(),"Y")</f>
        <v>17</v>
      </c>
      <c r="I355" s="122" t="s">
        <v>257</v>
      </c>
      <c r="J355" s="202">
        <v>46030</v>
      </c>
      <c r="K355" s="201">
        <v>2</v>
      </c>
    </row>
    <row r="356" spans="1:11">
      <c r="A356" s="122">
        <v>369</v>
      </c>
      <c r="B356" s="204" t="s">
        <v>764</v>
      </c>
      <c r="C356" s="122" t="s">
        <v>266</v>
      </c>
      <c r="D356" s="122" t="s">
        <v>626</v>
      </c>
      <c r="E356" s="122" t="s">
        <v>247</v>
      </c>
      <c r="F356" s="203">
        <v>34054</v>
      </c>
      <c r="G356" s="122" t="str">
        <f>CHOOSE(MONTH(F356),"January","February","March","April","May","June","July","August","September","October","November","December")</f>
        <v>March</v>
      </c>
      <c r="H356" s="122">
        <f ca="1">DATEDIF(F356,TODAY(),"Y")</f>
        <v>23</v>
      </c>
      <c r="J356" s="202">
        <v>29000</v>
      </c>
      <c r="K356" s="201">
        <v>5</v>
      </c>
    </row>
    <row r="357" spans="1:11">
      <c r="A357" s="122">
        <v>370</v>
      </c>
      <c r="B357" s="204" t="s">
        <v>470</v>
      </c>
      <c r="C357" s="122" t="s">
        <v>271</v>
      </c>
      <c r="D357" s="122" t="s">
        <v>626</v>
      </c>
      <c r="E357" s="122" t="s">
        <v>247</v>
      </c>
      <c r="F357" s="203">
        <v>35776</v>
      </c>
      <c r="G357" s="122" t="str">
        <f>CHOOSE(MONTH(F357),"January","February","March","April","May","June","July","August","September","October","November","December")</f>
        <v>December</v>
      </c>
      <c r="H357" s="122">
        <f ca="1">DATEDIF(F357,TODAY(),"Y")</f>
        <v>18</v>
      </c>
      <c r="J357" s="202">
        <v>77930</v>
      </c>
      <c r="K357" s="201">
        <v>5</v>
      </c>
    </row>
    <row r="358" spans="1:11">
      <c r="A358" s="122">
        <v>371</v>
      </c>
      <c r="B358" s="204" t="s">
        <v>798</v>
      </c>
      <c r="C358" s="122" t="s">
        <v>271</v>
      </c>
      <c r="D358" s="122" t="s">
        <v>626</v>
      </c>
      <c r="E358" s="122" t="s">
        <v>256</v>
      </c>
      <c r="F358" s="203">
        <v>40447</v>
      </c>
      <c r="G358" s="122" t="str">
        <f>CHOOSE(MONTH(F358),"January","February","March","April","May","June","July","August","September","October","November","December")</f>
        <v>September</v>
      </c>
      <c r="H358" s="122">
        <f ca="1">DATEDIF(F358,TODAY(),"Y")</f>
        <v>6</v>
      </c>
      <c r="I358" s="122" t="s">
        <v>257</v>
      </c>
      <c r="J358" s="202">
        <v>33970</v>
      </c>
      <c r="K358" s="201">
        <v>4</v>
      </c>
    </row>
    <row r="359" spans="1:11">
      <c r="A359" s="122">
        <v>372</v>
      </c>
      <c r="B359" s="204" t="s">
        <v>333</v>
      </c>
      <c r="C359" s="122" t="s">
        <v>271</v>
      </c>
      <c r="D359" s="122" t="s">
        <v>626</v>
      </c>
      <c r="E359" s="122" t="s">
        <v>256</v>
      </c>
      <c r="F359" s="203">
        <v>40361</v>
      </c>
      <c r="G359" s="122" t="str">
        <f>CHOOSE(MONTH(F359),"January","February","March","April","May","June","July","August","September","October","November","December")</f>
        <v>July</v>
      </c>
      <c r="H359" s="122">
        <f ca="1">DATEDIF(F359,TODAY(),"Y")</f>
        <v>6</v>
      </c>
      <c r="I359" s="122" t="s">
        <v>267</v>
      </c>
      <c r="J359" s="202">
        <v>75780</v>
      </c>
      <c r="K359" s="201">
        <v>2</v>
      </c>
    </row>
    <row r="360" spans="1:11">
      <c r="A360" s="122">
        <v>373</v>
      </c>
      <c r="B360" s="204" t="s">
        <v>686</v>
      </c>
      <c r="C360" s="122" t="s">
        <v>285</v>
      </c>
      <c r="D360" s="122" t="s">
        <v>626</v>
      </c>
      <c r="E360" s="122" t="s">
        <v>256</v>
      </c>
      <c r="F360" s="203">
        <v>34034</v>
      </c>
      <c r="G360" s="122" t="str">
        <f>CHOOSE(MONTH(F360),"January","February","March","April","May","June","July","August","September","October","November","December")</f>
        <v>March</v>
      </c>
      <c r="H360" s="122">
        <f ca="1">DATEDIF(F360,TODAY(),"Y")</f>
        <v>23</v>
      </c>
      <c r="I360" s="122" t="s">
        <v>267</v>
      </c>
      <c r="J360" s="202">
        <v>45180</v>
      </c>
      <c r="K360" s="201">
        <v>5</v>
      </c>
    </row>
    <row r="361" spans="1:11">
      <c r="A361" s="122">
        <v>374</v>
      </c>
      <c r="B361" s="204" t="s">
        <v>494</v>
      </c>
      <c r="C361" s="122" t="s">
        <v>271</v>
      </c>
      <c r="D361" s="122" t="s">
        <v>626</v>
      </c>
      <c r="E361" s="122" t="s">
        <v>247</v>
      </c>
      <c r="F361" s="203">
        <v>39283</v>
      </c>
      <c r="G361" s="122" t="str">
        <f>CHOOSE(MONTH(F361),"January","February","March","April","May","June","July","August","September","October","November","December")</f>
        <v>July</v>
      </c>
      <c r="H361" s="122">
        <f ca="1">DATEDIF(F361,TODAY(),"Y")</f>
        <v>9</v>
      </c>
      <c r="J361" s="202">
        <v>74470</v>
      </c>
      <c r="K361" s="201">
        <v>3</v>
      </c>
    </row>
    <row r="362" spans="1:11">
      <c r="A362" s="122">
        <v>375</v>
      </c>
      <c r="B362" s="204" t="s">
        <v>712</v>
      </c>
      <c r="C362" s="122" t="s">
        <v>251</v>
      </c>
      <c r="D362" s="122" t="s">
        <v>626</v>
      </c>
      <c r="E362" s="122" t="s">
        <v>256</v>
      </c>
      <c r="F362" s="203">
        <v>33765</v>
      </c>
      <c r="G362" s="122" t="str">
        <f>CHOOSE(MONTH(F362),"January","February","March","April","May","June","July","August","September","October","November","December")</f>
        <v>June</v>
      </c>
      <c r="H362" s="122">
        <f ca="1">DATEDIF(F362,TODAY(),"Y")</f>
        <v>24</v>
      </c>
      <c r="I362" s="122" t="s">
        <v>262</v>
      </c>
      <c r="J362" s="202">
        <v>73930</v>
      </c>
      <c r="K362" s="201">
        <v>1</v>
      </c>
    </row>
    <row r="363" spans="1:11">
      <c r="A363" s="122">
        <v>376</v>
      </c>
      <c r="B363" s="204" t="s">
        <v>345</v>
      </c>
      <c r="C363" s="122" t="s">
        <v>245</v>
      </c>
      <c r="D363" s="122" t="s">
        <v>626</v>
      </c>
      <c r="E363" s="122" t="s">
        <v>256</v>
      </c>
      <c r="F363" s="203">
        <v>33223</v>
      </c>
      <c r="G363" s="122" t="str">
        <f>CHOOSE(MONTH(F363),"January","February","March","April","May","June","July","August","September","October","November","December")</f>
        <v>December</v>
      </c>
      <c r="H363" s="122">
        <f ca="1">DATEDIF(F363,TODAY(),"Y")</f>
        <v>25</v>
      </c>
      <c r="I363" s="122" t="s">
        <v>262</v>
      </c>
      <c r="J363" s="202">
        <v>31260</v>
      </c>
      <c r="K363" s="201">
        <v>5</v>
      </c>
    </row>
    <row r="364" spans="1:11">
      <c r="A364" s="122">
        <v>377</v>
      </c>
      <c r="B364" s="204" t="s">
        <v>826</v>
      </c>
      <c r="C364" s="122" t="s">
        <v>285</v>
      </c>
      <c r="D364" s="122" t="s">
        <v>626</v>
      </c>
      <c r="E364" s="122" t="s">
        <v>261</v>
      </c>
      <c r="F364" s="203">
        <v>38362</v>
      </c>
      <c r="G364" s="122" t="str">
        <f>CHOOSE(MONTH(F364),"January","February","March","April","May","June","July","August","September","October","November","December")</f>
        <v>January</v>
      </c>
      <c r="H364" s="122">
        <f ca="1">DATEDIF(F364,TODAY(),"Y")</f>
        <v>11</v>
      </c>
      <c r="I364" s="122" t="s">
        <v>257</v>
      </c>
      <c r="J364" s="202">
        <v>31255</v>
      </c>
      <c r="K364" s="201">
        <v>5</v>
      </c>
    </row>
    <row r="365" spans="1:11">
      <c r="A365" s="122">
        <v>378</v>
      </c>
      <c r="B365" s="204" t="s">
        <v>934</v>
      </c>
      <c r="C365" s="122" t="s">
        <v>271</v>
      </c>
      <c r="D365" s="122" t="s">
        <v>626</v>
      </c>
      <c r="E365" s="122" t="s">
        <v>261</v>
      </c>
      <c r="F365" s="203">
        <v>33319</v>
      </c>
      <c r="G365" s="122" t="str">
        <f>CHOOSE(MONTH(F365),"January","February","March","April","May","June","July","August","September","October","November","December")</f>
        <v>March</v>
      </c>
      <c r="H365" s="122">
        <f ca="1">DATEDIF(F365,TODAY(),"Y")</f>
        <v>25</v>
      </c>
      <c r="I365" s="122" t="s">
        <v>267</v>
      </c>
      <c r="J365" s="202">
        <v>13090</v>
      </c>
      <c r="K365" s="201">
        <v>4</v>
      </c>
    </row>
    <row r="366" spans="1:11">
      <c r="A366" s="122">
        <v>379</v>
      </c>
      <c r="B366" s="204" t="s">
        <v>783</v>
      </c>
      <c r="C366" s="122" t="s">
        <v>245</v>
      </c>
      <c r="D366" s="122" t="s">
        <v>626</v>
      </c>
      <c r="E366" s="122" t="s">
        <v>256</v>
      </c>
      <c r="F366" s="203">
        <v>33702</v>
      </c>
      <c r="G366" s="122" t="str">
        <f>CHOOSE(MONTH(F366),"January","February","March","April","May","June","July","August","September","October","November","December")</f>
        <v>April</v>
      </c>
      <c r="H366" s="122">
        <f ca="1">DATEDIF(F366,TODAY(),"Y")</f>
        <v>24</v>
      </c>
      <c r="I366" s="122" t="s">
        <v>257</v>
      </c>
      <c r="J366" s="202">
        <v>37020</v>
      </c>
      <c r="K366" s="201">
        <v>2</v>
      </c>
    </row>
    <row r="367" spans="1:11">
      <c r="A367" s="122">
        <v>380</v>
      </c>
      <c r="B367" s="204" t="s">
        <v>891</v>
      </c>
      <c r="C367" s="122" t="s">
        <v>245</v>
      </c>
      <c r="D367" s="122" t="s">
        <v>626</v>
      </c>
      <c r="E367" s="122" t="s">
        <v>256</v>
      </c>
      <c r="F367" s="203">
        <v>35220</v>
      </c>
      <c r="G367" s="122" t="str">
        <f>CHOOSE(MONTH(F367),"January","February","March","April","May","June","July","August","September","October","November","December")</f>
        <v>June</v>
      </c>
      <c r="H367" s="122">
        <f ca="1">DATEDIF(F367,TODAY(),"Y")</f>
        <v>20</v>
      </c>
      <c r="I367" s="122" t="s">
        <v>267</v>
      </c>
      <c r="J367" s="202">
        <v>70480</v>
      </c>
      <c r="K367" s="201">
        <v>4</v>
      </c>
    </row>
    <row r="368" spans="1:11">
      <c r="A368" s="122">
        <v>381</v>
      </c>
      <c r="B368" s="204" t="s">
        <v>565</v>
      </c>
      <c r="C368" s="122" t="s">
        <v>285</v>
      </c>
      <c r="D368" s="122" t="s">
        <v>626</v>
      </c>
      <c r="E368" s="122" t="s">
        <v>252</v>
      </c>
      <c r="F368" s="203">
        <v>33305</v>
      </c>
      <c r="G368" s="122" t="str">
        <f>CHOOSE(MONTH(F368),"January","February","March","April","May","June","July","August","September","October","November","December")</f>
        <v>March</v>
      </c>
      <c r="H368" s="122">
        <f ca="1">DATEDIF(F368,TODAY(),"Y")</f>
        <v>25</v>
      </c>
      <c r="J368" s="202">
        <v>36844</v>
      </c>
      <c r="K368" s="201">
        <v>4</v>
      </c>
    </row>
    <row r="369" spans="1:11">
      <c r="A369" s="122">
        <v>382</v>
      </c>
      <c r="B369" s="204" t="s">
        <v>794</v>
      </c>
      <c r="C369" s="122" t="s">
        <v>251</v>
      </c>
      <c r="D369" s="122" t="s">
        <v>626</v>
      </c>
      <c r="E369" s="122" t="s">
        <v>256</v>
      </c>
      <c r="F369" s="203">
        <v>33407</v>
      </c>
      <c r="G369" s="122" t="str">
        <f>CHOOSE(MONTH(F369),"January","February","March","April","May","June","July","August","September","October","November","December")</f>
        <v>June</v>
      </c>
      <c r="H369" s="122">
        <f ca="1">DATEDIF(F369,TODAY(),"Y")</f>
        <v>25</v>
      </c>
      <c r="I369" s="122" t="s">
        <v>257</v>
      </c>
      <c r="J369" s="202">
        <v>22900</v>
      </c>
      <c r="K369" s="201">
        <v>1</v>
      </c>
    </row>
    <row r="370" spans="1:11">
      <c r="A370" s="122">
        <v>383</v>
      </c>
      <c r="B370" s="204" t="s">
        <v>322</v>
      </c>
      <c r="C370" s="122" t="s">
        <v>266</v>
      </c>
      <c r="D370" s="122" t="s">
        <v>626</v>
      </c>
      <c r="E370" s="122" t="s">
        <v>256</v>
      </c>
      <c r="F370" s="203">
        <v>40083</v>
      </c>
      <c r="G370" s="122" t="str">
        <f>CHOOSE(MONTH(F370),"January","February","March","April","May","June","July","August","September","October","November","December")</f>
        <v>September</v>
      </c>
      <c r="H370" s="122">
        <f ca="1">DATEDIF(F370,TODAY(),"Y")</f>
        <v>7</v>
      </c>
      <c r="I370" s="122" t="s">
        <v>283</v>
      </c>
      <c r="J370" s="202">
        <v>44150</v>
      </c>
      <c r="K370" s="201">
        <v>4</v>
      </c>
    </row>
    <row r="371" spans="1:11">
      <c r="A371" s="122">
        <v>384</v>
      </c>
      <c r="B371" s="204" t="s">
        <v>658</v>
      </c>
      <c r="C371" s="122" t="s">
        <v>285</v>
      </c>
      <c r="D371" s="122" t="s">
        <v>626</v>
      </c>
      <c r="E371" s="122" t="s">
        <v>256</v>
      </c>
      <c r="F371" s="203">
        <v>34875</v>
      </c>
      <c r="G371" s="122" t="str">
        <f>CHOOSE(MONTH(F371),"January","February","March","April","May","June","July","August","September","October","November","December")</f>
        <v>June</v>
      </c>
      <c r="H371" s="122">
        <f ca="1">DATEDIF(F371,TODAY(),"Y")</f>
        <v>21</v>
      </c>
      <c r="I371" s="122" t="s">
        <v>276</v>
      </c>
      <c r="J371" s="202">
        <v>66920</v>
      </c>
      <c r="K371" s="201">
        <v>2</v>
      </c>
    </row>
    <row r="372" spans="1:11">
      <c r="A372" s="122">
        <v>385</v>
      </c>
      <c r="B372" s="204" t="s">
        <v>727</v>
      </c>
      <c r="C372" s="122" t="s">
        <v>271</v>
      </c>
      <c r="D372" s="122" t="s">
        <v>626</v>
      </c>
      <c r="E372" s="122" t="s">
        <v>256</v>
      </c>
      <c r="F372" s="203">
        <v>40209</v>
      </c>
      <c r="G372" s="122" t="str">
        <f>CHOOSE(MONTH(F372),"January","February","March","April","May","June","July","August","September","October","November","December")</f>
        <v>January</v>
      </c>
      <c r="H372" s="122">
        <f ca="1">DATEDIF(F372,TODAY(),"Y")</f>
        <v>6</v>
      </c>
      <c r="I372" s="122" t="s">
        <v>283</v>
      </c>
      <c r="J372" s="202">
        <v>45260</v>
      </c>
      <c r="K372" s="201">
        <v>4</v>
      </c>
    </row>
    <row r="373" spans="1:11">
      <c r="A373" s="122">
        <v>386</v>
      </c>
      <c r="B373" s="204" t="s">
        <v>1009</v>
      </c>
      <c r="C373" s="122" t="s">
        <v>285</v>
      </c>
      <c r="D373" s="122" t="s">
        <v>626</v>
      </c>
      <c r="E373" s="122" t="s">
        <v>256</v>
      </c>
      <c r="F373" s="203">
        <v>34177</v>
      </c>
      <c r="G373" s="122" t="str">
        <f>CHOOSE(MONTH(F373),"January","February","March","April","May","June","July","August","September","October","November","December")</f>
        <v>July</v>
      </c>
      <c r="H373" s="122">
        <f ca="1">DATEDIF(F373,TODAY(),"Y")</f>
        <v>23</v>
      </c>
      <c r="I373" s="122" t="s">
        <v>283</v>
      </c>
      <c r="J373" s="202">
        <v>65250</v>
      </c>
      <c r="K373" s="201">
        <v>2</v>
      </c>
    </row>
    <row r="374" spans="1:11">
      <c r="A374" s="122">
        <v>387</v>
      </c>
      <c r="B374" s="204" t="s">
        <v>807</v>
      </c>
      <c r="C374" s="122" t="s">
        <v>285</v>
      </c>
      <c r="D374" s="122" t="s">
        <v>626</v>
      </c>
      <c r="E374" s="122" t="s">
        <v>247</v>
      </c>
      <c r="F374" s="203">
        <v>35682</v>
      </c>
      <c r="G374" s="122" t="str">
        <f>CHOOSE(MONTH(F374),"January","February","March","April","May","June","July","August","September","October","November","December")</f>
        <v>September</v>
      </c>
      <c r="H374" s="122">
        <f ca="1">DATEDIF(F374,TODAY(),"Y")</f>
        <v>19</v>
      </c>
      <c r="J374" s="202">
        <v>63850</v>
      </c>
      <c r="K374" s="201">
        <v>2</v>
      </c>
    </row>
    <row r="375" spans="1:11">
      <c r="A375" s="122">
        <v>388</v>
      </c>
      <c r="B375" s="204" t="s">
        <v>503</v>
      </c>
      <c r="C375" s="122" t="s">
        <v>245</v>
      </c>
      <c r="D375" s="122" t="s">
        <v>626</v>
      </c>
      <c r="E375" s="122" t="s">
        <v>261</v>
      </c>
      <c r="F375" s="203">
        <v>39098</v>
      </c>
      <c r="G375" s="122" t="str">
        <f>CHOOSE(MONTH(F375),"January","February","March","April","May","June","July","August","September","October","November","December")</f>
        <v>January</v>
      </c>
      <c r="H375" s="122">
        <f ca="1">DATEDIF(F375,TODAY(),"Y")</f>
        <v>9</v>
      </c>
      <c r="I375" s="122" t="s">
        <v>283</v>
      </c>
      <c r="J375" s="202">
        <v>47705</v>
      </c>
      <c r="K375" s="201">
        <v>5</v>
      </c>
    </row>
    <row r="376" spans="1:11">
      <c r="A376" s="122">
        <v>389</v>
      </c>
      <c r="B376" s="204" t="s">
        <v>518</v>
      </c>
      <c r="C376" s="122" t="s">
        <v>280</v>
      </c>
      <c r="D376" s="122" t="s">
        <v>626</v>
      </c>
      <c r="E376" s="122" t="s">
        <v>256</v>
      </c>
      <c r="F376" s="203">
        <v>33247</v>
      </c>
      <c r="G376" s="122" t="str">
        <f>CHOOSE(MONTH(F376),"January","February","March","April","May","June","July","August","September","October","November","December")</f>
        <v>January</v>
      </c>
      <c r="H376" s="122">
        <f ca="1">DATEDIF(F376,TODAY(),"Y")</f>
        <v>25</v>
      </c>
      <c r="I376" s="122" t="s">
        <v>257</v>
      </c>
      <c r="J376" s="202">
        <v>62740</v>
      </c>
      <c r="K376" s="201">
        <v>4</v>
      </c>
    </row>
    <row r="377" spans="1:11">
      <c r="A377" s="122">
        <v>390</v>
      </c>
      <c r="B377" s="204" t="s">
        <v>683</v>
      </c>
      <c r="C377" s="122" t="s">
        <v>285</v>
      </c>
      <c r="D377" s="122" t="s">
        <v>626</v>
      </c>
      <c r="E377" s="122" t="s">
        <v>261</v>
      </c>
      <c r="F377" s="203">
        <v>36094</v>
      </c>
      <c r="G377" s="122" t="str">
        <f>CHOOSE(MONTH(F377),"January","February","March","April","May","June","July","August","September","October","November","December")</f>
        <v>October</v>
      </c>
      <c r="H377" s="122">
        <f ca="1">DATEDIF(F377,TODAY(),"Y")</f>
        <v>18</v>
      </c>
      <c r="I377" s="122" t="s">
        <v>257</v>
      </c>
      <c r="J377" s="202">
        <v>47885</v>
      </c>
      <c r="K377" s="201">
        <v>1</v>
      </c>
    </row>
    <row r="378" spans="1:11">
      <c r="A378" s="122">
        <v>391</v>
      </c>
      <c r="B378" s="204" t="s">
        <v>915</v>
      </c>
      <c r="C378" s="122" t="s">
        <v>251</v>
      </c>
      <c r="D378" s="122" t="s">
        <v>626</v>
      </c>
      <c r="E378" s="122" t="s">
        <v>247</v>
      </c>
      <c r="F378" s="203">
        <v>36199</v>
      </c>
      <c r="G378" s="122" t="str">
        <f>CHOOSE(MONTH(F378),"January","February","March","April","May","June","July","August","September","October","November","December")</f>
        <v>February</v>
      </c>
      <c r="H378" s="122">
        <f ca="1">DATEDIF(F378,TODAY(),"Y")</f>
        <v>17</v>
      </c>
      <c r="J378" s="202">
        <v>31270</v>
      </c>
      <c r="K378" s="201">
        <v>5</v>
      </c>
    </row>
    <row r="379" spans="1:11">
      <c r="A379" s="122">
        <v>392</v>
      </c>
      <c r="B379" s="204" t="s">
        <v>926</v>
      </c>
      <c r="C379" s="122" t="s">
        <v>285</v>
      </c>
      <c r="D379" s="122" t="s">
        <v>626</v>
      </c>
      <c r="E379" s="122" t="s">
        <v>256</v>
      </c>
      <c r="F379" s="203">
        <v>33695</v>
      </c>
      <c r="G379" s="122" t="str">
        <f>CHOOSE(MONTH(F379),"January","February","March","April","May","June","July","August","September","October","November","December")</f>
        <v>April</v>
      </c>
      <c r="H379" s="122">
        <f ca="1">DATEDIF(F379,TODAY(),"Y")</f>
        <v>24</v>
      </c>
      <c r="I379" s="122" t="s">
        <v>262</v>
      </c>
      <c r="J379" s="202">
        <v>60560</v>
      </c>
      <c r="K379" s="201">
        <v>4</v>
      </c>
    </row>
    <row r="380" spans="1:11">
      <c r="A380" s="122">
        <v>393</v>
      </c>
      <c r="B380" s="204" t="s">
        <v>392</v>
      </c>
      <c r="C380" s="122" t="s">
        <v>245</v>
      </c>
      <c r="D380" s="122" t="s">
        <v>626</v>
      </c>
      <c r="E380" s="122" t="s">
        <v>256</v>
      </c>
      <c r="F380" s="203">
        <v>39157</v>
      </c>
      <c r="G380" s="122" t="str">
        <f>CHOOSE(MONTH(F380),"January","February","March","April","May","June","July","August","September","October","November","December")</f>
        <v>March</v>
      </c>
      <c r="H380" s="122">
        <f ca="1">DATEDIF(F380,TODAY(),"Y")</f>
        <v>9</v>
      </c>
      <c r="I380" s="122" t="s">
        <v>283</v>
      </c>
      <c r="J380" s="202">
        <v>47610</v>
      </c>
      <c r="K380" s="201">
        <v>4</v>
      </c>
    </row>
    <row r="381" spans="1:11">
      <c r="A381" s="122">
        <v>394</v>
      </c>
      <c r="B381" s="204" t="s">
        <v>823</v>
      </c>
      <c r="C381" s="122" t="s">
        <v>251</v>
      </c>
      <c r="D381" s="122" t="s">
        <v>626</v>
      </c>
      <c r="E381" s="122" t="s">
        <v>256</v>
      </c>
      <c r="F381" s="203">
        <v>35282</v>
      </c>
      <c r="G381" s="122" t="str">
        <f>CHOOSE(MONTH(F381),"January","February","March","April","May","June","July","August","September","October","November","December")</f>
        <v>August</v>
      </c>
      <c r="H381" s="122">
        <f ca="1">DATEDIF(F381,TODAY(),"Y")</f>
        <v>20</v>
      </c>
      <c r="I381" s="122" t="s">
        <v>257</v>
      </c>
      <c r="J381" s="202">
        <v>57560</v>
      </c>
      <c r="K381" s="201">
        <v>4</v>
      </c>
    </row>
    <row r="382" spans="1:11">
      <c r="A382" s="122">
        <v>395</v>
      </c>
      <c r="B382" s="204" t="s">
        <v>468</v>
      </c>
      <c r="C382" s="122" t="s">
        <v>251</v>
      </c>
      <c r="D382" s="122" t="s">
        <v>626</v>
      </c>
      <c r="E382" s="122" t="s">
        <v>247</v>
      </c>
      <c r="F382" s="203">
        <v>38496</v>
      </c>
      <c r="G382" s="122" t="str">
        <f>CHOOSE(MONTH(F382),"January","February","March","April","May","June","July","August","September","October","November","December")</f>
        <v>May</v>
      </c>
      <c r="H382" s="122">
        <f ca="1">DATEDIF(F382,TODAY(),"Y")</f>
        <v>11</v>
      </c>
      <c r="J382" s="202">
        <v>57520</v>
      </c>
      <c r="K382" s="201">
        <v>3</v>
      </c>
    </row>
    <row r="383" spans="1:11">
      <c r="A383" s="122">
        <v>396</v>
      </c>
      <c r="B383" s="204" t="s">
        <v>656</v>
      </c>
      <c r="C383" s="122" t="s">
        <v>285</v>
      </c>
      <c r="D383" s="122" t="s">
        <v>626</v>
      </c>
      <c r="E383" s="122" t="s">
        <v>247</v>
      </c>
      <c r="F383" s="203">
        <v>36703</v>
      </c>
      <c r="G383" s="122" t="str">
        <f>CHOOSE(MONTH(F383),"January","February","March","April","May","June","July","August","September","October","November","December")</f>
        <v>June</v>
      </c>
      <c r="H383" s="122">
        <f ca="1">DATEDIF(F383,TODAY(),"Y")</f>
        <v>16</v>
      </c>
      <c r="J383" s="202">
        <v>50200</v>
      </c>
      <c r="K383" s="201">
        <v>4</v>
      </c>
    </row>
    <row r="384" spans="1:11">
      <c r="A384" s="122">
        <v>397</v>
      </c>
      <c r="B384" s="204" t="s">
        <v>594</v>
      </c>
      <c r="C384" s="122" t="s">
        <v>245</v>
      </c>
      <c r="D384" s="122" t="s">
        <v>626</v>
      </c>
      <c r="E384" s="122" t="s">
        <v>261</v>
      </c>
      <c r="F384" s="203">
        <v>39871</v>
      </c>
      <c r="G384" s="122" t="str">
        <f>CHOOSE(MONTH(F384),"January","February","March","April","May","June","July","August","September","October","November","December")</f>
        <v>February</v>
      </c>
      <c r="H384" s="122">
        <f ca="1">DATEDIF(F384,TODAY(),"Y")</f>
        <v>7</v>
      </c>
      <c r="I384" s="122" t="s">
        <v>267</v>
      </c>
      <c r="J384" s="202">
        <v>38575</v>
      </c>
      <c r="K384" s="201">
        <v>2</v>
      </c>
    </row>
    <row r="385" spans="1:11">
      <c r="A385" s="122">
        <v>398</v>
      </c>
      <c r="B385" s="204" t="s">
        <v>555</v>
      </c>
      <c r="C385" s="122" t="s">
        <v>280</v>
      </c>
      <c r="D385" s="122" t="s">
        <v>626</v>
      </c>
      <c r="E385" s="122" t="s">
        <v>261</v>
      </c>
      <c r="F385" s="203">
        <v>37141</v>
      </c>
      <c r="G385" s="122" t="str">
        <f>CHOOSE(MONTH(F385),"January","February","March","April","May","June","July","August","September","October","November","December")</f>
        <v>September</v>
      </c>
      <c r="H385" s="122">
        <f ca="1">DATEDIF(F385,TODAY(),"Y")</f>
        <v>15</v>
      </c>
      <c r="I385" s="122" t="s">
        <v>276</v>
      </c>
      <c r="J385" s="202">
        <v>15910</v>
      </c>
      <c r="K385" s="201">
        <v>3</v>
      </c>
    </row>
    <row r="386" spans="1:11">
      <c r="A386" s="122">
        <v>399</v>
      </c>
      <c r="B386" s="204" t="s">
        <v>485</v>
      </c>
      <c r="C386" s="122" t="s">
        <v>245</v>
      </c>
      <c r="D386" s="122" t="s">
        <v>626</v>
      </c>
      <c r="E386" s="122" t="s">
        <v>261</v>
      </c>
      <c r="F386" s="203">
        <v>37138</v>
      </c>
      <c r="G386" s="122" t="str">
        <f>CHOOSE(MONTH(F386),"January","February","March","April","May","June","July","August","September","October","November","December")</f>
        <v>September</v>
      </c>
      <c r="H386" s="122">
        <f ca="1">DATEDIF(F386,TODAY(),"Y")</f>
        <v>15</v>
      </c>
      <c r="I386" s="122" t="s">
        <v>262</v>
      </c>
      <c r="J386" s="202">
        <v>31110</v>
      </c>
      <c r="K386" s="201">
        <v>1</v>
      </c>
    </row>
    <row r="387" spans="1:11">
      <c r="A387" s="122">
        <v>400</v>
      </c>
      <c r="B387" s="204" t="s">
        <v>629</v>
      </c>
      <c r="C387" s="122" t="s">
        <v>285</v>
      </c>
      <c r="D387" s="122" t="s">
        <v>626</v>
      </c>
      <c r="E387" s="122" t="s">
        <v>256</v>
      </c>
      <c r="F387" s="203">
        <v>36463</v>
      </c>
      <c r="G387" s="122" t="str">
        <f>CHOOSE(MONTH(F387),"January","February","March","April","May","June","July","August","September","October","November","December")</f>
        <v>October</v>
      </c>
      <c r="H387" s="122">
        <f ca="1">DATEDIF(F387,TODAY(),"Y")</f>
        <v>17</v>
      </c>
      <c r="I387" s="122" t="s">
        <v>257</v>
      </c>
      <c r="J387" s="202">
        <v>44220</v>
      </c>
      <c r="K387" s="201">
        <v>3</v>
      </c>
    </row>
    <row r="388" spans="1:11">
      <c r="A388" s="122">
        <v>401</v>
      </c>
      <c r="B388" s="204" t="s">
        <v>672</v>
      </c>
      <c r="C388" s="122" t="s">
        <v>266</v>
      </c>
      <c r="D388" s="122" t="s">
        <v>626</v>
      </c>
      <c r="E388" s="122" t="s">
        <v>247</v>
      </c>
      <c r="F388" s="203">
        <v>35518</v>
      </c>
      <c r="G388" s="122" t="str">
        <f>CHOOSE(MONTH(F388),"January","February","March","April","May","June","July","August","September","October","November","December")</f>
        <v>March</v>
      </c>
      <c r="H388" s="122">
        <f ca="1">DATEDIF(F388,TODAY(),"Y")</f>
        <v>19</v>
      </c>
      <c r="J388" s="202">
        <v>53870</v>
      </c>
      <c r="K388" s="201">
        <v>2</v>
      </c>
    </row>
    <row r="389" spans="1:11">
      <c r="A389" s="122">
        <v>402</v>
      </c>
      <c r="B389" s="204" t="s">
        <v>382</v>
      </c>
      <c r="C389" s="122" t="s">
        <v>271</v>
      </c>
      <c r="D389" s="122" t="s">
        <v>626</v>
      </c>
      <c r="E389" s="122" t="s">
        <v>261</v>
      </c>
      <c r="F389" s="203">
        <v>40351</v>
      </c>
      <c r="G389" s="122" t="str">
        <f>CHOOSE(MONTH(F389),"January","February","March","April","May","June","July","August","September","October","November","December")</f>
        <v>June</v>
      </c>
      <c r="H389" s="122">
        <f ca="1">DATEDIF(F389,TODAY(),"Y")</f>
        <v>6</v>
      </c>
      <c r="I389" s="122" t="s">
        <v>283</v>
      </c>
      <c r="J389" s="202">
        <v>20040</v>
      </c>
      <c r="K389" s="201">
        <v>3</v>
      </c>
    </row>
    <row r="390" spans="1:11">
      <c r="A390" s="122">
        <v>403</v>
      </c>
      <c r="B390" s="204" t="s">
        <v>723</v>
      </c>
      <c r="C390" s="122" t="s">
        <v>245</v>
      </c>
      <c r="D390" s="122" t="s">
        <v>626</v>
      </c>
      <c r="E390" s="122" t="s">
        <v>256</v>
      </c>
      <c r="F390" s="203">
        <v>36662</v>
      </c>
      <c r="G390" s="122" t="str">
        <f>CHOOSE(MONTH(F390),"January","February","March","April","May","June","July","August","September","October","November","December")</f>
        <v>May</v>
      </c>
      <c r="H390" s="122">
        <f ca="1">DATEDIF(F390,TODAY(),"Y")</f>
        <v>16</v>
      </c>
      <c r="I390" s="122" t="s">
        <v>283</v>
      </c>
      <c r="J390" s="202">
        <v>52490</v>
      </c>
      <c r="K390" s="201">
        <v>4</v>
      </c>
    </row>
    <row r="391" spans="1:11">
      <c r="A391" s="122">
        <v>404</v>
      </c>
      <c r="B391" s="204" t="s">
        <v>649</v>
      </c>
      <c r="C391" s="122" t="s">
        <v>271</v>
      </c>
      <c r="D391" s="122" t="s">
        <v>626</v>
      </c>
      <c r="E391" s="122" t="s">
        <v>256</v>
      </c>
      <c r="F391" s="203">
        <v>36456</v>
      </c>
      <c r="G391" s="122" t="str">
        <f>CHOOSE(MONTH(F391),"January","February","March","April","May","June","July","August","September","October","November","December")</f>
        <v>October</v>
      </c>
      <c r="H391" s="122">
        <f ca="1">DATEDIF(F391,TODAY(),"Y")</f>
        <v>17</v>
      </c>
      <c r="I391" s="122" t="s">
        <v>283</v>
      </c>
      <c r="J391" s="202">
        <v>43460</v>
      </c>
      <c r="K391" s="201">
        <v>5</v>
      </c>
    </row>
    <row r="392" spans="1:11">
      <c r="A392" s="122">
        <v>405</v>
      </c>
      <c r="B392" s="204" t="s">
        <v>801</v>
      </c>
      <c r="C392" s="122" t="s">
        <v>251</v>
      </c>
      <c r="D392" s="122" t="s">
        <v>626</v>
      </c>
      <c r="E392" s="122" t="s">
        <v>256</v>
      </c>
      <c r="F392" s="203">
        <v>36392</v>
      </c>
      <c r="G392" s="122" t="str">
        <f>CHOOSE(MONTH(F392),"January","February","March","April","May","June","July","August","September","October","November","December")</f>
        <v>August</v>
      </c>
      <c r="H392" s="122">
        <f ca="1">DATEDIF(F392,TODAY(),"Y")</f>
        <v>17</v>
      </c>
      <c r="I392" s="122" t="s">
        <v>283</v>
      </c>
      <c r="J392" s="202">
        <v>51410</v>
      </c>
      <c r="K392" s="201">
        <v>4</v>
      </c>
    </row>
    <row r="393" spans="1:11">
      <c r="A393" s="122">
        <v>407</v>
      </c>
      <c r="B393" s="204" t="s">
        <v>922</v>
      </c>
      <c r="C393" s="122" t="s">
        <v>285</v>
      </c>
      <c r="D393" s="122" t="s">
        <v>678</v>
      </c>
      <c r="E393" s="122" t="s">
        <v>256</v>
      </c>
      <c r="F393" s="203">
        <v>33904</v>
      </c>
      <c r="G393" s="122" t="str">
        <f>CHOOSE(MONTH(F393),"January","February","March","April","May","June","July","August","September","October","November","December")</f>
        <v>October</v>
      </c>
      <c r="H393" s="122">
        <f ca="1">DATEDIF(F393,TODAY(),"Y")</f>
        <v>24</v>
      </c>
      <c r="I393" s="122" t="s">
        <v>262</v>
      </c>
      <c r="J393" s="202">
        <v>87980</v>
      </c>
      <c r="K393" s="201">
        <v>1</v>
      </c>
    </row>
    <row r="394" spans="1:11">
      <c r="A394" s="122">
        <v>408</v>
      </c>
      <c r="B394" s="204" t="s">
        <v>644</v>
      </c>
      <c r="C394" s="122" t="s">
        <v>280</v>
      </c>
      <c r="D394" s="122" t="s">
        <v>678</v>
      </c>
      <c r="E394" s="122" t="s">
        <v>256</v>
      </c>
      <c r="F394" s="203">
        <v>33617</v>
      </c>
      <c r="G394" s="122" t="str">
        <f>CHOOSE(MONTH(F394),"January","February","March","April","May","June","July","August","September","October","November","December")</f>
        <v>January</v>
      </c>
      <c r="H394" s="122">
        <f ca="1">DATEDIF(F394,TODAY(),"Y")</f>
        <v>24</v>
      </c>
      <c r="I394" s="122" t="s">
        <v>257</v>
      </c>
      <c r="J394" s="202">
        <v>39110</v>
      </c>
      <c r="K394" s="201">
        <v>5</v>
      </c>
    </row>
    <row r="395" spans="1:11">
      <c r="A395" s="122">
        <v>409</v>
      </c>
      <c r="B395" s="204" t="s">
        <v>441</v>
      </c>
      <c r="C395" s="122" t="s">
        <v>251</v>
      </c>
      <c r="D395" s="122" t="s">
        <v>678</v>
      </c>
      <c r="E395" s="122" t="s">
        <v>247</v>
      </c>
      <c r="F395" s="203">
        <v>35724</v>
      </c>
      <c r="G395" s="122" t="str">
        <f>CHOOSE(MONTH(F395),"January","February","March","April","May","June","July","August","September","October","November","December")</f>
        <v>October</v>
      </c>
      <c r="H395" s="122">
        <f ca="1">DATEDIF(F395,TODAY(),"Y")</f>
        <v>19</v>
      </c>
      <c r="J395" s="202">
        <v>86470</v>
      </c>
      <c r="K395" s="201">
        <v>4</v>
      </c>
    </row>
    <row r="396" spans="1:11">
      <c r="A396" s="122">
        <v>410</v>
      </c>
      <c r="B396" s="204" t="s">
        <v>542</v>
      </c>
      <c r="C396" s="122" t="s">
        <v>271</v>
      </c>
      <c r="D396" s="122" t="s">
        <v>678</v>
      </c>
      <c r="E396" s="122" t="s">
        <v>256</v>
      </c>
      <c r="F396" s="203">
        <v>36175</v>
      </c>
      <c r="G396" s="122" t="str">
        <f>CHOOSE(MONTH(F396),"January","February","March","April","May","June","July","August","September","October","November","December")</f>
        <v>January</v>
      </c>
      <c r="H396" s="122">
        <f ca="1">DATEDIF(F396,TODAY(),"Y")</f>
        <v>17</v>
      </c>
      <c r="I396" s="122" t="s">
        <v>283</v>
      </c>
      <c r="J396" s="202">
        <v>23520</v>
      </c>
      <c r="K396" s="201">
        <v>2</v>
      </c>
    </row>
    <row r="397" spans="1:11">
      <c r="A397" s="122">
        <v>411</v>
      </c>
      <c r="B397" s="204" t="s">
        <v>337</v>
      </c>
      <c r="C397" s="122" t="s">
        <v>280</v>
      </c>
      <c r="D397" s="122" t="s">
        <v>678</v>
      </c>
      <c r="E397" s="122" t="s">
        <v>261</v>
      </c>
      <c r="F397" s="203">
        <v>35150</v>
      </c>
      <c r="G397" s="122" t="str">
        <f>CHOOSE(MONTH(F397),"January","February","March","April","May","June","July","August","September","October","November","December")</f>
        <v>March</v>
      </c>
      <c r="H397" s="122">
        <f ca="1">DATEDIF(F397,TODAY(),"Y")</f>
        <v>20</v>
      </c>
      <c r="I397" s="122" t="s">
        <v>257</v>
      </c>
      <c r="J397" s="202">
        <v>49405</v>
      </c>
      <c r="K397" s="201">
        <v>4</v>
      </c>
    </row>
    <row r="398" spans="1:11">
      <c r="A398" s="122">
        <v>412</v>
      </c>
      <c r="B398" s="204" t="s">
        <v>720</v>
      </c>
      <c r="C398" s="122" t="s">
        <v>285</v>
      </c>
      <c r="D398" s="122" t="s">
        <v>678</v>
      </c>
      <c r="E398" s="122" t="s">
        <v>256</v>
      </c>
      <c r="F398" s="203">
        <v>35121</v>
      </c>
      <c r="G398" s="122" t="str">
        <f>CHOOSE(MONTH(F398),"January","February","March","April","May","June","July","August","September","October","November","December")</f>
        <v>February</v>
      </c>
      <c r="H398" s="122">
        <f ca="1">DATEDIF(F398,TODAY(),"Y")</f>
        <v>20</v>
      </c>
      <c r="I398" s="122" t="s">
        <v>283</v>
      </c>
      <c r="J398" s="202">
        <v>22860</v>
      </c>
      <c r="K398" s="201">
        <v>5</v>
      </c>
    </row>
    <row r="399" spans="1:11">
      <c r="A399" s="122">
        <v>413</v>
      </c>
      <c r="B399" s="204" t="s">
        <v>300</v>
      </c>
      <c r="C399" s="122" t="s">
        <v>285</v>
      </c>
      <c r="D399" s="122" t="s">
        <v>678</v>
      </c>
      <c r="E399" s="122" t="s">
        <v>247</v>
      </c>
      <c r="F399" s="203">
        <v>37803</v>
      </c>
      <c r="G399" s="122" t="str">
        <f>CHOOSE(MONTH(F399),"January","February","March","April","May","June","July","August","September","October","November","December")</f>
        <v>July</v>
      </c>
      <c r="H399" s="122">
        <f ca="1">DATEDIF(F399,TODAY(),"Y")</f>
        <v>13</v>
      </c>
      <c r="J399" s="202">
        <v>78100</v>
      </c>
      <c r="K399" s="201">
        <v>3</v>
      </c>
    </row>
    <row r="400" spans="1:11">
      <c r="A400" s="122">
        <v>414</v>
      </c>
      <c r="B400" s="204" t="s">
        <v>622</v>
      </c>
      <c r="C400" s="122" t="s">
        <v>271</v>
      </c>
      <c r="D400" s="122" t="s">
        <v>678</v>
      </c>
      <c r="E400" s="122" t="s">
        <v>247</v>
      </c>
      <c r="F400" s="203">
        <v>40372</v>
      </c>
      <c r="G400" s="122" t="str">
        <f>CHOOSE(MONTH(F400),"January","February","March","April","May","June","July","August","September","October","November","December")</f>
        <v>July</v>
      </c>
      <c r="H400" s="122">
        <f ca="1">DATEDIF(F400,TODAY(),"Y")</f>
        <v>6</v>
      </c>
      <c r="J400" s="202">
        <v>75100</v>
      </c>
      <c r="K400" s="201">
        <v>4</v>
      </c>
    </row>
    <row r="401" spans="1:11">
      <c r="A401" s="122">
        <v>415</v>
      </c>
      <c r="B401" s="204" t="s">
        <v>326</v>
      </c>
      <c r="C401" s="122" t="s">
        <v>251</v>
      </c>
      <c r="D401" s="122" t="s">
        <v>678</v>
      </c>
      <c r="E401" s="122" t="s">
        <v>247</v>
      </c>
      <c r="F401" s="203">
        <v>40333</v>
      </c>
      <c r="G401" s="122" t="str">
        <f>CHOOSE(MONTH(F401),"January","February","March","April","May","June","July","August","September","October","November","December")</f>
        <v>June</v>
      </c>
      <c r="H401" s="122">
        <f ca="1">DATEDIF(F401,TODAY(),"Y")</f>
        <v>6</v>
      </c>
      <c r="J401" s="202">
        <v>74020</v>
      </c>
      <c r="K401" s="201">
        <v>2</v>
      </c>
    </row>
    <row r="402" spans="1:11">
      <c r="A402" s="122">
        <v>416</v>
      </c>
      <c r="B402" s="204" t="s">
        <v>353</v>
      </c>
      <c r="C402" s="122" t="s">
        <v>271</v>
      </c>
      <c r="D402" s="122" t="s">
        <v>678</v>
      </c>
      <c r="E402" s="122" t="s">
        <v>261</v>
      </c>
      <c r="F402" s="203">
        <v>35961</v>
      </c>
      <c r="G402" s="122" t="str">
        <f>CHOOSE(MONTH(F402),"January","February","March","April","May","June","July","August","September","October","November","December")</f>
        <v>June</v>
      </c>
      <c r="H402" s="122">
        <f ca="1">DATEDIF(F402,TODAY(),"Y")</f>
        <v>18</v>
      </c>
      <c r="I402" s="122" t="s">
        <v>257</v>
      </c>
      <c r="J402" s="202">
        <v>20500</v>
      </c>
      <c r="K402" s="201">
        <v>3</v>
      </c>
    </row>
    <row r="403" spans="1:11">
      <c r="A403" s="122">
        <v>417</v>
      </c>
      <c r="B403" s="204" t="s">
        <v>409</v>
      </c>
      <c r="C403" s="122" t="s">
        <v>280</v>
      </c>
      <c r="D403" s="122" t="s">
        <v>678</v>
      </c>
      <c r="E403" s="122" t="s">
        <v>256</v>
      </c>
      <c r="F403" s="203">
        <v>36567</v>
      </c>
      <c r="G403" s="122" t="str">
        <f>CHOOSE(MONTH(F403),"January","February","March","April","May","June","July","August","September","October","November","December")</f>
        <v>February</v>
      </c>
      <c r="H403" s="122">
        <f ca="1">DATEDIF(F403,TODAY(),"Y")</f>
        <v>16</v>
      </c>
      <c r="I403" s="122" t="s">
        <v>276</v>
      </c>
      <c r="J403" s="202">
        <v>45450</v>
      </c>
      <c r="K403" s="201">
        <v>5</v>
      </c>
    </row>
    <row r="404" spans="1:11">
      <c r="A404" s="122">
        <v>418</v>
      </c>
      <c r="B404" s="204" t="s">
        <v>814</v>
      </c>
      <c r="C404" s="122" t="s">
        <v>245</v>
      </c>
      <c r="D404" s="122" t="s">
        <v>678</v>
      </c>
      <c r="E404" s="122" t="s">
        <v>247</v>
      </c>
      <c r="F404" s="203">
        <v>36047</v>
      </c>
      <c r="G404" s="122" t="str">
        <f>CHOOSE(MONTH(F404),"January","February","March","April","May","June","July","August","September","October","November","December")</f>
        <v>September</v>
      </c>
      <c r="H404" s="122">
        <f ca="1">DATEDIF(F404,TODAY(),"Y")</f>
        <v>18</v>
      </c>
      <c r="J404" s="202">
        <v>72480</v>
      </c>
      <c r="K404" s="201">
        <v>2</v>
      </c>
    </row>
    <row r="405" spans="1:11">
      <c r="A405" s="122">
        <v>419</v>
      </c>
      <c r="B405" s="204" t="s">
        <v>551</v>
      </c>
      <c r="C405" s="122" t="s">
        <v>271</v>
      </c>
      <c r="D405" s="122" t="s">
        <v>678</v>
      </c>
      <c r="E405" s="122" t="s">
        <v>256</v>
      </c>
      <c r="F405" s="203">
        <v>36898</v>
      </c>
      <c r="G405" s="122" t="str">
        <f>CHOOSE(MONTH(F405),"January","February","March","April","May","June","July","August","September","October","November","December")</f>
        <v>January</v>
      </c>
      <c r="H405" s="122">
        <f ca="1">DATEDIF(F405,TODAY(),"Y")</f>
        <v>15</v>
      </c>
      <c r="I405" s="122" t="s">
        <v>257</v>
      </c>
      <c r="J405" s="202">
        <v>71820</v>
      </c>
      <c r="K405" s="201">
        <v>2</v>
      </c>
    </row>
    <row r="406" spans="1:11">
      <c r="A406" s="122">
        <v>420</v>
      </c>
      <c r="B406" s="204" t="s">
        <v>473</v>
      </c>
      <c r="C406" s="122" t="s">
        <v>266</v>
      </c>
      <c r="D406" s="122" t="s">
        <v>678</v>
      </c>
      <c r="E406" s="122" t="s">
        <v>256</v>
      </c>
      <c r="F406" s="203">
        <v>36466</v>
      </c>
      <c r="G406" s="122" t="str">
        <f>CHOOSE(MONTH(F406),"January","February","March","April","May","June","July","August","September","October","November","December")</f>
        <v>November</v>
      </c>
      <c r="H406" s="122">
        <f ca="1">DATEDIF(F406,TODAY(),"Y")</f>
        <v>17</v>
      </c>
      <c r="I406" s="122" t="s">
        <v>283</v>
      </c>
      <c r="J406" s="202">
        <v>68410</v>
      </c>
      <c r="K406" s="201">
        <v>5</v>
      </c>
    </row>
    <row r="407" spans="1:11">
      <c r="A407" s="122">
        <v>421</v>
      </c>
      <c r="B407" s="204" t="s">
        <v>637</v>
      </c>
      <c r="C407" s="122" t="s">
        <v>271</v>
      </c>
      <c r="D407" s="122" t="s">
        <v>678</v>
      </c>
      <c r="E407" s="122" t="s">
        <v>252</v>
      </c>
      <c r="F407" s="203">
        <v>35381</v>
      </c>
      <c r="G407" s="122" t="str">
        <f>CHOOSE(MONTH(F407),"January","February","March","April","May","June","July","August","September","October","November","December")</f>
        <v>November</v>
      </c>
      <c r="H407" s="122">
        <f ca="1">DATEDIF(F407,TODAY(),"Y")</f>
        <v>19</v>
      </c>
      <c r="J407" s="202">
        <v>35312</v>
      </c>
      <c r="K407" s="201">
        <v>3</v>
      </c>
    </row>
    <row r="408" spans="1:11">
      <c r="A408" s="122">
        <v>422</v>
      </c>
      <c r="B408" s="204" t="s">
        <v>909</v>
      </c>
      <c r="C408" s="122" t="s">
        <v>280</v>
      </c>
      <c r="D408" s="122" t="s">
        <v>678</v>
      </c>
      <c r="E408" s="122" t="s">
        <v>256</v>
      </c>
      <c r="F408" s="203">
        <v>40533</v>
      </c>
      <c r="G408" s="122" t="str">
        <f>CHOOSE(MONTH(F408),"January","February","March","April","May","June","July","August","September","October","November","December")</f>
        <v>December</v>
      </c>
      <c r="H408" s="122">
        <f ca="1">DATEDIF(F408,TODAY(),"Y")</f>
        <v>5</v>
      </c>
      <c r="I408" s="122" t="s">
        <v>276</v>
      </c>
      <c r="J408" s="202">
        <v>62180</v>
      </c>
      <c r="K408" s="201">
        <v>2</v>
      </c>
    </row>
    <row r="409" spans="1:11">
      <c r="A409" s="122">
        <v>423</v>
      </c>
      <c r="B409" s="204" t="s">
        <v>728</v>
      </c>
      <c r="C409" s="122" t="s">
        <v>245</v>
      </c>
      <c r="D409" s="122" t="s">
        <v>678</v>
      </c>
      <c r="E409" s="122" t="s">
        <v>247</v>
      </c>
      <c r="F409" s="203">
        <v>37236</v>
      </c>
      <c r="G409" s="122" t="str">
        <f>CHOOSE(MONTH(F409),"January","February","March","April","May","June","July","August","September","October","November","December")</f>
        <v>December</v>
      </c>
      <c r="H409" s="122">
        <f ca="1">DATEDIF(F409,TODAY(),"Y")</f>
        <v>14</v>
      </c>
      <c r="J409" s="202">
        <v>29540</v>
      </c>
      <c r="K409" s="201">
        <v>3</v>
      </c>
    </row>
    <row r="410" spans="1:11">
      <c r="A410" s="122">
        <v>424</v>
      </c>
      <c r="B410" s="204" t="s">
        <v>967</v>
      </c>
      <c r="C410" s="122" t="s">
        <v>285</v>
      </c>
      <c r="D410" s="122" t="s">
        <v>678</v>
      </c>
      <c r="E410" s="122" t="s">
        <v>256</v>
      </c>
      <c r="F410" s="203">
        <v>33741</v>
      </c>
      <c r="G410" s="122" t="str">
        <f>CHOOSE(MONTH(F410),"January","February","March","April","May","June","July","August","September","October","November","December")</f>
        <v>May</v>
      </c>
      <c r="H410" s="122">
        <f ca="1">DATEDIF(F410,TODAY(),"Y")</f>
        <v>24</v>
      </c>
      <c r="I410" s="122" t="s">
        <v>257</v>
      </c>
      <c r="J410" s="202">
        <v>48550</v>
      </c>
      <c r="K410" s="201">
        <v>5</v>
      </c>
    </row>
    <row r="411" spans="1:11">
      <c r="A411" s="122">
        <v>425</v>
      </c>
      <c r="B411" s="204" t="s">
        <v>299</v>
      </c>
      <c r="C411" s="122" t="s">
        <v>271</v>
      </c>
      <c r="D411" s="122" t="s">
        <v>678</v>
      </c>
      <c r="E411" s="122" t="s">
        <v>252</v>
      </c>
      <c r="F411" s="203">
        <v>36084</v>
      </c>
      <c r="G411" s="122" t="str">
        <f>CHOOSE(MONTH(F411),"January","February","March","April","May","June","July","August","September","October","November","December")</f>
        <v>October</v>
      </c>
      <c r="H411" s="122">
        <f ca="1">DATEDIF(F411,TODAY(),"Y")</f>
        <v>18</v>
      </c>
      <c r="J411" s="202">
        <v>21668</v>
      </c>
      <c r="K411" s="201">
        <v>4</v>
      </c>
    </row>
    <row r="412" spans="1:11">
      <c r="A412" s="122">
        <v>426</v>
      </c>
      <c r="B412" s="204" t="s">
        <v>387</v>
      </c>
      <c r="C412" s="122" t="s">
        <v>266</v>
      </c>
      <c r="D412" s="122" t="s">
        <v>678</v>
      </c>
      <c r="E412" s="122" t="s">
        <v>252</v>
      </c>
      <c r="F412" s="203">
        <v>37827</v>
      </c>
      <c r="G412" s="122" t="str">
        <f>CHOOSE(MONTH(F412),"January","February","March","April","May","June","July","August","September","October","November","December")</f>
        <v>July</v>
      </c>
      <c r="H412" s="122">
        <f ca="1">DATEDIF(F412,TODAY(),"Y")</f>
        <v>13</v>
      </c>
      <c r="J412" s="202">
        <v>11044</v>
      </c>
      <c r="K412" s="201">
        <v>2</v>
      </c>
    </row>
    <row r="413" spans="1:11">
      <c r="A413" s="122">
        <v>427</v>
      </c>
      <c r="B413" s="204" t="s">
        <v>852</v>
      </c>
      <c r="C413" s="122" t="s">
        <v>285</v>
      </c>
      <c r="D413" s="122" t="s">
        <v>678</v>
      </c>
      <c r="E413" s="122" t="s">
        <v>247</v>
      </c>
      <c r="F413" s="203">
        <v>35447</v>
      </c>
      <c r="G413" s="122" t="str">
        <f>CHOOSE(MONTH(F413),"January","February","March","April","May","June","July","August","September","October","November","December")</f>
        <v>January</v>
      </c>
      <c r="H413" s="122">
        <f ca="1">DATEDIF(F413,TODAY(),"Y")</f>
        <v>19</v>
      </c>
      <c r="J413" s="202">
        <v>54190</v>
      </c>
      <c r="K413" s="201">
        <v>4</v>
      </c>
    </row>
    <row r="414" spans="1:11">
      <c r="A414" s="122">
        <v>429</v>
      </c>
      <c r="B414" s="204" t="s">
        <v>554</v>
      </c>
      <c r="C414" s="122" t="s">
        <v>245</v>
      </c>
      <c r="D414" s="122" t="s">
        <v>700</v>
      </c>
      <c r="E414" s="122" t="s">
        <v>247</v>
      </c>
      <c r="F414" s="203">
        <v>35451</v>
      </c>
      <c r="G414" s="122" t="str">
        <f>CHOOSE(MONTH(F414),"January","February","March","April","May","June","July","August","September","October","November","December")</f>
        <v>January</v>
      </c>
      <c r="H414" s="122">
        <f ca="1">DATEDIF(F414,TODAY(),"Y")</f>
        <v>19</v>
      </c>
      <c r="J414" s="202">
        <v>25120</v>
      </c>
      <c r="K414" s="201">
        <v>2</v>
      </c>
    </row>
    <row r="415" spans="1:11">
      <c r="A415" s="122">
        <v>430</v>
      </c>
      <c r="B415" s="204" t="s">
        <v>834</v>
      </c>
      <c r="C415" s="122" t="s">
        <v>271</v>
      </c>
      <c r="D415" s="122" t="s">
        <v>700</v>
      </c>
      <c r="E415" s="122" t="s">
        <v>247</v>
      </c>
      <c r="F415" s="203">
        <v>35567</v>
      </c>
      <c r="G415" s="122" t="str">
        <f>CHOOSE(MONTH(F415),"January","February","March","April","May","June","July","August","September","October","November","December")</f>
        <v>May</v>
      </c>
      <c r="H415" s="122">
        <f ca="1">DATEDIF(F415,TODAY(),"Y")</f>
        <v>19</v>
      </c>
      <c r="J415" s="202">
        <v>44820</v>
      </c>
      <c r="K415" s="201">
        <v>4</v>
      </c>
    </row>
    <row r="416" spans="1:11">
      <c r="A416" s="122">
        <v>431</v>
      </c>
      <c r="B416" s="204" t="s">
        <v>464</v>
      </c>
      <c r="C416" s="122" t="s">
        <v>245</v>
      </c>
      <c r="D416" s="122" t="s">
        <v>700</v>
      </c>
      <c r="E416" s="122" t="s">
        <v>247</v>
      </c>
      <c r="F416" s="203">
        <v>34408</v>
      </c>
      <c r="G416" s="122" t="str">
        <f>CHOOSE(MONTH(F416),"January","February","March","April","May","June","July","August","September","October","November","December")</f>
        <v>March</v>
      </c>
      <c r="H416" s="122">
        <f ca="1">DATEDIF(F416,TODAY(),"Y")</f>
        <v>22</v>
      </c>
      <c r="J416" s="202">
        <v>71700</v>
      </c>
      <c r="K416" s="201">
        <v>2</v>
      </c>
    </row>
    <row r="417" spans="1:11">
      <c r="A417" s="122">
        <v>432</v>
      </c>
      <c r="B417" s="204" t="s">
        <v>291</v>
      </c>
      <c r="C417" s="122" t="s">
        <v>285</v>
      </c>
      <c r="D417" s="122" t="s">
        <v>700</v>
      </c>
      <c r="E417" s="122" t="s">
        <v>256</v>
      </c>
      <c r="F417" s="203">
        <v>34814</v>
      </c>
      <c r="G417" s="122" t="str">
        <f>CHOOSE(MONTH(F417),"January","February","March","April","May","June","July","August","September","October","November","December")</f>
        <v>April</v>
      </c>
      <c r="H417" s="122">
        <f ca="1">DATEDIF(F417,TODAY(),"Y")</f>
        <v>21</v>
      </c>
      <c r="I417" s="122" t="s">
        <v>257</v>
      </c>
      <c r="J417" s="202">
        <v>63190</v>
      </c>
      <c r="K417" s="201">
        <v>1</v>
      </c>
    </row>
    <row r="418" spans="1:11">
      <c r="A418" s="122">
        <v>434</v>
      </c>
      <c r="B418" s="204" t="s">
        <v>451</v>
      </c>
      <c r="C418" s="122" t="s">
        <v>285</v>
      </c>
      <c r="D418" s="122" t="s">
        <v>705</v>
      </c>
      <c r="E418" s="122" t="s">
        <v>256</v>
      </c>
      <c r="F418" s="203">
        <v>39485</v>
      </c>
      <c r="G418" s="122" t="str">
        <f>CHOOSE(MONTH(F418),"January","February","March","April","May","June","July","August","September","October","November","December")</f>
        <v>February</v>
      </c>
      <c r="H418" s="122">
        <f ca="1">DATEDIF(F418,TODAY(),"Y")</f>
        <v>8</v>
      </c>
      <c r="I418" s="122" t="s">
        <v>257</v>
      </c>
      <c r="J418" s="202">
        <v>88850</v>
      </c>
      <c r="K418" s="201">
        <v>3</v>
      </c>
    </row>
    <row r="419" spans="1:11">
      <c r="A419" s="122">
        <v>435</v>
      </c>
      <c r="B419" s="204" t="s">
        <v>646</v>
      </c>
      <c r="C419" s="122" t="s">
        <v>280</v>
      </c>
      <c r="D419" s="122" t="s">
        <v>705</v>
      </c>
      <c r="E419" s="122" t="s">
        <v>256</v>
      </c>
      <c r="F419" s="203">
        <v>34702</v>
      </c>
      <c r="G419" s="122" t="str">
        <f>CHOOSE(MONTH(F419),"January","February","March","April","May","June","July","August","September","October","November","December")</f>
        <v>January</v>
      </c>
      <c r="H419" s="122">
        <f ca="1">DATEDIF(F419,TODAY(),"Y")</f>
        <v>21</v>
      </c>
      <c r="I419" s="122" t="s">
        <v>257</v>
      </c>
      <c r="J419" s="202">
        <v>87030</v>
      </c>
      <c r="K419" s="201">
        <v>3</v>
      </c>
    </row>
    <row r="420" spans="1:11">
      <c r="A420" s="122">
        <v>436</v>
      </c>
      <c r="B420" s="204" t="s">
        <v>888</v>
      </c>
      <c r="C420" s="122" t="s">
        <v>245</v>
      </c>
      <c r="D420" s="122" t="s">
        <v>705</v>
      </c>
      <c r="E420" s="122" t="s">
        <v>261</v>
      </c>
      <c r="F420" s="203">
        <v>37470</v>
      </c>
      <c r="G420" s="122" t="str">
        <f>CHOOSE(MONTH(F420),"January","February","March","April","May","June","July","August","September","October","November","December")</f>
        <v>August</v>
      </c>
      <c r="H420" s="122">
        <f ca="1">DATEDIF(F420,TODAY(),"Y")</f>
        <v>14</v>
      </c>
      <c r="I420" s="122" t="s">
        <v>257</v>
      </c>
      <c r="J420" s="202">
        <v>33810</v>
      </c>
      <c r="K420" s="201">
        <v>5</v>
      </c>
    </row>
    <row r="421" spans="1:11">
      <c r="A421" s="122">
        <v>437</v>
      </c>
      <c r="B421" s="204" t="s">
        <v>688</v>
      </c>
      <c r="C421" s="122" t="s">
        <v>271</v>
      </c>
      <c r="D421" s="122" t="s">
        <v>705</v>
      </c>
      <c r="E421" s="122" t="s">
        <v>256</v>
      </c>
      <c r="F421" s="203">
        <v>38227</v>
      </c>
      <c r="G421" s="122" t="str">
        <f>CHOOSE(MONTH(F421),"January","February","March","April","May","June","July","August","September","October","November","December")</f>
        <v>August</v>
      </c>
      <c r="H421" s="122">
        <f ca="1">DATEDIF(F421,TODAY(),"Y")</f>
        <v>12</v>
      </c>
      <c r="I421" s="122" t="s">
        <v>283</v>
      </c>
      <c r="J421" s="202">
        <v>86200</v>
      </c>
      <c r="K421" s="201">
        <v>3</v>
      </c>
    </row>
    <row r="422" spans="1:11">
      <c r="A422" s="122">
        <v>438</v>
      </c>
      <c r="B422" s="204" t="s">
        <v>928</v>
      </c>
      <c r="C422" s="122" t="s">
        <v>271</v>
      </c>
      <c r="D422" s="122" t="s">
        <v>705</v>
      </c>
      <c r="E422" s="122" t="s">
        <v>252</v>
      </c>
      <c r="F422" s="203">
        <v>36329</v>
      </c>
      <c r="G422" s="122" t="str">
        <f>CHOOSE(MONTH(F422),"January","February","March","April","May","June","July","August","September","October","November","December")</f>
        <v>June</v>
      </c>
      <c r="H422" s="122">
        <f ca="1">DATEDIF(F422,TODAY(),"Y")</f>
        <v>17</v>
      </c>
      <c r="J422" s="202">
        <v>39764</v>
      </c>
      <c r="K422" s="201">
        <v>1</v>
      </c>
    </row>
    <row r="423" spans="1:11">
      <c r="A423" s="122">
        <v>439</v>
      </c>
      <c r="B423" s="204" t="s">
        <v>874</v>
      </c>
      <c r="C423" s="122" t="s">
        <v>251</v>
      </c>
      <c r="D423" s="122" t="s">
        <v>705</v>
      </c>
      <c r="E423" s="122" t="s">
        <v>261</v>
      </c>
      <c r="F423" s="203">
        <v>39299</v>
      </c>
      <c r="G423" s="122" t="str">
        <f>CHOOSE(MONTH(F423),"January","February","March","April","May","June","July","August","September","October","November","December")</f>
        <v>August</v>
      </c>
      <c r="H423" s="122">
        <f ca="1">DATEDIF(F423,TODAY(),"Y")</f>
        <v>9</v>
      </c>
      <c r="I423" s="122" t="s">
        <v>276</v>
      </c>
      <c r="J423" s="202">
        <v>47760</v>
      </c>
      <c r="K423" s="201">
        <v>3</v>
      </c>
    </row>
    <row r="424" spans="1:11">
      <c r="A424" s="122">
        <v>440</v>
      </c>
      <c r="B424" s="204" t="s">
        <v>991</v>
      </c>
      <c r="C424" s="122" t="s">
        <v>251</v>
      </c>
      <c r="D424" s="122" t="s">
        <v>705</v>
      </c>
      <c r="E424" s="122" t="s">
        <v>247</v>
      </c>
      <c r="F424" s="203">
        <v>40620</v>
      </c>
      <c r="G424" s="122" t="str">
        <f>CHOOSE(MONTH(F424),"January","February","March","April","May","June","July","August","September","October","November","December")</f>
        <v>March</v>
      </c>
      <c r="H424" s="122">
        <f ca="1">DATEDIF(F424,TODAY(),"Y")</f>
        <v>5</v>
      </c>
      <c r="J424" s="202">
        <v>84300</v>
      </c>
      <c r="K424" s="201">
        <v>1</v>
      </c>
    </row>
    <row r="425" spans="1:11">
      <c r="A425" s="122">
        <v>441</v>
      </c>
      <c r="B425" s="204" t="s">
        <v>408</v>
      </c>
      <c r="C425" s="122" t="s">
        <v>271</v>
      </c>
      <c r="D425" s="122" t="s">
        <v>705</v>
      </c>
      <c r="E425" s="122" t="s">
        <v>252</v>
      </c>
      <c r="F425" s="203">
        <v>40452</v>
      </c>
      <c r="G425" s="122" t="str">
        <f>CHOOSE(MONTH(F425),"January","February","March","April","May","June","July","August","September","October","November","December")</f>
        <v>October</v>
      </c>
      <c r="H425" s="122">
        <f ca="1">DATEDIF(F425,TODAY(),"Y")</f>
        <v>6</v>
      </c>
      <c r="J425" s="202">
        <v>9180</v>
      </c>
      <c r="K425" s="201">
        <v>3</v>
      </c>
    </row>
    <row r="426" spans="1:11">
      <c r="A426" s="122">
        <v>442</v>
      </c>
      <c r="B426" s="204" t="s">
        <v>600</v>
      </c>
      <c r="C426" s="122" t="s">
        <v>245</v>
      </c>
      <c r="D426" s="122" t="s">
        <v>705</v>
      </c>
      <c r="E426" s="122" t="s">
        <v>256</v>
      </c>
      <c r="F426" s="203">
        <v>39657</v>
      </c>
      <c r="G426" s="122" t="str">
        <f>CHOOSE(MONTH(F426),"January","February","March","April","May","June","July","August","September","October","November","December")</f>
        <v>July</v>
      </c>
      <c r="H426" s="122">
        <f ca="1">DATEDIF(F426,TODAY(),"Y")</f>
        <v>8</v>
      </c>
      <c r="I426" s="122" t="s">
        <v>276</v>
      </c>
      <c r="J426" s="202">
        <v>80880</v>
      </c>
      <c r="K426" s="201">
        <v>1</v>
      </c>
    </row>
    <row r="427" spans="1:11">
      <c r="A427" s="122">
        <v>443</v>
      </c>
      <c r="B427" s="204" t="s">
        <v>947</v>
      </c>
      <c r="C427" s="122" t="s">
        <v>271</v>
      </c>
      <c r="D427" s="122" t="s">
        <v>705</v>
      </c>
      <c r="E427" s="122" t="s">
        <v>252</v>
      </c>
      <c r="F427" s="203">
        <v>37711</v>
      </c>
      <c r="G427" s="122" t="str">
        <f>CHOOSE(MONTH(F427),"January","February","March","April","May","June","July","August","September","October","November","December")</f>
        <v>March</v>
      </c>
      <c r="H427" s="122">
        <f ca="1">DATEDIF(F427,TODAY(),"Y")</f>
        <v>13</v>
      </c>
      <c r="J427" s="202">
        <v>21648</v>
      </c>
      <c r="K427" s="201">
        <v>2</v>
      </c>
    </row>
    <row r="428" spans="1:11">
      <c r="A428" s="122">
        <v>444</v>
      </c>
      <c r="B428" s="204" t="s">
        <v>535</v>
      </c>
      <c r="C428" s="122" t="s">
        <v>266</v>
      </c>
      <c r="D428" s="122" t="s">
        <v>705</v>
      </c>
      <c r="E428" s="122" t="s">
        <v>256</v>
      </c>
      <c r="F428" s="203">
        <v>39678</v>
      </c>
      <c r="G428" s="122" t="str">
        <f>CHOOSE(MONTH(F428),"January","February","March","April","May","June","July","August","September","October","November","December")</f>
        <v>August</v>
      </c>
      <c r="H428" s="122">
        <f ca="1">DATEDIF(F428,TODAY(),"Y")</f>
        <v>8</v>
      </c>
      <c r="I428" s="122" t="s">
        <v>283</v>
      </c>
      <c r="J428" s="202">
        <v>80090</v>
      </c>
      <c r="K428" s="201">
        <v>2</v>
      </c>
    </row>
    <row r="429" spans="1:11">
      <c r="A429" s="122">
        <v>445</v>
      </c>
      <c r="B429" s="204" t="s">
        <v>849</v>
      </c>
      <c r="C429" s="122" t="s">
        <v>285</v>
      </c>
      <c r="D429" s="122" t="s">
        <v>705</v>
      </c>
      <c r="E429" s="122" t="s">
        <v>256</v>
      </c>
      <c r="F429" s="203">
        <v>33642</v>
      </c>
      <c r="G429" s="122" t="str">
        <f>CHOOSE(MONTH(F429),"January","February","March","April","May","June","July","August","September","October","November","December")</f>
        <v>February</v>
      </c>
      <c r="H429" s="122">
        <f ca="1">DATEDIF(F429,TODAY(),"Y")</f>
        <v>24</v>
      </c>
      <c r="I429" s="122" t="s">
        <v>257</v>
      </c>
      <c r="J429" s="202">
        <v>79770</v>
      </c>
      <c r="K429" s="201">
        <v>4</v>
      </c>
    </row>
    <row r="430" spans="1:11">
      <c r="A430" s="122">
        <v>446</v>
      </c>
      <c r="B430" s="204" t="s">
        <v>365</v>
      </c>
      <c r="C430" s="122" t="s">
        <v>271</v>
      </c>
      <c r="D430" s="122" t="s">
        <v>705</v>
      </c>
      <c r="E430" s="122" t="s">
        <v>256</v>
      </c>
      <c r="F430" s="203">
        <v>33881</v>
      </c>
      <c r="G430" s="122" t="str">
        <f>CHOOSE(MONTH(F430),"January","February","March","April","May","June","July","August","September","October","November","December")</f>
        <v>October</v>
      </c>
      <c r="H430" s="122">
        <f ca="1">DATEDIF(F430,TODAY(),"Y")</f>
        <v>24</v>
      </c>
      <c r="I430" s="122" t="s">
        <v>276</v>
      </c>
      <c r="J430" s="202">
        <v>46910</v>
      </c>
      <c r="K430" s="201">
        <v>3</v>
      </c>
    </row>
    <row r="431" spans="1:11">
      <c r="A431" s="122">
        <v>447</v>
      </c>
      <c r="B431" s="204" t="s">
        <v>443</v>
      </c>
      <c r="C431" s="122" t="s">
        <v>271</v>
      </c>
      <c r="D431" s="122" t="s">
        <v>705</v>
      </c>
      <c r="E431" s="122" t="s">
        <v>256</v>
      </c>
      <c r="F431" s="203">
        <v>35412</v>
      </c>
      <c r="G431" s="122" t="str">
        <f>CHOOSE(MONTH(F431),"January","February","March","April","May","June","July","August","September","October","November","December")</f>
        <v>December</v>
      </c>
      <c r="H431" s="122">
        <f ca="1">DATEDIF(F431,TODAY(),"Y")</f>
        <v>19</v>
      </c>
      <c r="I431" s="122" t="s">
        <v>262</v>
      </c>
      <c r="J431" s="202">
        <v>77950</v>
      </c>
      <c r="K431" s="201">
        <v>4</v>
      </c>
    </row>
    <row r="432" spans="1:11">
      <c r="A432" s="122">
        <v>448</v>
      </c>
      <c r="B432" s="204" t="s">
        <v>952</v>
      </c>
      <c r="C432" s="122" t="s">
        <v>266</v>
      </c>
      <c r="D432" s="122" t="s">
        <v>705</v>
      </c>
      <c r="E432" s="122" t="s">
        <v>256</v>
      </c>
      <c r="F432" s="203">
        <v>34740</v>
      </c>
      <c r="G432" s="122" t="str">
        <f>CHOOSE(MONTH(F432),"January","February","March","April","May","June","July","August","September","October","November","December")</f>
        <v>February</v>
      </c>
      <c r="H432" s="122">
        <f ca="1">DATEDIF(F432,TODAY(),"Y")</f>
        <v>21</v>
      </c>
      <c r="I432" s="122" t="s">
        <v>267</v>
      </c>
      <c r="J432" s="202">
        <v>77840</v>
      </c>
      <c r="K432" s="201">
        <v>2</v>
      </c>
    </row>
    <row r="433" spans="1:11">
      <c r="A433" s="122">
        <v>449</v>
      </c>
      <c r="B433" s="204" t="s">
        <v>419</v>
      </c>
      <c r="C433" s="122" t="s">
        <v>271</v>
      </c>
      <c r="D433" s="122" t="s">
        <v>705</v>
      </c>
      <c r="E433" s="122" t="s">
        <v>261</v>
      </c>
      <c r="F433" s="203">
        <v>33502</v>
      </c>
      <c r="G433" s="122" t="str">
        <f>CHOOSE(MONTH(F433),"January","February","March","April","May","June","July","August","September","October","November","December")</f>
        <v>September</v>
      </c>
      <c r="H433" s="122">
        <f ca="1">DATEDIF(F433,TODAY(),"Y")</f>
        <v>25</v>
      </c>
      <c r="I433" s="122" t="s">
        <v>262</v>
      </c>
      <c r="J433" s="202">
        <v>35045</v>
      </c>
      <c r="K433" s="201">
        <v>4</v>
      </c>
    </row>
    <row r="434" spans="1:11">
      <c r="A434" s="122">
        <v>450</v>
      </c>
      <c r="B434" s="204" t="s">
        <v>260</v>
      </c>
      <c r="C434" s="122" t="s">
        <v>285</v>
      </c>
      <c r="D434" s="122" t="s">
        <v>705</v>
      </c>
      <c r="E434" s="122" t="s">
        <v>256</v>
      </c>
      <c r="F434" s="203">
        <v>38916</v>
      </c>
      <c r="G434" s="122" t="str">
        <f>CHOOSE(MONTH(F434),"January","February","March","April","May","June","July","August","September","October","November","December")</f>
        <v>July</v>
      </c>
      <c r="H434" s="122">
        <f ca="1">DATEDIF(F434,TODAY(),"Y")</f>
        <v>10</v>
      </c>
      <c r="I434" s="122" t="s">
        <v>262</v>
      </c>
      <c r="J434" s="202">
        <v>27560</v>
      </c>
      <c r="K434" s="201">
        <v>2</v>
      </c>
    </row>
    <row r="435" spans="1:11">
      <c r="A435" s="122">
        <v>451</v>
      </c>
      <c r="B435" s="204" t="s">
        <v>398</v>
      </c>
      <c r="C435" s="122" t="s">
        <v>245</v>
      </c>
      <c r="D435" s="122" t="s">
        <v>705</v>
      </c>
      <c r="E435" s="122" t="s">
        <v>252</v>
      </c>
      <c r="F435" s="203">
        <v>40403</v>
      </c>
      <c r="G435" s="122" t="str">
        <f>CHOOSE(MONTH(F435),"January","February","March","April","May","June","July","August","September","October","November","December")</f>
        <v>August</v>
      </c>
      <c r="H435" s="122">
        <f ca="1">DATEDIF(F435,TODAY(),"Y")</f>
        <v>6</v>
      </c>
      <c r="J435" s="202">
        <v>15056</v>
      </c>
      <c r="K435" s="201">
        <v>5</v>
      </c>
    </row>
    <row r="436" spans="1:11">
      <c r="A436" s="122">
        <v>452</v>
      </c>
      <c r="B436" s="204" t="s">
        <v>950</v>
      </c>
      <c r="C436" s="122" t="s">
        <v>245</v>
      </c>
      <c r="D436" s="122" t="s">
        <v>705</v>
      </c>
      <c r="E436" s="122" t="s">
        <v>256</v>
      </c>
      <c r="F436" s="203">
        <v>33620</v>
      </c>
      <c r="G436" s="122" t="str">
        <f>CHOOSE(MONTH(F436),"January","February","March","April","May","June","July","August","September","October","November","December")</f>
        <v>January</v>
      </c>
      <c r="H436" s="122">
        <f ca="1">DATEDIF(F436,TODAY(),"Y")</f>
        <v>24</v>
      </c>
      <c r="I436" s="122" t="s">
        <v>283</v>
      </c>
      <c r="J436" s="202">
        <v>43190</v>
      </c>
      <c r="K436" s="201">
        <v>2</v>
      </c>
    </row>
    <row r="437" spans="1:11">
      <c r="A437" s="122">
        <v>453</v>
      </c>
      <c r="B437" s="204" t="s">
        <v>892</v>
      </c>
      <c r="C437" s="122" t="s">
        <v>285</v>
      </c>
      <c r="D437" s="122" t="s">
        <v>705</v>
      </c>
      <c r="E437" s="122" t="s">
        <v>256</v>
      </c>
      <c r="F437" s="203">
        <v>33878</v>
      </c>
      <c r="G437" s="122" t="str">
        <f>CHOOSE(MONTH(F437),"January","February","March","April","May","June","July","August","September","October","November","December")</f>
        <v>October</v>
      </c>
      <c r="H437" s="122">
        <f ca="1">DATEDIF(F437,TODAY(),"Y")</f>
        <v>24</v>
      </c>
      <c r="I437" s="122" t="s">
        <v>276</v>
      </c>
      <c r="J437" s="202">
        <v>75370</v>
      </c>
      <c r="K437" s="201">
        <v>2</v>
      </c>
    </row>
    <row r="438" spans="1:11">
      <c r="A438" s="122">
        <v>454</v>
      </c>
      <c r="B438" s="204" t="s">
        <v>384</v>
      </c>
      <c r="C438" s="122" t="s">
        <v>271</v>
      </c>
      <c r="D438" s="122" t="s">
        <v>705</v>
      </c>
      <c r="E438" s="122" t="s">
        <v>256</v>
      </c>
      <c r="F438" s="203">
        <v>35969</v>
      </c>
      <c r="G438" s="122" t="str">
        <f>CHOOSE(MONTH(F438),"January","February","March","April","May","June","July","August","September","October","November","December")</f>
        <v>June</v>
      </c>
      <c r="H438" s="122">
        <f ca="1">DATEDIF(F438,TODAY(),"Y")</f>
        <v>18</v>
      </c>
      <c r="I438" s="122" t="s">
        <v>257</v>
      </c>
      <c r="J438" s="202">
        <v>74530</v>
      </c>
      <c r="K438" s="201">
        <v>5</v>
      </c>
    </row>
    <row r="439" spans="1:11">
      <c r="A439" s="122">
        <v>455</v>
      </c>
      <c r="B439" s="204" t="s">
        <v>1001</v>
      </c>
      <c r="C439" s="122" t="s">
        <v>251</v>
      </c>
      <c r="D439" s="122" t="s">
        <v>705</v>
      </c>
      <c r="E439" s="122" t="s">
        <v>261</v>
      </c>
      <c r="F439" s="203">
        <v>34617</v>
      </c>
      <c r="G439" s="122" t="str">
        <f>CHOOSE(MONTH(F439),"January","February","March","April","May","June","July","August","September","October","November","December")</f>
        <v>October</v>
      </c>
      <c r="H439" s="122">
        <f ca="1">DATEDIF(F439,TODAY(),"Y")</f>
        <v>22</v>
      </c>
      <c r="I439" s="122" t="s">
        <v>257</v>
      </c>
      <c r="J439" s="202">
        <v>13435</v>
      </c>
      <c r="K439" s="201">
        <v>1</v>
      </c>
    </row>
    <row r="440" spans="1:11">
      <c r="A440" s="122">
        <v>456</v>
      </c>
      <c r="B440" s="204" t="s">
        <v>453</v>
      </c>
      <c r="C440" s="122" t="s">
        <v>271</v>
      </c>
      <c r="D440" s="122" t="s">
        <v>705</v>
      </c>
      <c r="E440" s="122" t="s">
        <v>256</v>
      </c>
      <c r="F440" s="203">
        <v>34111</v>
      </c>
      <c r="G440" s="122" t="str">
        <f>CHOOSE(MONTH(F440),"January","February","March","April","May","June","July","August","September","October","November","December")</f>
        <v>May</v>
      </c>
      <c r="H440" s="122">
        <f ca="1">DATEDIF(F440,TODAY(),"Y")</f>
        <v>23</v>
      </c>
      <c r="I440" s="122" t="s">
        <v>283</v>
      </c>
      <c r="J440" s="202">
        <v>73030</v>
      </c>
      <c r="K440" s="201">
        <v>5</v>
      </c>
    </row>
    <row r="441" spans="1:11">
      <c r="A441" s="122">
        <v>457</v>
      </c>
      <c r="B441" s="204" t="s">
        <v>791</v>
      </c>
      <c r="C441" s="122" t="s">
        <v>245</v>
      </c>
      <c r="D441" s="122" t="s">
        <v>705</v>
      </c>
      <c r="E441" s="122" t="s">
        <v>256</v>
      </c>
      <c r="F441" s="203">
        <v>33636</v>
      </c>
      <c r="G441" s="122" t="str">
        <f>CHOOSE(MONTH(F441),"January","February","March","April","May","June","July","August","September","October","November","December")</f>
        <v>February</v>
      </c>
      <c r="H441" s="122">
        <f ca="1">DATEDIF(F441,TODAY(),"Y")</f>
        <v>24</v>
      </c>
      <c r="I441" s="122" t="s">
        <v>257</v>
      </c>
      <c r="J441" s="202">
        <v>26360</v>
      </c>
      <c r="K441" s="201">
        <v>1</v>
      </c>
    </row>
    <row r="442" spans="1:11">
      <c r="A442" s="122">
        <v>458</v>
      </c>
      <c r="B442" s="204" t="s">
        <v>736</v>
      </c>
      <c r="C442" s="122" t="s">
        <v>285</v>
      </c>
      <c r="D442" s="122" t="s">
        <v>705</v>
      </c>
      <c r="E442" s="122" t="s">
        <v>256</v>
      </c>
      <c r="F442" s="203">
        <v>38807</v>
      </c>
      <c r="G442" s="122" t="str">
        <f>CHOOSE(MONTH(F442),"January","February","March","April","May","June","July","August","September","October","November","December")</f>
        <v>March</v>
      </c>
      <c r="H442" s="122">
        <f ca="1">DATEDIF(F442,TODAY(),"Y")</f>
        <v>10</v>
      </c>
      <c r="I442" s="122" t="s">
        <v>257</v>
      </c>
      <c r="J442" s="202">
        <v>47060</v>
      </c>
      <c r="K442" s="201">
        <v>4</v>
      </c>
    </row>
    <row r="443" spans="1:11">
      <c r="A443" s="122">
        <v>459</v>
      </c>
      <c r="B443" s="204" t="s">
        <v>998</v>
      </c>
      <c r="C443" s="122" t="s">
        <v>285</v>
      </c>
      <c r="D443" s="122" t="s">
        <v>705</v>
      </c>
      <c r="E443" s="122" t="s">
        <v>256</v>
      </c>
      <c r="F443" s="203">
        <v>39404</v>
      </c>
      <c r="G443" s="122" t="str">
        <f>CHOOSE(MONTH(F443),"January","February","March","April","May","June","July","August","September","October","November","December")</f>
        <v>November</v>
      </c>
      <c r="H443" s="122">
        <f ca="1">DATEDIF(F443,TODAY(),"Y")</f>
        <v>8</v>
      </c>
      <c r="I443" s="122" t="s">
        <v>267</v>
      </c>
      <c r="J443" s="202">
        <v>50990</v>
      </c>
      <c r="K443" s="201">
        <v>4</v>
      </c>
    </row>
    <row r="444" spans="1:11">
      <c r="A444" s="122">
        <v>460</v>
      </c>
      <c r="B444" s="204" t="s">
        <v>606</v>
      </c>
      <c r="C444" s="122" t="s">
        <v>285</v>
      </c>
      <c r="D444" s="122" t="s">
        <v>705</v>
      </c>
      <c r="E444" s="122" t="s">
        <v>247</v>
      </c>
      <c r="F444" s="203">
        <v>33811</v>
      </c>
      <c r="G444" s="122" t="str">
        <f>CHOOSE(MONTH(F444),"January","February","March","April","May","June","July","August","September","October","November","December")</f>
        <v>July</v>
      </c>
      <c r="H444" s="122">
        <f ca="1">DATEDIF(F444,TODAY(),"Y")</f>
        <v>24</v>
      </c>
      <c r="J444" s="202">
        <v>32650</v>
      </c>
      <c r="K444" s="201">
        <v>1</v>
      </c>
    </row>
    <row r="445" spans="1:11">
      <c r="A445" s="122">
        <v>461</v>
      </c>
      <c r="B445" s="204" t="s">
        <v>476</v>
      </c>
      <c r="C445" s="122" t="s">
        <v>271</v>
      </c>
      <c r="D445" s="122" t="s">
        <v>705</v>
      </c>
      <c r="E445" s="122" t="s">
        <v>247</v>
      </c>
      <c r="F445" s="203">
        <v>36623</v>
      </c>
      <c r="G445" s="122" t="str">
        <f>CHOOSE(MONTH(F445),"January","February","March","April","May","June","July","August","September","October","November","December")</f>
        <v>April</v>
      </c>
      <c r="H445" s="122">
        <f ca="1">DATEDIF(F445,TODAY(),"Y")</f>
        <v>16</v>
      </c>
      <c r="J445" s="202">
        <v>30300</v>
      </c>
      <c r="K445" s="201">
        <v>1</v>
      </c>
    </row>
    <row r="446" spans="1:11">
      <c r="A446" s="122">
        <v>462</v>
      </c>
      <c r="B446" s="204" t="s">
        <v>1004</v>
      </c>
      <c r="C446" s="122" t="s">
        <v>285</v>
      </c>
      <c r="D446" s="122" t="s">
        <v>705</v>
      </c>
      <c r="E446" s="122" t="s">
        <v>256</v>
      </c>
      <c r="F446" s="203">
        <v>35903</v>
      </c>
      <c r="G446" s="122" t="str">
        <f>CHOOSE(MONTH(F446),"January","February","March","April","May","June","July","August","September","October","November","December")</f>
        <v>April</v>
      </c>
      <c r="H446" s="122">
        <f ca="1">DATEDIF(F446,TODAY(),"Y")</f>
        <v>18</v>
      </c>
      <c r="I446" s="122" t="s">
        <v>257</v>
      </c>
      <c r="J446" s="202">
        <v>68520</v>
      </c>
      <c r="K446" s="201">
        <v>5</v>
      </c>
    </row>
    <row r="447" spans="1:11">
      <c r="A447" s="122">
        <v>463</v>
      </c>
      <c r="B447" s="204" t="s">
        <v>830</v>
      </c>
      <c r="C447" s="122" t="s">
        <v>285</v>
      </c>
      <c r="D447" s="122" t="s">
        <v>705</v>
      </c>
      <c r="E447" s="122" t="s">
        <v>256</v>
      </c>
      <c r="F447" s="203">
        <v>33928</v>
      </c>
      <c r="G447" s="122" t="str">
        <f>CHOOSE(MONTH(F447),"January","February","March","April","May","June","July","August","September","October","November","December")</f>
        <v>November</v>
      </c>
      <c r="H447" s="122">
        <f ca="1">DATEDIF(F447,TODAY(),"Y")</f>
        <v>23</v>
      </c>
      <c r="I447" s="122" t="s">
        <v>262</v>
      </c>
      <c r="J447" s="202">
        <v>68010</v>
      </c>
      <c r="K447" s="201">
        <v>1</v>
      </c>
    </row>
    <row r="448" spans="1:11">
      <c r="A448" s="122">
        <v>464</v>
      </c>
      <c r="B448" s="204" t="s">
        <v>684</v>
      </c>
      <c r="C448" s="122" t="s">
        <v>285</v>
      </c>
      <c r="D448" s="122" t="s">
        <v>705</v>
      </c>
      <c r="E448" s="122" t="s">
        <v>256</v>
      </c>
      <c r="F448" s="203">
        <v>35379</v>
      </c>
      <c r="G448" s="122" t="str">
        <f>CHOOSE(MONTH(F448),"January","February","March","April","May","June","July","August","September","October","November","December")</f>
        <v>November</v>
      </c>
      <c r="H448" s="122">
        <f ca="1">DATEDIF(F448,TODAY(),"Y")</f>
        <v>20</v>
      </c>
      <c r="I448" s="122" t="s">
        <v>276</v>
      </c>
      <c r="J448" s="202">
        <v>67230</v>
      </c>
      <c r="K448" s="201">
        <v>4</v>
      </c>
    </row>
    <row r="449" spans="1:11">
      <c r="A449" s="122">
        <v>465</v>
      </c>
      <c r="B449" s="204" t="s">
        <v>331</v>
      </c>
      <c r="C449" s="122" t="s">
        <v>251</v>
      </c>
      <c r="D449" s="122" t="s">
        <v>705</v>
      </c>
      <c r="E449" s="122" t="s">
        <v>256</v>
      </c>
      <c r="F449" s="203">
        <v>40370</v>
      </c>
      <c r="G449" s="122" t="str">
        <f>CHOOSE(MONTH(F449),"January","February","March","April","May","June","July","August","September","October","November","December")</f>
        <v>July</v>
      </c>
      <c r="H449" s="122">
        <f ca="1">DATEDIF(F449,TODAY(),"Y")</f>
        <v>6</v>
      </c>
      <c r="I449" s="122" t="s">
        <v>257</v>
      </c>
      <c r="J449" s="202">
        <v>66840</v>
      </c>
      <c r="K449" s="201">
        <v>4</v>
      </c>
    </row>
    <row r="450" spans="1:11">
      <c r="A450" s="122">
        <v>466</v>
      </c>
      <c r="B450" s="204" t="s">
        <v>486</v>
      </c>
      <c r="C450" s="122" t="s">
        <v>251</v>
      </c>
      <c r="D450" s="122" t="s">
        <v>705</v>
      </c>
      <c r="E450" s="122" t="s">
        <v>247</v>
      </c>
      <c r="F450" s="203">
        <v>34502</v>
      </c>
      <c r="G450" s="122" t="str">
        <f>CHOOSE(MONTH(F450),"January","February","March","April","May","June","July","August","September","October","November","December")</f>
        <v>June</v>
      </c>
      <c r="H450" s="122">
        <f ca="1">DATEDIF(F450,TODAY(),"Y")</f>
        <v>22</v>
      </c>
      <c r="J450" s="202">
        <v>66710</v>
      </c>
      <c r="K450" s="201">
        <v>2</v>
      </c>
    </row>
    <row r="451" spans="1:11">
      <c r="A451" s="122">
        <v>467</v>
      </c>
      <c r="B451" s="204" t="s">
        <v>914</v>
      </c>
      <c r="C451" s="122" t="s">
        <v>245</v>
      </c>
      <c r="D451" s="122" t="s">
        <v>705</v>
      </c>
      <c r="E451" s="122" t="s">
        <v>256</v>
      </c>
      <c r="F451" s="203">
        <v>35339</v>
      </c>
      <c r="G451" s="122" t="str">
        <f>CHOOSE(MONTH(F451),"January","February","March","April","May","June","July","August","September","October","November","December")</f>
        <v>October</v>
      </c>
      <c r="H451" s="122">
        <f ca="1">DATEDIF(F451,TODAY(),"Y")</f>
        <v>20</v>
      </c>
      <c r="I451" s="122" t="s">
        <v>283</v>
      </c>
      <c r="J451" s="202">
        <v>43410</v>
      </c>
      <c r="K451" s="201">
        <v>1</v>
      </c>
    </row>
    <row r="452" spans="1:11">
      <c r="A452" s="122">
        <v>468</v>
      </c>
      <c r="B452" s="204" t="s">
        <v>846</v>
      </c>
      <c r="C452" s="122" t="s">
        <v>266</v>
      </c>
      <c r="D452" s="122" t="s">
        <v>705</v>
      </c>
      <c r="E452" s="122" t="s">
        <v>261</v>
      </c>
      <c r="F452" s="203">
        <v>40393</v>
      </c>
      <c r="G452" s="122" t="str">
        <f>CHOOSE(MONTH(F452),"January","February","March","April","May","June","July","August","September","October","November","December")</f>
        <v>August</v>
      </c>
      <c r="H452" s="122">
        <f ca="1">DATEDIF(F452,TODAY(),"Y")</f>
        <v>6</v>
      </c>
      <c r="I452" s="122" t="s">
        <v>257</v>
      </c>
      <c r="J452" s="202">
        <v>16925</v>
      </c>
      <c r="K452" s="201">
        <v>1</v>
      </c>
    </row>
    <row r="453" spans="1:11">
      <c r="A453" s="122">
        <v>469</v>
      </c>
      <c r="B453" s="204" t="s">
        <v>529</v>
      </c>
      <c r="C453" s="122" t="s">
        <v>280</v>
      </c>
      <c r="D453" s="122" t="s">
        <v>705</v>
      </c>
      <c r="E453" s="122" t="s">
        <v>247</v>
      </c>
      <c r="F453" s="203">
        <v>35921</v>
      </c>
      <c r="G453" s="122" t="str">
        <f>CHOOSE(MONTH(F453),"January","February","March","April","May","June","July","August","September","October","November","December")</f>
        <v>May</v>
      </c>
      <c r="H453" s="122">
        <f ca="1">DATEDIF(F453,TODAY(),"Y")</f>
        <v>18</v>
      </c>
      <c r="J453" s="202">
        <v>63330</v>
      </c>
      <c r="K453" s="201">
        <v>4</v>
      </c>
    </row>
    <row r="454" spans="1:11">
      <c r="A454" s="122">
        <v>470</v>
      </c>
      <c r="B454" s="204" t="s">
        <v>513</v>
      </c>
      <c r="C454" s="122" t="s">
        <v>280</v>
      </c>
      <c r="D454" s="122" t="s">
        <v>705</v>
      </c>
      <c r="E454" s="122" t="s">
        <v>256</v>
      </c>
      <c r="F454" s="203">
        <v>35133</v>
      </c>
      <c r="G454" s="122" t="str">
        <f>CHOOSE(MONTH(F454),"January","February","March","April","May","June","July","August","September","October","November","December")</f>
        <v>March</v>
      </c>
      <c r="H454" s="122">
        <f ca="1">DATEDIF(F454,TODAY(),"Y")</f>
        <v>20</v>
      </c>
      <c r="I454" s="122" t="s">
        <v>283</v>
      </c>
      <c r="J454" s="202">
        <v>63080</v>
      </c>
      <c r="K454" s="201">
        <v>5</v>
      </c>
    </row>
    <row r="455" spans="1:11">
      <c r="A455" s="122">
        <v>471</v>
      </c>
      <c r="B455" s="204" t="s">
        <v>380</v>
      </c>
      <c r="C455" s="122" t="s">
        <v>285</v>
      </c>
      <c r="D455" s="122" t="s">
        <v>705</v>
      </c>
      <c r="E455" s="122" t="s">
        <v>256</v>
      </c>
      <c r="F455" s="203">
        <v>33457</v>
      </c>
      <c r="G455" s="122" t="str">
        <f>CHOOSE(MONTH(F455),"January","February","March","April","May","June","July","August","September","October","November","December")</f>
        <v>August</v>
      </c>
      <c r="H455" s="122">
        <f ca="1">DATEDIF(F455,TODAY(),"Y")</f>
        <v>25</v>
      </c>
      <c r="I455" s="122" t="s">
        <v>267</v>
      </c>
      <c r="J455" s="202">
        <v>61470</v>
      </c>
      <c r="K455" s="201">
        <v>5</v>
      </c>
    </row>
    <row r="456" spans="1:11">
      <c r="A456" s="122">
        <v>472</v>
      </c>
      <c r="B456" s="204" t="s">
        <v>706</v>
      </c>
      <c r="C456" s="122" t="s">
        <v>271</v>
      </c>
      <c r="D456" s="122" t="s">
        <v>705</v>
      </c>
      <c r="E456" s="122" t="s">
        <v>256</v>
      </c>
      <c r="F456" s="203">
        <v>34901</v>
      </c>
      <c r="G456" s="122" t="str">
        <f>CHOOSE(MONTH(F456),"January","February","March","April","May","June","July","August","September","October","November","December")</f>
        <v>July</v>
      </c>
      <c r="H456" s="122">
        <f ca="1">DATEDIF(F456,TODAY(),"Y")</f>
        <v>21</v>
      </c>
      <c r="I456" s="122" t="s">
        <v>257</v>
      </c>
      <c r="J456" s="202">
        <v>25830</v>
      </c>
      <c r="K456" s="201">
        <v>5</v>
      </c>
    </row>
    <row r="457" spans="1:11">
      <c r="A457" s="122">
        <v>473</v>
      </c>
      <c r="B457" s="204" t="s">
        <v>806</v>
      </c>
      <c r="C457" s="122" t="s">
        <v>285</v>
      </c>
      <c r="D457" s="122" t="s">
        <v>705</v>
      </c>
      <c r="E457" s="122" t="s">
        <v>261</v>
      </c>
      <c r="F457" s="203">
        <v>36695</v>
      </c>
      <c r="G457" s="122" t="str">
        <f>CHOOSE(MONTH(F457),"January","February","March","April","May","June","July","August","September","October","November","December")</f>
        <v>June</v>
      </c>
      <c r="H457" s="122">
        <f ca="1">DATEDIF(F457,TODAY(),"Y")</f>
        <v>16</v>
      </c>
      <c r="I457" s="122" t="s">
        <v>283</v>
      </c>
      <c r="J457" s="202">
        <v>29005</v>
      </c>
      <c r="K457" s="201">
        <v>1</v>
      </c>
    </row>
    <row r="458" spans="1:11">
      <c r="A458" s="122">
        <v>474</v>
      </c>
      <c r="B458" s="204" t="s">
        <v>627</v>
      </c>
      <c r="C458" s="122" t="s">
        <v>285</v>
      </c>
      <c r="D458" s="122" t="s">
        <v>705</v>
      </c>
      <c r="E458" s="122" t="s">
        <v>252</v>
      </c>
      <c r="F458" s="203">
        <v>38144</v>
      </c>
      <c r="G458" s="122" t="str">
        <f>CHOOSE(MONTH(F458),"January","February","March","April","May","June","July","August","September","October","November","December")</f>
        <v>June</v>
      </c>
      <c r="H458" s="122">
        <f ca="1">DATEDIF(F458,TODAY(),"Y")</f>
        <v>12</v>
      </c>
      <c r="J458" s="202">
        <v>33512</v>
      </c>
      <c r="K458" s="201">
        <v>4</v>
      </c>
    </row>
    <row r="459" spans="1:11">
      <c r="A459" s="122">
        <v>475</v>
      </c>
      <c r="B459" s="204" t="s">
        <v>425</v>
      </c>
      <c r="C459" s="122" t="s">
        <v>271</v>
      </c>
      <c r="D459" s="122" t="s">
        <v>705</v>
      </c>
      <c r="E459" s="122" t="s">
        <v>256</v>
      </c>
      <c r="F459" s="203">
        <v>33578</v>
      </c>
      <c r="G459" s="122" t="str">
        <f>CHOOSE(MONTH(F459),"January","February","March","April","May","June","July","August","September","October","November","December")</f>
        <v>December</v>
      </c>
      <c r="H459" s="122">
        <f ca="1">DATEDIF(F459,TODAY(),"Y")</f>
        <v>24</v>
      </c>
      <c r="I459" s="122" t="s">
        <v>257</v>
      </c>
      <c r="J459" s="202">
        <v>43580</v>
      </c>
      <c r="K459" s="201">
        <v>5</v>
      </c>
    </row>
    <row r="460" spans="1:11">
      <c r="A460" s="122">
        <v>476</v>
      </c>
      <c r="B460" s="204" t="s">
        <v>475</v>
      </c>
      <c r="C460" s="122" t="s">
        <v>251</v>
      </c>
      <c r="D460" s="122" t="s">
        <v>705</v>
      </c>
      <c r="E460" s="122" t="s">
        <v>247</v>
      </c>
      <c r="F460" s="203">
        <v>40468</v>
      </c>
      <c r="G460" s="122" t="str">
        <f>CHOOSE(MONTH(F460),"January","February","March","April","May","June","July","August","September","October","November","December")</f>
        <v>October</v>
      </c>
      <c r="H460" s="122">
        <f ca="1">DATEDIF(F460,TODAY(),"Y")</f>
        <v>6</v>
      </c>
      <c r="J460" s="202">
        <v>39440</v>
      </c>
      <c r="K460" s="201">
        <v>4</v>
      </c>
    </row>
    <row r="461" spans="1:11">
      <c r="A461" s="122">
        <v>477</v>
      </c>
      <c r="B461" s="204" t="s">
        <v>973</v>
      </c>
      <c r="C461" s="122" t="s">
        <v>280</v>
      </c>
      <c r="D461" s="122" t="s">
        <v>705</v>
      </c>
      <c r="E461" s="122" t="s">
        <v>247</v>
      </c>
      <c r="F461" s="203">
        <v>39783</v>
      </c>
      <c r="G461" s="122" t="str">
        <f>CHOOSE(MONTH(F461),"January","February","March","April","May","June","July","August","September","October","November","December")</f>
        <v>December</v>
      </c>
      <c r="H461" s="122">
        <f ca="1">DATEDIF(F461,TODAY(),"Y")</f>
        <v>7</v>
      </c>
      <c r="J461" s="202">
        <v>54000</v>
      </c>
      <c r="K461" s="201">
        <v>3</v>
      </c>
    </row>
    <row r="462" spans="1:11">
      <c r="A462" s="122">
        <v>479</v>
      </c>
      <c r="B462" s="204" t="s">
        <v>433</v>
      </c>
      <c r="C462" s="122" t="s">
        <v>285</v>
      </c>
      <c r="D462" s="122" t="s">
        <v>750</v>
      </c>
      <c r="E462" s="122" t="s">
        <v>256</v>
      </c>
      <c r="F462" s="203">
        <v>33280</v>
      </c>
      <c r="G462" s="122" t="str">
        <f>CHOOSE(MONTH(F462),"January","February","March","April","May","June","July","August","September","October","November","December")</f>
        <v>February</v>
      </c>
      <c r="H462" s="122">
        <f ca="1">DATEDIF(F462,TODAY(),"Y")</f>
        <v>25</v>
      </c>
      <c r="I462" s="122" t="s">
        <v>257</v>
      </c>
      <c r="J462" s="202">
        <v>87950</v>
      </c>
      <c r="K462" s="201">
        <v>4</v>
      </c>
    </row>
    <row r="463" spans="1:11">
      <c r="A463" s="122">
        <v>480</v>
      </c>
      <c r="B463" s="204" t="s">
        <v>376</v>
      </c>
      <c r="C463" s="122" t="s">
        <v>245</v>
      </c>
      <c r="D463" s="122" t="s">
        <v>750</v>
      </c>
      <c r="E463" s="122" t="s">
        <v>256</v>
      </c>
      <c r="F463" s="203">
        <v>33588</v>
      </c>
      <c r="G463" s="122" t="str">
        <f>CHOOSE(MONTH(F463),"January","February","March","April","May","June","July","August","September","October","November","December")</f>
        <v>December</v>
      </c>
      <c r="H463" s="122">
        <f ca="1">DATEDIF(F463,TODAY(),"Y")</f>
        <v>24</v>
      </c>
      <c r="I463" s="122" t="s">
        <v>283</v>
      </c>
      <c r="J463" s="202">
        <v>44620</v>
      </c>
      <c r="K463" s="201">
        <v>5</v>
      </c>
    </row>
    <row r="464" spans="1:11">
      <c r="A464" s="122">
        <v>481</v>
      </c>
      <c r="B464" s="204" t="s">
        <v>416</v>
      </c>
      <c r="C464" s="122" t="s">
        <v>271</v>
      </c>
      <c r="D464" s="122" t="s">
        <v>750</v>
      </c>
      <c r="E464" s="122" t="s">
        <v>256</v>
      </c>
      <c r="F464" s="203">
        <v>33536</v>
      </c>
      <c r="G464" s="122" t="str">
        <f>CHOOSE(MONTH(F464),"January","February","March","April","May","June","July","August","September","October","November","December")</f>
        <v>October</v>
      </c>
      <c r="H464" s="122">
        <f ca="1">DATEDIF(F464,TODAY(),"Y")</f>
        <v>25</v>
      </c>
      <c r="I464" s="122" t="s">
        <v>257</v>
      </c>
      <c r="J464" s="202">
        <v>81530</v>
      </c>
      <c r="K464" s="201">
        <v>5</v>
      </c>
    </row>
    <row r="465" spans="1:11">
      <c r="A465" s="122">
        <v>482</v>
      </c>
      <c r="B465" s="204" t="s">
        <v>956</v>
      </c>
      <c r="C465" s="122" t="s">
        <v>285</v>
      </c>
      <c r="D465" s="122" t="s">
        <v>750</v>
      </c>
      <c r="E465" s="122" t="s">
        <v>261</v>
      </c>
      <c r="F465" s="203">
        <v>33112</v>
      </c>
      <c r="G465" s="122" t="str">
        <f>CHOOSE(MONTH(F465),"January","February","March","April","May","June","July","August","September","October","November","December")</f>
        <v>August</v>
      </c>
      <c r="H465" s="122">
        <f ca="1">DATEDIF(F465,TODAY(),"Y")</f>
        <v>26</v>
      </c>
      <c r="I465" s="122" t="s">
        <v>267</v>
      </c>
      <c r="J465" s="202">
        <v>24815</v>
      </c>
      <c r="K465" s="201">
        <v>1</v>
      </c>
    </row>
    <row r="466" spans="1:11">
      <c r="A466" s="122">
        <v>483</v>
      </c>
      <c r="B466" s="204" t="s">
        <v>937</v>
      </c>
      <c r="C466" s="122" t="s">
        <v>271</v>
      </c>
      <c r="D466" s="122" t="s">
        <v>750</v>
      </c>
      <c r="E466" s="122" t="s">
        <v>256</v>
      </c>
      <c r="F466" s="203">
        <v>33460</v>
      </c>
      <c r="G466" s="122" t="str">
        <f>CHOOSE(MONTH(F466),"January","February","March","April","May","June","July","August","September","October","November","December")</f>
        <v>August</v>
      </c>
      <c r="H466" s="122">
        <f ca="1">DATEDIF(F466,TODAY(),"Y")</f>
        <v>25</v>
      </c>
      <c r="I466" s="122" t="s">
        <v>283</v>
      </c>
      <c r="J466" s="202">
        <v>77720</v>
      </c>
      <c r="K466" s="201">
        <v>3</v>
      </c>
    </row>
    <row r="467" spans="1:11">
      <c r="A467" s="122">
        <v>484</v>
      </c>
      <c r="B467" s="204" t="s">
        <v>432</v>
      </c>
      <c r="C467" s="122" t="s">
        <v>245</v>
      </c>
      <c r="D467" s="122" t="s">
        <v>750</v>
      </c>
      <c r="E467" s="122" t="s">
        <v>261</v>
      </c>
      <c r="F467" s="203">
        <v>33160</v>
      </c>
      <c r="G467" s="122" t="str">
        <f>CHOOSE(MONTH(F467),"January","February","March","April","May","June","July","August","September","October","November","December")</f>
        <v>October</v>
      </c>
      <c r="H467" s="122">
        <f ca="1">DATEDIF(F467,TODAY(),"Y")</f>
        <v>26</v>
      </c>
      <c r="I467" s="122" t="s">
        <v>262</v>
      </c>
      <c r="J467" s="202">
        <v>39620</v>
      </c>
      <c r="K467" s="201">
        <v>5</v>
      </c>
    </row>
    <row r="468" spans="1:11">
      <c r="A468" s="122">
        <v>485</v>
      </c>
      <c r="B468" s="204" t="s">
        <v>733</v>
      </c>
      <c r="C468" s="122" t="s">
        <v>285</v>
      </c>
      <c r="D468" s="122" t="s">
        <v>750</v>
      </c>
      <c r="E468" s="122" t="s">
        <v>261</v>
      </c>
      <c r="F468" s="203">
        <v>33349</v>
      </c>
      <c r="G468" s="122" t="str">
        <f>CHOOSE(MONTH(F468),"January","February","March","April","May","June","July","August","September","October","November","December")</f>
        <v>April</v>
      </c>
      <c r="H468" s="122">
        <f ca="1">DATEDIF(F468,TODAY(),"Y")</f>
        <v>25</v>
      </c>
      <c r="I468" s="122" t="s">
        <v>276</v>
      </c>
      <c r="J468" s="202">
        <v>16015</v>
      </c>
      <c r="K468" s="201">
        <v>3</v>
      </c>
    </row>
    <row r="469" spans="1:11">
      <c r="A469" s="122">
        <v>486</v>
      </c>
      <c r="B469" s="204" t="s">
        <v>765</v>
      </c>
      <c r="C469" s="122" t="s">
        <v>285</v>
      </c>
      <c r="D469" s="122" t="s">
        <v>750</v>
      </c>
      <c r="E469" s="122" t="s">
        <v>256</v>
      </c>
      <c r="F469" s="203">
        <v>33246</v>
      </c>
      <c r="G469" s="122" t="str">
        <f>CHOOSE(MONTH(F469),"January","February","March","April","May","June","July","August","September","October","November","December")</f>
        <v>January</v>
      </c>
      <c r="H469" s="122">
        <f ca="1">DATEDIF(F469,TODAY(),"Y")</f>
        <v>25</v>
      </c>
      <c r="I469" s="122" t="s">
        <v>257</v>
      </c>
      <c r="J469" s="202">
        <v>71730</v>
      </c>
      <c r="K469" s="201">
        <v>1</v>
      </c>
    </row>
    <row r="470" spans="1:11">
      <c r="A470" s="122">
        <v>487</v>
      </c>
      <c r="B470" s="204" t="s">
        <v>317</v>
      </c>
      <c r="C470" s="122" t="s">
        <v>271</v>
      </c>
      <c r="D470" s="122" t="s">
        <v>750</v>
      </c>
      <c r="E470" s="122" t="s">
        <v>256</v>
      </c>
      <c r="F470" s="203">
        <v>33440</v>
      </c>
      <c r="G470" s="122" t="str">
        <f>CHOOSE(MONTH(F470),"January","February","March","April","May","June","July","August","September","October","November","December")</f>
        <v>July</v>
      </c>
      <c r="H470" s="122">
        <f ca="1">DATEDIF(F470,TODAY(),"Y")</f>
        <v>25</v>
      </c>
      <c r="I470" s="122" t="s">
        <v>257</v>
      </c>
      <c r="J470" s="202">
        <v>69400</v>
      </c>
      <c r="K470" s="201">
        <v>5</v>
      </c>
    </row>
    <row r="471" spans="1:11">
      <c r="A471" s="122">
        <v>488</v>
      </c>
      <c r="B471" s="204" t="s">
        <v>855</v>
      </c>
      <c r="C471" s="122" t="s">
        <v>266</v>
      </c>
      <c r="D471" s="122" t="s">
        <v>750</v>
      </c>
      <c r="E471" s="122" t="s">
        <v>256</v>
      </c>
      <c r="F471" s="203">
        <v>33513</v>
      </c>
      <c r="G471" s="122" t="str">
        <f>CHOOSE(MONTH(F471),"January","February","March","April","May","June","July","August","September","October","November","December")</f>
        <v>October</v>
      </c>
      <c r="H471" s="122">
        <f ca="1">DATEDIF(F471,TODAY(),"Y")</f>
        <v>25</v>
      </c>
      <c r="I471" s="122" t="s">
        <v>267</v>
      </c>
      <c r="J471" s="202">
        <v>44560</v>
      </c>
      <c r="K471" s="201">
        <v>2</v>
      </c>
    </row>
    <row r="472" spans="1:11">
      <c r="A472" s="122">
        <v>489</v>
      </c>
      <c r="B472" s="204" t="s">
        <v>580</v>
      </c>
      <c r="C472" s="122" t="s">
        <v>271</v>
      </c>
      <c r="D472" s="122" t="s">
        <v>750</v>
      </c>
      <c r="E472" s="122" t="s">
        <v>256</v>
      </c>
      <c r="F472" s="203">
        <v>33320</v>
      </c>
      <c r="G472" s="122" t="str">
        <f>CHOOSE(MONTH(F472),"January","February","March","April","May","June","July","August","September","October","November","December")</f>
        <v>March</v>
      </c>
      <c r="H472" s="122">
        <f ca="1">DATEDIF(F472,TODAY(),"Y")</f>
        <v>25</v>
      </c>
      <c r="I472" s="122" t="s">
        <v>276</v>
      </c>
      <c r="J472" s="202">
        <v>35320</v>
      </c>
      <c r="K472" s="201">
        <v>3</v>
      </c>
    </row>
    <row r="473" spans="1:11">
      <c r="A473" s="122">
        <v>490</v>
      </c>
      <c r="B473" s="204" t="s">
        <v>690</v>
      </c>
      <c r="C473" s="122" t="s">
        <v>285</v>
      </c>
      <c r="D473" s="122" t="s">
        <v>750</v>
      </c>
      <c r="E473" s="122" t="s">
        <v>256</v>
      </c>
      <c r="F473" s="203">
        <v>33186</v>
      </c>
      <c r="G473" s="122" t="str">
        <f>CHOOSE(MONTH(F473),"January","February","March","April","May","June","July","August","September","October","November","December")</f>
        <v>November</v>
      </c>
      <c r="H473" s="122">
        <f ca="1">DATEDIF(F473,TODAY(),"Y")</f>
        <v>26</v>
      </c>
      <c r="I473" s="122" t="s">
        <v>257</v>
      </c>
      <c r="J473" s="202">
        <v>40940</v>
      </c>
      <c r="K473" s="201">
        <v>3</v>
      </c>
    </row>
    <row r="474" spans="1:11">
      <c r="A474" s="122">
        <v>491</v>
      </c>
      <c r="B474" s="204" t="s">
        <v>415</v>
      </c>
      <c r="C474" s="122" t="s">
        <v>285</v>
      </c>
      <c r="D474" s="122" t="s">
        <v>750</v>
      </c>
      <c r="E474" s="122" t="s">
        <v>252</v>
      </c>
      <c r="F474" s="203">
        <v>33158</v>
      </c>
      <c r="G474" s="122" t="str">
        <f>CHOOSE(MONTH(F474),"January","February","March","April","May","June","July","August","September","October","November","December")</f>
        <v>October</v>
      </c>
      <c r="H474" s="122">
        <f ca="1">DATEDIF(F474,TODAY(),"Y")</f>
        <v>26</v>
      </c>
      <c r="J474" s="202">
        <v>33232</v>
      </c>
      <c r="K474" s="201">
        <v>4</v>
      </c>
    </row>
    <row r="475" spans="1:11">
      <c r="A475" s="122">
        <v>492</v>
      </c>
      <c r="B475" s="204" t="s">
        <v>667</v>
      </c>
      <c r="C475" s="122" t="s">
        <v>266</v>
      </c>
      <c r="D475" s="122" t="s">
        <v>750</v>
      </c>
      <c r="E475" s="122" t="s">
        <v>256</v>
      </c>
      <c r="F475" s="203">
        <v>33179</v>
      </c>
      <c r="G475" s="122" t="str">
        <f>CHOOSE(MONTH(F475),"January","February","March","April","May","June","July","August","September","October","November","December")</f>
        <v>November</v>
      </c>
      <c r="H475" s="122">
        <f ca="1">DATEDIF(F475,TODAY(),"Y")</f>
        <v>26</v>
      </c>
      <c r="I475" s="122" t="s">
        <v>283</v>
      </c>
      <c r="J475" s="202">
        <v>43110</v>
      </c>
      <c r="K475" s="201">
        <v>2</v>
      </c>
    </row>
    <row r="476" spans="1:11">
      <c r="A476" s="122">
        <v>493</v>
      </c>
      <c r="B476" s="204" t="s">
        <v>631</v>
      </c>
      <c r="C476" s="122" t="s">
        <v>251</v>
      </c>
      <c r="D476" s="122" t="s">
        <v>750</v>
      </c>
      <c r="E476" s="122" t="s">
        <v>247</v>
      </c>
      <c r="F476" s="203">
        <v>33286</v>
      </c>
      <c r="G476" s="122" t="str">
        <f>CHOOSE(MONTH(F476),"January","February","March","April","May","June","July","August","September","October","November","December")</f>
        <v>February</v>
      </c>
      <c r="H476" s="122">
        <f ca="1">DATEDIF(F476,TODAY(),"Y")</f>
        <v>25</v>
      </c>
      <c r="J476" s="202">
        <v>49070</v>
      </c>
      <c r="K476" s="201">
        <v>3</v>
      </c>
    </row>
    <row r="477" spans="1:11">
      <c r="A477" s="122">
        <v>494</v>
      </c>
      <c r="B477" s="204" t="s">
        <v>957</v>
      </c>
      <c r="C477" s="122" t="s">
        <v>271</v>
      </c>
      <c r="D477" s="122" t="s">
        <v>750</v>
      </c>
      <c r="E477" s="122" t="s">
        <v>256</v>
      </c>
      <c r="F477" s="203">
        <v>33113</v>
      </c>
      <c r="G477" s="122" t="str">
        <f>CHOOSE(MONTH(F477),"January","February","March","April","May","June","July","August","September","October","November","December")</f>
        <v>August</v>
      </c>
      <c r="H477" s="122">
        <f ca="1">DATEDIF(F477,TODAY(),"Y")</f>
        <v>26</v>
      </c>
      <c r="I477" s="122" t="s">
        <v>257</v>
      </c>
      <c r="J477" s="202">
        <v>32600</v>
      </c>
      <c r="K477" s="201">
        <v>5</v>
      </c>
    </row>
    <row r="478" spans="1:11">
      <c r="A478" s="122">
        <v>496</v>
      </c>
      <c r="B478" s="204" t="s">
        <v>917</v>
      </c>
      <c r="C478" s="122" t="s">
        <v>245</v>
      </c>
      <c r="D478" s="122" t="s">
        <v>767</v>
      </c>
      <c r="E478" s="122" t="s">
        <v>261</v>
      </c>
      <c r="F478" s="203">
        <v>40421</v>
      </c>
      <c r="G478" s="122" t="str">
        <f>CHOOSE(MONTH(F478),"January","February","March","April","May","June","July","August","September","October","November","December")</f>
        <v>August</v>
      </c>
      <c r="H478" s="122">
        <f ca="1">DATEDIF(F478,TODAY(),"Y")</f>
        <v>6</v>
      </c>
      <c r="I478" s="122" t="s">
        <v>262</v>
      </c>
      <c r="J478" s="202">
        <v>49355</v>
      </c>
      <c r="K478" s="201">
        <v>5</v>
      </c>
    </row>
    <row r="479" spans="1:11">
      <c r="A479" s="122">
        <v>497</v>
      </c>
      <c r="B479" s="204" t="s">
        <v>445</v>
      </c>
      <c r="C479" s="122" t="s">
        <v>285</v>
      </c>
      <c r="D479" s="122" t="s">
        <v>767</v>
      </c>
      <c r="E479" s="122" t="s">
        <v>247</v>
      </c>
      <c r="F479" s="203">
        <v>39343</v>
      </c>
      <c r="G479" s="122" t="str">
        <f>CHOOSE(MONTH(F479),"January","February","March","April","May","June","July","August","September","October","November","December")</f>
        <v>September</v>
      </c>
      <c r="H479" s="122">
        <f ca="1">DATEDIF(F479,TODAY(),"Y")</f>
        <v>9</v>
      </c>
      <c r="J479" s="202">
        <v>89640</v>
      </c>
      <c r="K479" s="201">
        <v>4</v>
      </c>
    </row>
    <row r="480" spans="1:11">
      <c r="A480" s="122">
        <v>498</v>
      </c>
      <c r="B480" s="204" t="s">
        <v>424</v>
      </c>
      <c r="C480" s="122" t="s">
        <v>280</v>
      </c>
      <c r="D480" s="122" t="s">
        <v>767</v>
      </c>
      <c r="E480" s="122" t="s">
        <v>256</v>
      </c>
      <c r="F480" s="203">
        <v>34693</v>
      </c>
      <c r="G480" s="122" t="str">
        <f>CHOOSE(MONTH(F480),"January","February","March","April","May","June","July","August","September","October","November","December")</f>
        <v>December</v>
      </c>
      <c r="H480" s="122">
        <f ca="1">DATEDIF(F480,TODAY(),"Y")</f>
        <v>21</v>
      </c>
      <c r="I480" s="122" t="s">
        <v>262</v>
      </c>
      <c r="J480" s="202">
        <v>88820</v>
      </c>
      <c r="K480" s="201">
        <v>2</v>
      </c>
    </row>
    <row r="481" spans="1:11">
      <c r="A481" s="122">
        <v>499</v>
      </c>
      <c r="B481" s="204" t="s">
        <v>984</v>
      </c>
      <c r="C481" s="122" t="s">
        <v>271</v>
      </c>
      <c r="D481" s="122" t="s">
        <v>767</v>
      </c>
      <c r="E481" s="122" t="s">
        <v>256</v>
      </c>
      <c r="F481" s="203">
        <v>36673</v>
      </c>
      <c r="G481" s="122" t="str">
        <f>CHOOSE(MONTH(F481),"January","February","March","April","May","June","July","August","September","October","November","December")</f>
        <v>May</v>
      </c>
      <c r="H481" s="122">
        <f ca="1">DATEDIF(F481,TODAY(),"Y")</f>
        <v>16</v>
      </c>
      <c r="I481" s="122" t="s">
        <v>276</v>
      </c>
      <c r="J481" s="202">
        <v>48330</v>
      </c>
      <c r="K481" s="201">
        <v>1</v>
      </c>
    </row>
    <row r="482" spans="1:11">
      <c r="A482" s="122">
        <v>500</v>
      </c>
      <c r="B482" s="204" t="s">
        <v>393</v>
      </c>
      <c r="C482" s="122" t="s">
        <v>245</v>
      </c>
      <c r="D482" s="122" t="s">
        <v>767</v>
      </c>
      <c r="E482" s="122" t="s">
        <v>256</v>
      </c>
      <c r="F482" s="203">
        <v>35821</v>
      </c>
      <c r="G482" s="122" t="str">
        <f>CHOOSE(MONTH(F482),"January","February","March","April","May","June","July","August","September","October","November","December")</f>
        <v>January</v>
      </c>
      <c r="H482" s="122">
        <f ca="1">DATEDIF(F482,TODAY(),"Y")</f>
        <v>18</v>
      </c>
      <c r="I482" s="122" t="s">
        <v>267</v>
      </c>
      <c r="J482" s="202">
        <v>22870</v>
      </c>
      <c r="K482" s="201">
        <v>3</v>
      </c>
    </row>
    <row r="483" spans="1:11">
      <c r="A483" s="122">
        <v>501</v>
      </c>
      <c r="B483" s="204" t="s">
        <v>364</v>
      </c>
      <c r="C483" s="122" t="s">
        <v>271</v>
      </c>
      <c r="D483" s="122" t="s">
        <v>767</v>
      </c>
      <c r="E483" s="122" t="s">
        <v>256</v>
      </c>
      <c r="F483" s="203">
        <v>37138</v>
      </c>
      <c r="G483" s="122" t="str">
        <f>CHOOSE(MONTH(F483),"January","February","March","April","May","June","July","August","September","October","November","December")</f>
        <v>September</v>
      </c>
      <c r="H483" s="122">
        <f ca="1">DATEDIF(F483,TODAY(),"Y")</f>
        <v>15</v>
      </c>
      <c r="I483" s="122" t="s">
        <v>257</v>
      </c>
      <c r="J483" s="202">
        <v>29130</v>
      </c>
      <c r="K483" s="201">
        <v>1</v>
      </c>
    </row>
    <row r="484" spans="1:11">
      <c r="A484" s="122">
        <v>502</v>
      </c>
      <c r="B484" s="204" t="s">
        <v>352</v>
      </c>
      <c r="C484" s="122" t="s">
        <v>271</v>
      </c>
      <c r="D484" s="122" t="s">
        <v>767</v>
      </c>
      <c r="E484" s="122" t="s">
        <v>256</v>
      </c>
      <c r="F484" s="203">
        <v>40624</v>
      </c>
      <c r="G484" s="122" t="str">
        <f>CHOOSE(MONTH(F484),"January","February","March","April","May","June","July","August","September","October","November","December")</f>
        <v>March</v>
      </c>
      <c r="H484" s="122">
        <f ca="1">DATEDIF(F484,TODAY(),"Y")</f>
        <v>5</v>
      </c>
      <c r="I484" s="122" t="s">
        <v>276</v>
      </c>
      <c r="J484" s="202">
        <v>86500</v>
      </c>
      <c r="K484" s="201">
        <v>1</v>
      </c>
    </row>
    <row r="485" spans="1:11">
      <c r="A485" s="122">
        <v>503</v>
      </c>
      <c r="B485" s="204" t="s">
        <v>653</v>
      </c>
      <c r="C485" s="122" t="s">
        <v>271</v>
      </c>
      <c r="D485" s="122" t="s">
        <v>767</v>
      </c>
      <c r="E485" s="122" t="s">
        <v>256</v>
      </c>
      <c r="F485" s="203">
        <v>36195</v>
      </c>
      <c r="G485" s="122" t="str">
        <f>CHOOSE(MONTH(F485),"January","February","March","April","May","June","July","August","September","October","November","December")</f>
        <v>February</v>
      </c>
      <c r="H485" s="122">
        <f ca="1">DATEDIF(F485,TODAY(),"Y")</f>
        <v>17</v>
      </c>
      <c r="I485" s="122" t="s">
        <v>267</v>
      </c>
      <c r="J485" s="202">
        <v>46360</v>
      </c>
      <c r="K485" s="201">
        <v>5</v>
      </c>
    </row>
    <row r="486" spans="1:11">
      <c r="A486" s="122">
        <v>504</v>
      </c>
      <c r="B486" s="204" t="s">
        <v>774</v>
      </c>
      <c r="C486" s="122" t="s">
        <v>285</v>
      </c>
      <c r="D486" s="122" t="s">
        <v>767</v>
      </c>
      <c r="E486" s="122" t="s">
        <v>247</v>
      </c>
      <c r="F486" s="203">
        <v>34658</v>
      </c>
      <c r="G486" s="122" t="str">
        <f>CHOOSE(MONTH(F486),"January","February","March","April","May","June","July","August","September","October","November","December")</f>
        <v>November</v>
      </c>
      <c r="H486" s="122">
        <f ca="1">DATEDIF(F486,TODAY(),"Y")</f>
        <v>21</v>
      </c>
      <c r="J486" s="202">
        <v>85980</v>
      </c>
      <c r="K486" s="201">
        <v>2</v>
      </c>
    </row>
    <row r="487" spans="1:11">
      <c r="A487" s="122">
        <v>505</v>
      </c>
      <c r="B487" s="204" t="s">
        <v>827</v>
      </c>
      <c r="C487" s="122" t="s">
        <v>285</v>
      </c>
      <c r="D487" s="122" t="s">
        <v>767</v>
      </c>
      <c r="E487" s="122" t="s">
        <v>256</v>
      </c>
      <c r="F487" s="203">
        <v>39362</v>
      </c>
      <c r="G487" s="122" t="str">
        <f>CHOOSE(MONTH(F487),"January","February","March","April","May","June","July","August","September","October","November","December")</f>
        <v>October</v>
      </c>
      <c r="H487" s="122">
        <f ca="1">DATEDIF(F487,TODAY(),"Y")</f>
        <v>9</v>
      </c>
      <c r="I487" s="122" t="s">
        <v>262</v>
      </c>
      <c r="J487" s="202">
        <v>42020</v>
      </c>
      <c r="K487" s="201">
        <v>5</v>
      </c>
    </row>
    <row r="488" spans="1:11">
      <c r="A488" s="122">
        <v>506</v>
      </c>
      <c r="B488" s="204" t="s">
        <v>638</v>
      </c>
      <c r="C488" s="122" t="s">
        <v>285</v>
      </c>
      <c r="D488" s="122" t="s">
        <v>767</v>
      </c>
      <c r="E488" s="122" t="s">
        <v>252</v>
      </c>
      <c r="F488" s="203">
        <v>36340</v>
      </c>
      <c r="G488" s="122" t="str">
        <f>CHOOSE(MONTH(F488),"January","February","March","April","May","June","July","August","September","October","November","December")</f>
        <v>June</v>
      </c>
      <c r="H488" s="122">
        <f ca="1">DATEDIF(F488,TODAY(),"Y")</f>
        <v>17</v>
      </c>
      <c r="J488" s="202">
        <v>37016</v>
      </c>
      <c r="K488" s="201">
        <v>4</v>
      </c>
    </row>
    <row r="489" spans="1:11">
      <c r="A489" s="122">
        <v>507</v>
      </c>
      <c r="B489" s="204" t="s">
        <v>708</v>
      </c>
      <c r="C489" s="122" t="s">
        <v>245</v>
      </c>
      <c r="D489" s="122" t="s">
        <v>767</v>
      </c>
      <c r="E489" s="122" t="s">
        <v>247</v>
      </c>
      <c r="F489" s="203">
        <v>33167</v>
      </c>
      <c r="G489" s="122" t="str">
        <f>CHOOSE(MONTH(F489),"January","February","March","April","May","June","July","August","September","October","November","December")</f>
        <v>October</v>
      </c>
      <c r="H489" s="122">
        <f ca="1">DATEDIF(F489,TODAY(),"Y")</f>
        <v>26</v>
      </c>
      <c r="J489" s="202">
        <v>23020</v>
      </c>
      <c r="K489" s="201">
        <v>4</v>
      </c>
    </row>
    <row r="490" spans="1:11">
      <c r="A490" s="122">
        <v>508</v>
      </c>
      <c r="B490" s="204" t="s">
        <v>776</v>
      </c>
      <c r="C490" s="122" t="s">
        <v>251</v>
      </c>
      <c r="D490" s="122" t="s">
        <v>767</v>
      </c>
      <c r="E490" s="122" t="s">
        <v>256</v>
      </c>
      <c r="F490" s="203">
        <v>36136</v>
      </c>
      <c r="G490" s="122" t="str">
        <f>CHOOSE(MONTH(F490),"January","February","March","April","May","June","July","August","September","October","November","December")</f>
        <v>December</v>
      </c>
      <c r="H490" s="122">
        <f ca="1">DATEDIF(F490,TODAY(),"Y")</f>
        <v>17</v>
      </c>
      <c r="I490" s="122" t="s">
        <v>283</v>
      </c>
      <c r="J490" s="202">
        <v>45000</v>
      </c>
      <c r="K490" s="201">
        <v>4</v>
      </c>
    </row>
    <row r="491" spans="1:11">
      <c r="A491" s="122">
        <v>509</v>
      </c>
      <c r="B491" s="204" t="s">
        <v>726</v>
      </c>
      <c r="C491" s="122" t="s">
        <v>271</v>
      </c>
      <c r="D491" s="122" t="s">
        <v>767</v>
      </c>
      <c r="E491" s="122" t="s">
        <v>256</v>
      </c>
      <c r="F491" s="203">
        <v>34061</v>
      </c>
      <c r="G491" s="122" t="str">
        <f>CHOOSE(MONTH(F491),"January","February","March","April","May","June","July","August","September","October","November","December")</f>
        <v>April</v>
      </c>
      <c r="H491" s="122">
        <f ca="1">DATEDIF(F491,TODAY(),"Y")</f>
        <v>23</v>
      </c>
      <c r="I491" s="122" t="s">
        <v>257</v>
      </c>
      <c r="J491" s="202">
        <v>23320</v>
      </c>
      <c r="K491" s="201">
        <v>4</v>
      </c>
    </row>
    <row r="492" spans="1:11">
      <c r="A492" s="122">
        <v>510</v>
      </c>
      <c r="B492" s="204" t="s">
        <v>985</v>
      </c>
      <c r="C492" s="122" t="s">
        <v>245</v>
      </c>
      <c r="D492" s="122" t="s">
        <v>767</v>
      </c>
      <c r="E492" s="122" t="s">
        <v>247</v>
      </c>
      <c r="F492" s="203">
        <v>33638</v>
      </c>
      <c r="G492" s="122" t="str">
        <f>CHOOSE(MONTH(F492),"January","February","March","April","May","June","July","August","September","October","November","December")</f>
        <v>February</v>
      </c>
      <c r="H492" s="122">
        <f ca="1">DATEDIF(F492,TODAY(),"Y")</f>
        <v>24</v>
      </c>
      <c r="J492" s="202">
        <v>47590</v>
      </c>
      <c r="K492" s="201">
        <v>3</v>
      </c>
    </row>
    <row r="493" spans="1:11">
      <c r="A493" s="122">
        <v>511</v>
      </c>
      <c r="B493" s="204" t="s">
        <v>948</v>
      </c>
      <c r="C493" s="122" t="s">
        <v>271</v>
      </c>
      <c r="D493" s="122" t="s">
        <v>767</v>
      </c>
      <c r="E493" s="122" t="s">
        <v>256</v>
      </c>
      <c r="F493" s="203">
        <v>33526</v>
      </c>
      <c r="G493" s="122" t="str">
        <f>CHOOSE(MONTH(F493),"January","February","March","April","May","June","July","August","September","October","November","December")</f>
        <v>October</v>
      </c>
      <c r="H493" s="122">
        <f ca="1">DATEDIF(F493,TODAY(),"Y")</f>
        <v>25</v>
      </c>
      <c r="I493" s="122" t="s">
        <v>267</v>
      </c>
      <c r="J493" s="202">
        <v>79400</v>
      </c>
      <c r="K493" s="201">
        <v>4</v>
      </c>
    </row>
    <row r="494" spans="1:11">
      <c r="A494" s="122">
        <v>512</v>
      </c>
      <c r="B494" s="204" t="s">
        <v>557</v>
      </c>
      <c r="C494" s="122" t="s">
        <v>271</v>
      </c>
      <c r="D494" s="122" t="s">
        <v>767</v>
      </c>
      <c r="E494" s="122" t="s">
        <v>247</v>
      </c>
      <c r="F494" s="203">
        <v>33402</v>
      </c>
      <c r="G494" s="122" t="str">
        <f>CHOOSE(MONTH(F494),"January","February","March","April","May","June","July","August","September","October","November","December")</f>
        <v>June</v>
      </c>
      <c r="H494" s="122">
        <f ca="1">DATEDIF(F494,TODAY(),"Y")</f>
        <v>25</v>
      </c>
      <c r="J494" s="202">
        <v>79380</v>
      </c>
      <c r="K494" s="201">
        <v>1</v>
      </c>
    </row>
    <row r="495" spans="1:11">
      <c r="A495" s="122">
        <v>513</v>
      </c>
      <c r="B495" s="204" t="s">
        <v>596</v>
      </c>
      <c r="C495" s="122" t="s">
        <v>251</v>
      </c>
      <c r="D495" s="122" t="s">
        <v>767</v>
      </c>
      <c r="E495" s="122" t="s">
        <v>247</v>
      </c>
      <c r="F495" s="203">
        <v>35699</v>
      </c>
      <c r="G495" s="122" t="str">
        <f>CHOOSE(MONTH(F495),"January","February","March","April","May","June","July","August","September","October","November","December")</f>
        <v>September</v>
      </c>
      <c r="H495" s="122">
        <f ca="1">DATEDIF(F495,TODAY(),"Y")</f>
        <v>19</v>
      </c>
      <c r="J495" s="202">
        <v>36230</v>
      </c>
      <c r="K495" s="201">
        <v>2</v>
      </c>
    </row>
    <row r="496" spans="1:11">
      <c r="A496" s="122">
        <v>514</v>
      </c>
      <c r="B496" s="204" t="s">
        <v>609</v>
      </c>
      <c r="C496" s="122" t="s">
        <v>245</v>
      </c>
      <c r="D496" s="122" t="s">
        <v>767</v>
      </c>
      <c r="E496" s="122" t="s">
        <v>247</v>
      </c>
      <c r="F496" s="203">
        <v>33578</v>
      </c>
      <c r="G496" s="122" t="str">
        <f>CHOOSE(MONTH(F496),"January","February","March","April","May","June","July","August","September","October","November","December")</f>
        <v>December</v>
      </c>
      <c r="H496" s="122">
        <f ca="1">DATEDIF(F496,TODAY(),"Y")</f>
        <v>24</v>
      </c>
      <c r="J496" s="202">
        <v>50840</v>
      </c>
      <c r="K496" s="201">
        <v>4</v>
      </c>
    </row>
    <row r="497" spans="1:11">
      <c r="A497" s="122">
        <v>515</v>
      </c>
      <c r="B497" s="204" t="s">
        <v>449</v>
      </c>
      <c r="C497" s="122" t="s">
        <v>271</v>
      </c>
      <c r="D497" s="122" t="s">
        <v>767</v>
      </c>
      <c r="E497" s="122" t="s">
        <v>261</v>
      </c>
      <c r="F497" s="203">
        <v>40166</v>
      </c>
      <c r="G497" s="122" t="str">
        <f>CHOOSE(MONTH(F497),"January","February","March","April","May","June","July","August","September","October","November","December")</f>
        <v>December</v>
      </c>
      <c r="H497" s="122">
        <f ca="1">DATEDIF(F497,TODAY(),"Y")</f>
        <v>6</v>
      </c>
      <c r="I497" s="122" t="s">
        <v>276</v>
      </c>
      <c r="J497" s="202">
        <v>25245</v>
      </c>
      <c r="K497" s="201">
        <v>5</v>
      </c>
    </row>
    <row r="498" spans="1:11">
      <c r="A498" s="122">
        <v>516</v>
      </c>
      <c r="B498" s="204" t="s">
        <v>995</v>
      </c>
      <c r="C498" s="122" t="s">
        <v>245</v>
      </c>
      <c r="D498" s="122" t="s">
        <v>767</v>
      </c>
      <c r="E498" s="122" t="s">
        <v>247</v>
      </c>
      <c r="F498" s="203">
        <v>36086</v>
      </c>
      <c r="G498" s="122" t="str">
        <f>CHOOSE(MONTH(F498),"January","February","March","April","May","June","July","August","September","October","November","December")</f>
        <v>October</v>
      </c>
      <c r="H498" s="122">
        <f ca="1">DATEDIF(F498,TODAY(),"Y")</f>
        <v>18</v>
      </c>
      <c r="J498" s="202">
        <v>47520</v>
      </c>
      <c r="K498" s="201">
        <v>1</v>
      </c>
    </row>
    <row r="499" spans="1:11">
      <c r="A499" s="122">
        <v>517</v>
      </c>
      <c r="B499" s="204" t="s">
        <v>330</v>
      </c>
      <c r="C499" s="122" t="s">
        <v>285</v>
      </c>
      <c r="D499" s="122" t="s">
        <v>767</v>
      </c>
      <c r="E499" s="122" t="s">
        <v>256</v>
      </c>
      <c r="F499" s="203">
        <v>37701</v>
      </c>
      <c r="G499" s="122" t="str">
        <f>CHOOSE(MONTH(F499),"January","February","March","April","May","June","July","August","September","October","November","December")</f>
        <v>March</v>
      </c>
      <c r="H499" s="122">
        <f ca="1">DATEDIF(F499,TODAY(),"Y")</f>
        <v>13</v>
      </c>
      <c r="I499" s="122" t="s">
        <v>262</v>
      </c>
      <c r="J499" s="202">
        <v>23560</v>
      </c>
      <c r="K499" s="201">
        <v>3</v>
      </c>
    </row>
    <row r="500" spans="1:11">
      <c r="A500" s="122">
        <v>518</v>
      </c>
      <c r="B500" s="204" t="s">
        <v>584</v>
      </c>
      <c r="C500" s="122" t="s">
        <v>271</v>
      </c>
      <c r="D500" s="122" t="s">
        <v>767</v>
      </c>
      <c r="E500" s="122" t="s">
        <v>256</v>
      </c>
      <c r="F500" s="203">
        <v>33460</v>
      </c>
      <c r="G500" s="122" t="str">
        <f>CHOOSE(MONTH(F500),"January","February","March","April","May","June","July","August","September","October","November","December")</f>
        <v>August</v>
      </c>
      <c r="H500" s="122">
        <f ca="1">DATEDIF(F500,TODAY(),"Y")</f>
        <v>25</v>
      </c>
      <c r="I500" s="122" t="s">
        <v>267</v>
      </c>
      <c r="J500" s="202">
        <v>77740</v>
      </c>
      <c r="K500" s="201">
        <v>1</v>
      </c>
    </row>
    <row r="501" spans="1:11">
      <c r="A501" s="122">
        <v>519</v>
      </c>
      <c r="B501" s="204" t="s">
        <v>556</v>
      </c>
      <c r="C501" s="122" t="s">
        <v>280</v>
      </c>
      <c r="D501" s="122" t="s">
        <v>767</v>
      </c>
      <c r="E501" s="122" t="s">
        <v>256</v>
      </c>
      <c r="F501" s="203">
        <v>37848</v>
      </c>
      <c r="G501" s="122" t="str">
        <f>CHOOSE(MONTH(F501),"January","February","March","April","May","June","July","August","September","October","November","December")</f>
        <v>August</v>
      </c>
      <c r="H501" s="122">
        <f ca="1">DATEDIF(F501,TODAY(),"Y")</f>
        <v>13</v>
      </c>
      <c r="I501" s="122" t="s">
        <v>262</v>
      </c>
      <c r="J501" s="202">
        <v>76910</v>
      </c>
      <c r="K501" s="201">
        <v>2</v>
      </c>
    </row>
    <row r="502" spans="1:11">
      <c r="A502" s="122">
        <v>520</v>
      </c>
      <c r="B502" s="204" t="s">
        <v>976</v>
      </c>
      <c r="C502" s="122" t="s">
        <v>280</v>
      </c>
      <c r="D502" s="122" t="s">
        <v>767</v>
      </c>
      <c r="E502" s="122" t="s">
        <v>247</v>
      </c>
      <c r="F502" s="203">
        <v>34915</v>
      </c>
      <c r="G502" s="122" t="str">
        <f>CHOOSE(MONTH(F502),"January","February","March","April","May","June","July","August","September","October","November","December")</f>
        <v>August</v>
      </c>
      <c r="H502" s="122">
        <f ca="1">DATEDIF(F502,TODAY(),"Y")</f>
        <v>21</v>
      </c>
      <c r="J502" s="202">
        <v>76870</v>
      </c>
      <c r="K502" s="201">
        <v>5</v>
      </c>
    </row>
    <row r="503" spans="1:11">
      <c r="A503" s="122">
        <v>521</v>
      </c>
      <c r="B503" s="204" t="s">
        <v>780</v>
      </c>
      <c r="C503" s="122" t="s">
        <v>280</v>
      </c>
      <c r="D503" s="122" t="s">
        <v>767</v>
      </c>
      <c r="E503" s="122" t="s">
        <v>261</v>
      </c>
      <c r="F503" s="203">
        <v>36217</v>
      </c>
      <c r="G503" s="122" t="str">
        <f>CHOOSE(MONTH(F503),"January","February","March","April","May","June","July","August","September","October","November","December")</f>
        <v>February</v>
      </c>
      <c r="H503" s="122">
        <f ca="1">DATEDIF(F503,TODAY(),"Y")</f>
        <v>17</v>
      </c>
      <c r="I503" s="122" t="s">
        <v>283</v>
      </c>
      <c r="J503" s="202">
        <v>22475</v>
      </c>
      <c r="K503" s="201">
        <v>4</v>
      </c>
    </row>
    <row r="504" spans="1:11">
      <c r="A504" s="122">
        <v>522</v>
      </c>
      <c r="B504" s="204" t="s">
        <v>426</v>
      </c>
      <c r="C504" s="122" t="s">
        <v>285</v>
      </c>
      <c r="D504" s="122" t="s">
        <v>767</v>
      </c>
      <c r="E504" s="122" t="s">
        <v>256</v>
      </c>
      <c r="F504" s="203">
        <v>39446</v>
      </c>
      <c r="G504" s="122" t="str">
        <f>CHOOSE(MONTH(F504),"January","February","March","April","May","June","July","August","September","October","November","December")</f>
        <v>December</v>
      </c>
      <c r="H504" s="122">
        <f ca="1">DATEDIF(F504,TODAY(),"Y")</f>
        <v>8</v>
      </c>
      <c r="I504" s="122" t="s">
        <v>257</v>
      </c>
      <c r="J504" s="202">
        <v>44650</v>
      </c>
      <c r="K504" s="201">
        <v>1</v>
      </c>
    </row>
    <row r="505" spans="1:11">
      <c r="A505" s="122">
        <v>523</v>
      </c>
      <c r="B505" s="204" t="s">
        <v>548</v>
      </c>
      <c r="C505" s="122" t="s">
        <v>285</v>
      </c>
      <c r="D505" s="122" t="s">
        <v>767</v>
      </c>
      <c r="E505" s="122" t="s">
        <v>256</v>
      </c>
      <c r="F505" s="203">
        <v>33128</v>
      </c>
      <c r="G505" s="122" t="str">
        <f>CHOOSE(MONTH(F505),"January","February","March","April","May","June","July","August","September","October","November","December")</f>
        <v>September</v>
      </c>
      <c r="H505" s="122">
        <f ca="1">DATEDIF(F505,TODAY(),"Y")</f>
        <v>26</v>
      </c>
      <c r="I505" s="122" t="s">
        <v>267</v>
      </c>
      <c r="J505" s="202">
        <v>46110</v>
      </c>
      <c r="K505" s="201">
        <v>4</v>
      </c>
    </row>
    <row r="506" spans="1:11">
      <c r="A506" s="122">
        <v>524</v>
      </c>
      <c r="B506" s="204" t="s">
        <v>762</v>
      </c>
      <c r="C506" s="122" t="s">
        <v>285</v>
      </c>
      <c r="D506" s="122" t="s">
        <v>767</v>
      </c>
      <c r="E506" s="122" t="s">
        <v>256</v>
      </c>
      <c r="F506" s="203">
        <v>37568</v>
      </c>
      <c r="G506" s="122" t="str">
        <f>CHOOSE(MONTH(F506),"January","February","March","April","May","June","July","August","September","October","November","December")</f>
        <v>November</v>
      </c>
      <c r="H506" s="122">
        <f ca="1">DATEDIF(F506,TODAY(),"Y")</f>
        <v>14</v>
      </c>
      <c r="I506" s="122" t="s">
        <v>262</v>
      </c>
      <c r="J506" s="202">
        <v>45100</v>
      </c>
      <c r="K506" s="201">
        <v>2</v>
      </c>
    </row>
    <row r="507" spans="1:11">
      <c r="A507" s="122">
        <v>525</v>
      </c>
      <c r="B507" s="204" t="s">
        <v>820</v>
      </c>
      <c r="C507" s="122" t="s">
        <v>245</v>
      </c>
      <c r="D507" s="122" t="s">
        <v>767</v>
      </c>
      <c r="E507" s="122" t="s">
        <v>261</v>
      </c>
      <c r="F507" s="203">
        <v>33671</v>
      </c>
      <c r="G507" s="122" t="str">
        <f>CHOOSE(MONTH(F507),"January","February","March","April","May","June","July","August","September","October","November","December")</f>
        <v>March</v>
      </c>
      <c r="H507" s="122">
        <f ca="1">DATEDIF(F507,TODAY(),"Y")</f>
        <v>24</v>
      </c>
      <c r="I507" s="122" t="s">
        <v>257</v>
      </c>
      <c r="J507" s="202">
        <v>46380</v>
      </c>
      <c r="K507" s="201">
        <v>3</v>
      </c>
    </row>
    <row r="508" spans="1:11">
      <c r="A508" s="122">
        <v>526</v>
      </c>
      <c r="B508" s="204" t="s">
        <v>459</v>
      </c>
      <c r="C508" s="122" t="s">
        <v>266</v>
      </c>
      <c r="D508" s="122" t="s">
        <v>767</v>
      </c>
      <c r="E508" s="122" t="s">
        <v>256</v>
      </c>
      <c r="F508" s="203">
        <v>39217</v>
      </c>
      <c r="G508" s="122" t="str">
        <f>CHOOSE(MONTH(F508),"January","February","March","April","May","June","July","August","September","October","November","December")</f>
        <v>May</v>
      </c>
      <c r="H508" s="122">
        <f ca="1">DATEDIF(F508,TODAY(),"Y")</f>
        <v>9</v>
      </c>
      <c r="I508" s="122" t="s">
        <v>257</v>
      </c>
      <c r="J508" s="202">
        <v>73830</v>
      </c>
      <c r="K508" s="201">
        <v>2</v>
      </c>
    </row>
    <row r="509" spans="1:11">
      <c r="A509" s="122">
        <v>527</v>
      </c>
      <c r="B509" s="204" t="s">
        <v>534</v>
      </c>
      <c r="C509" s="122" t="s">
        <v>251</v>
      </c>
      <c r="D509" s="122" t="s">
        <v>767</v>
      </c>
      <c r="E509" s="122" t="s">
        <v>256</v>
      </c>
      <c r="F509" s="203">
        <v>35918</v>
      </c>
      <c r="G509" s="122" t="str">
        <f>CHOOSE(MONTH(F509),"January","February","March","April","May","June","July","August","September","October","November","December")</f>
        <v>May</v>
      </c>
      <c r="H509" s="122">
        <f ca="1">DATEDIF(F509,TODAY(),"Y")</f>
        <v>18</v>
      </c>
      <c r="I509" s="122" t="s">
        <v>262</v>
      </c>
      <c r="J509" s="202">
        <v>73740</v>
      </c>
      <c r="K509" s="201">
        <v>4</v>
      </c>
    </row>
    <row r="510" spans="1:11">
      <c r="A510" s="122">
        <v>528</v>
      </c>
      <c r="B510" s="204" t="s">
        <v>670</v>
      </c>
      <c r="C510" s="122" t="s">
        <v>285</v>
      </c>
      <c r="D510" s="122" t="s">
        <v>767</v>
      </c>
      <c r="E510" s="122" t="s">
        <v>247</v>
      </c>
      <c r="F510" s="203">
        <v>35146</v>
      </c>
      <c r="G510" s="122" t="str">
        <f>CHOOSE(MONTH(F510),"January","February","March","April","May","June","July","August","September","October","November","December")</f>
        <v>March</v>
      </c>
      <c r="H510" s="122">
        <f ca="1">DATEDIF(F510,TODAY(),"Y")</f>
        <v>20</v>
      </c>
      <c r="J510" s="202">
        <v>73190</v>
      </c>
      <c r="K510" s="201">
        <v>1</v>
      </c>
    </row>
    <row r="511" spans="1:11">
      <c r="A511" s="122">
        <v>529</v>
      </c>
      <c r="B511" s="204" t="s">
        <v>715</v>
      </c>
      <c r="C511" s="122" t="s">
        <v>245</v>
      </c>
      <c r="D511" s="122" t="s">
        <v>767</v>
      </c>
      <c r="E511" s="122" t="s">
        <v>256</v>
      </c>
      <c r="F511" s="203">
        <v>35286</v>
      </c>
      <c r="G511" s="122" t="str">
        <f>CHOOSE(MONTH(F511),"January","February","March","April","May","June","July","August","September","October","November","December")</f>
        <v>August</v>
      </c>
      <c r="H511" s="122">
        <f ca="1">DATEDIF(F511,TODAY(),"Y")</f>
        <v>20</v>
      </c>
      <c r="I511" s="122" t="s">
        <v>262</v>
      </c>
      <c r="J511" s="202">
        <v>72700</v>
      </c>
      <c r="K511" s="201">
        <v>5</v>
      </c>
    </row>
    <row r="512" spans="1:11">
      <c r="A512" s="122">
        <v>530</v>
      </c>
      <c r="B512" s="204" t="s">
        <v>965</v>
      </c>
      <c r="C512" s="122" t="s">
        <v>285</v>
      </c>
      <c r="D512" s="122" t="s">
        <v>767</v>
      </c>
      <c r="E512" s="122" t="s">
        <v>256</v>
      </c>
      <c r="F512" s="203">
        <v>35169</v>
      </c>
      <c r="G512" s="122" t="str">
        <f>CHOOSE(MONTH(F512),"January","February","March","April","May","June","July","August","September","October","November","December")</f>
        <v>April</v>
      </c>
      <c r="H512" s="122">
        <f ca="1">DATEDIF(F512,TODAY(),"Y")</f>
        <v>20</v>
      </c>
      <c r="I512" s="122" t="s">
        <v>276</v>
      </c>
      <c r="J512" s="202">
        <v>72640</v>
      </c>
      <c r="K512" s="201">
        <v>3</v>
      </c>
    </row>
    <row r="513" spans="1:11">
      <c r="A513" s="122">
        <v>531</v>
      </c>
      <c r="B513" s="204" t="s">
        <v>933</v>
      </c>
      <c r="C513" s="122" t="s">
        <v>285</v>
      </c>
      <c r="D513" s="122" t="s">
        <v>767</v>
      </c>
      <c r="E513" s="122" t="s">
        <v>256</v>
      </c>
      <c r="F513" s="203">
        <v>33573</v>
      </c>
      <c r="G513" s="122" t="str">
        <f>CHOOSE(MONTH(F513),"January","February","March","April","May","June","July","August","September","October","November","December")</f>
        <v>December</v>
      </c>
      <c r="H513" s="122">
        <f ca="1">DATEDIF(F513,TODAY(),"Y")</f>
        <v>24</v>
      </c>
      <c r="I513" s="122" t="s">
        <v>276</v>
      </c>
      <c r="J513" s="202">
        <v>71680</v>
      </c>
      <c r="K513" s="201">
        <v>4</v>
      </c>
    </row>
    <row r="514" spans="1:11">
      <c r="A514" s="122">
        <v>532</v>
      </c>
      <c r="B514" s="204" t="s">
        <v>497</v>
      </c>
      <c r="C514" s="122" t="s">
        <v>266</v>
      </c>
      <c r="D514" s="122" t="s">
        <v>767</v>
      </c>
      <c r="E514" s="122" t="s">
        <v>247</v>
      </c>
      <c r="F514" s="203">
        <v>36375</v>
      </c>
      <c r="G514" s="122" t="str">
        <f>CHOOSE(MONTH(F514),"January","February","March","April","May","June","July","August","September","October","November","December")</f>
        <v>August</v>
      </c>
      <c r="H514" s="122">
        <f ca="1">DATEDIF(F514,TODAY(),"Y")</f>
        <v>17</v>
      </c>
      <c r="J514" s="202">
        <v>71300</v>
      </c>
      <c r="K514" s="201">
        <v>5</v>
      </c>
    </row>
    <row r="515" spans="1:11">
      <c r="A515" s="122">
        <v>533</v>
      </c>
      <c r="B515" s="204" t="s">
        <v>1021</v>
      </c>
      <c r="C515" s="122" t="s">
        <v>245</v>
      </c>
      <c r="D515" s="122" t="s">
        <v>767</v>
      </c>
      <c r="E515" s="122" t="s">
        <v>252</v>
      </c>
      <c r="F515" s="203">
        <v>35946</v>
      </c>
      <c r="G515" s="122" t="str">
        <f>CHOOSE(MONTH(F515),"January","February","March","April","May","June","July","August","September","October","November","December")</f>
        <v>May</v>
      </c>
      <c r="H515" s="122">
        <f ca="1">DATEDIF(F515,TODAY(),"Y")</f>
        <v>18</v>
      </c>
      <c r="J515" s="202">
        <v>14332</v>
      </c>
      <c r="K515" s="201">
        <v>5</v>
      </c>
    </row>
    <row r="516" spans="1:11">
      <c r="A516" s="122">
        <v>534</v>
      </c>
      <c r="B516" s="204" t="s">
        <v>757</v>
      </c>
      <c r="C516" s="122" t="s">
        <v>280</v>
      </c>
      <c r="D516" s="122" t="s">
        <v>767</v>
      </c>
      <c r="E516" s="122" t="s">
        <v>261</v>
      </c>
      <c r="F516" s="203">
        <v>39728</v>
      </c>
      <c r="G516" s="122" t="str">
        <f>CHOOSE(MONTH(F516),"January","February","March","April","May","June","July","August","September","October","November","December")</f>
        <v>October</v>
      </c>
      <c r="H516" s="122">
        <f ca="1">DATEDIF(F516,TODAY(),"Y")</f>
        <v>8</v>
      </c>
      <c r="I516" s="122" t="s">
        <v>257</v>
      </c>
      <c r="J516" s="202">
        <v>45565</v>
      </c>
      <c r="K516" s="201">
        <v>1</v>
      </c>
    </row>
    <row r="517" spans="1:11">
      <c r="A517" s="122">
        <v>535</v>
      </c>
      <c r="B517" s="204" t="s">
        <v>430</v>
      </c>
      <c r="C517" s="122" t="s">
        <v>271</v>
      </c>
      <c r="D517" s="122" t="s">
        <v>767</v>
      </c>
      <c r="E517" s="122" t="s">
        <v>256</v>
      </c>
      <c r="F517" s="203">
        <v>34169</v>
      </c>
      <c r="G517" s="122" t="str">
        <f>CHOOSE(MONTH(F517),"January","February","March","April","May","June","July","August","September","October","November","December")</f>
        <v>July</v>
      </c>
      <c r="H517" s="122">
        <f ca="1">DATEDIF(F517,TODAY(),"Y")</f>
        <v>23</v>
      </c>
      <c r="I517" s="122" t="s">
        <v>267</v>
      </c>
      <c r="J517" s="202">
        <v>69420</v>
      </c>
      <c r="K517" s="201">
        <v>2</v>
      </c>
    </row>
    <row r="518" spans="1:11">
      <c r="A518" s="122">
        <v>536</v>
      </c>
      <c r="B518" s="204" t="s">
        <v>990</v>
      </c>
      <c r="C518" s="122" t="s">
        <v>285</v>
      </c>
      <c r="D518" s="122" t="s">
        <v>767</v>
      </c>
      <c r="E518" s="122" t="s">
        <v>261</v>
      </c>
      <c r="F518" s="203">
        <v>38173</v>
      </c>
      <c r="G518" s="122" t="str">
        <f>CHOOSE(MONTH(F518),"January","February","March","April","May","June","July","August","September","October","November","December")</f>
        <v>July</v>
      </c>
      <c r="H518" s="122">
        <f ca="1">DATEDIF(F518,TODAY(),"Y")</f>
        <v>12</v>
      </c>
      <c r="I518" s="122" t="s">
        <v>283</v>
      </c>
      <c r="J518" s="202">
        <v>32900</v>
      </c>
      <c r="K518" s="201">
        <v>2</v>
      </c>
    </row>
    <row r="519" spans="1:11">
      <c r="A519" s="122">
        <v>537</v>
      </c>
      <c r="B519" s="204" t="s">
        <v>578</v>
      </c>
      <c r="C519" s="122" t="s">
        <v>271</v>
      </c>
      <c r="D519" s="122" t="s">
        <v>767</v>
      </c>
      <c r="E519" s="122" t="s">
        <v>256</v>
      </c>
      <c r="F519" s="203">
        <v>36393</v>
      </c>
      <c r="G519" s="122" t="str">
        <f>CHOOSE(MONTH(F519),"January","February","March","April","May","June","July","August","September","October","November","December")</f>
        <v>August</v>
      </c>
      <c r="H519" s="122">
        <f ca="1">DATEDIF(F519,TODAY(),"Y")</f>
        <v>17</v>
      </c>
      <c r="I519" s="122" t="s">
        <v>283</v>
      </c>
      <c r="J519" s="202">
        <v>65910</v>
      </c>
      <c r="K519" s="201">
        <v>5</v>
      </c>
    </row>
    <row r="520" spans="1:11">
      <c r="A520" s="122">
        <v>538</v>
      </c>
      <c r="B520" s="204" t="s">
        <v>287</v>
      </c>
      <c r="C520" s="122" t="s">
        <v>271</v>
      </c>
      <c r="D520" s="122" t="s">
        <v>767</v>
      </c>
      <c r="E520" s="122" t="s">
        <v>256</v>
      </c>
      <c r="F520" s="203">
        <v>39047</v>
      </c>
      <c r="G520" s="122" t="str">
        <f>CHOOSE(MONTH(F520),"January","February","March","April","May","June","July","August","September","October","November","December")</f>
        <v>November</v>
      </c>
      <c r="H520" s="122">
        <f ca="1">DATEDIF(F520,TODAY(),"Y")</f>
        <v>9</v>
      </c>
      <c r="I520" s="122" t="s">
        <v>283</v>
      </c>
      <c r="J520" s="202">
        <v>65880</v>
      </c>
      <c r="K520" s="201">
        <v>5</v>
      </c>
    </row>
    <row r="521" spans="1:11">
      <c r="A521" s="122">
        <v>539</v>
      </c>
      <c r="B521" s="204" t="s">
        <v>546</v>
      </c>
      <c r="C521" s="122" t="s">
        <v>271</v>
      </c>
      <c r="D521" s="122" t="s">
        <v>767</v>
      </c>
      <c r="E521" s="122" t="s">
        <v>247</v>
      </c>
      <c r="F521" s="203">
        <v>33949</v>
      </c>
      <c r="G521" s="122" t="str">
        <f>CHOOSE(MONTH(F521),"January","February","March","April","May","June","July","August","September","October","November","December")</f>
        <v>December</v>
      </c>
      <c r="H521" s="122">
        <f ca="1">DATEDIF(F521,TODAY(),"Y")</f>
        <v>23</v>
      </c>
      <c r="J521" s="202">
        <v>44720</v>
      </c>
      <c r="K521" s="201">
        <v>2</v>
      </c>
    </row>
    <row r="522" spans="1:11">
      <c r="A522" s="122">
        <v>540</v>
      </c>
      <c r="B522" s="204" t="s">
        <v>875</v>
      </c>
      <c r="C522" s="122" t="s">
        <v>245</v>
      </c>
      <c r="D522" s="122" t="s">
        <v>767</v>
      </c>
      <c r="E522" s="122" t="s">
        <v>256</v>
      </c>
      <c r="F522" s="203">
        <v>34989</v>
      </c>
      <c r="G522" s="122" t="str">
        <f>CHOOSE(MONTH(F522),"January","February","March","April","May","June","July","August","September","October","November","December")</f>
        <v>October</v>
      </c>
      <c r="H522" s="122">
        <f ca="1">DATEDIF(F522,TODAY(),"Y")</f>
        <v>21</v>
      </c>
      <c r="I522" s="122" t="s">
        <v>257</v>
      </c>
      <c r="J522" s="202">
        <v>50570</v>
      </c>
      <c r="K522" s="201">
        <v>4</v>
      </c>
    </row>
    <row r="523" spans="1:11">
      <c r="A523" s="122">
        <v>541</v>
      </c>
      <c r="B523" s="204" t="s">
        <v>974</v>
      </c>
      <c r="C523" s="122" t="s">
        <v>266</v>
      </c>
      <c r="D523" s="122" t="s">
        <v>767</v>
      </c>
      <c r="E523" s="122" t="s">
        <v>261</v>
      </c>
      <c r="F523" s="203">
        <v>40293</v>
      </c>
      <c r="G523" s="122" t="str">
        <f>CHOOSE(MONTH(F523),"January","February","March","April","May","June","July","August","September","October","November","December")</f>
        <v>April</v>
      </c>
      <c r="H523" s="122">
        <f ca="1">DATEDIF(F523,TODAY(),"Y")</f>
        <v>6</v>
      </c>
      <c r="I523" s="122" t="s">
        <v>257</v>
      </c>
      <c r="J523" s="202">
        <v>11810</v>
      </c>
      <c r="K523" s="201">
        <v>1</v>
      </c>
    </row>
    <row r="524" spans="1:11">
      <c r="A524" s="122">
        <v>542</v>
      </c>
      <c r="B524" s="204" t="s">
        <v>1032</v>
      </c>
      <c r="C524" s="122" t="s">
        <v>285</v>
      </c>
      <c r="D524" s="122" t="s">
        <v>767</v>
      </c>
      <c r="E524" s="122" t="s">
        <v>256</v>
      </c>
      <c r="F524" s="203">
        <v>39864</v>
      </c>
      <c r="G524" s="122" t="str">
        <f>CHOOSE(MONTH(F524),"January","February","March","April","May","June","July","August","September","October","November","December")</f>
        <v>February</v>
      </c>
      <c r="H524" s="122">
        <f ca="1">DATEDIF(F524,TODAY(),"Y")</f>
        <v>7</v>
      </c>
      <c r="I524" s="122" t="s">
        <v>257</v>
      </c>
      <c r="J524" s="202">
        <v>64320</v>
      </c>
      <c r="K524" s="201">
        <v>5</v>
      </c>
    </row>
    <row r="525" spans="1:11">
      <c r="A525" s="122">
        <v>543</v>
      </c>
      <c r="B525" s="204" t="s">
        <v>362</v>
      </c>
      <c r="C525" s="122" t="s">
        <v>271</v>
      </c>
      <c r="D525" s="122" t="s">
        <v>767</v>
      </c>
      <c r="E525" s="122" t="s">
        <v>247</v>
      </c>
      <c r="F525" s="203">
        <v>40404</v>
      </c>
      <c r="G525" s="122" t="str">
        <f>CHOOSE(MONTH(F525),"January","February","March","April","May","June","July","August","September","October","November","December")</f>
        <v>August</v>
      </c>
      <c r="H525" s="122">
        <f ca="1">DATEDIF(F525,TODAY(),"Y")</f>
        <v>6</v>
      </c>
      <c r="J525" s="202">
        <v>39550</v>
      </c>
      <c r="K525" s="201">
        <v>5</v>
      </c>
    </row>
    <row r="526" spans="1:11">
      <c r="A526" s="122">
        <v>544</v>
      </c>
      <c r="B526" s="204" t="s">
        <v>739</v>
      </c>
      <c r="C526" s="122" t="s">
        <v>285</v>
      </c>
      <c r="D526" s="122" t="s">
        <v>767</v>
      </c>
      <c r="E526" s="122" t="s">
        <v>256</v>
      </c>
      <c r="F526" s="203">
        <v>34149</v>
      </c>
      <c r="G526" s="122" t="str">
        <f>CHOOSE(MONTH(F526),"January","February","March","April","May","June","July","August","September","October","November","December")</f>
        <v>June</v>
      </c>
      <c r="H526" s="122">
        <f ca="1">DATEDIF(F526,TODAY(),"Y")</f>
        <v>23</v>
      </c>
      <c r="I526" s="122" t="s">
        <v>276</v>
      </c>
      <c r="J526" s="202">
        <v>63440</v>
      </c>
      <c r="K526" s="201">
        <v>3</v>
      </c>
    </row>
    <row r="527" spans="1:11">
      <c r="A527" s="122">
        <v>545</v>
      </c>
      <c r="B527" s="204" t="s">
        <v>434</v>
      </c>
      <c r="C527" s="122" t="s">
        <v>285</v>
      </c>
      <c r="D527" s="122" t="s">
        <v>767</v>
      </c>
      <c r="E527" s="122" t="s">
        <v>256</v>
      </c>
      <c r="F527" s="203">
        <v>35528</v>
      </c>
      <c r="G527" s="122" t="str">
        <f>CHOOSE(MONTH(F527),"January","February","March","April","May","June","July","August","September","October","November","December")</f>
        <v>April</v>
      </c>
      <c r="H527" s="122">
        <f ca="1">DATEDIF(F527,TODAY(),"Y")</f>
        <v>19</v>
      </c>
      <c r="I527" s="122" t="s">
        <v>257</v>
      </c>
      <c r="J527" s="202">
        <v>63270</v>
      </c>
      <c r="K527" s="201">
        <v>1</v>
      </c>
    </row>
    <row r="528" spans="1:11">
      <c r="A528" s="122">
        <v>546</v>
      </c>
      <c r="B528" s="204" t="s">
        <v>642</v>
      </c>
      <c r="C528" s="122" t="s">
        <v>285</v>
      </c>
      <c r="D528" s="122" t="s">
        <v>767</v>
      </c>
      <c r="E528" s="122" t="s">
        <v>256</v>
      </c>
      <c r="F528" s="203">
        <v>40477</v>
      </c>
      <c r="G528" s="122" t="str">
        <f>CHOOSE(MONTH(F528),"January","February","March","April","May","June","July","August","September","October","November","December")</f>
        <v>October</v>
      </c>
      <c r="H528" s="122">
        <f ca="1">DATEDIF(F528,TODAY(),"Y")</f>
        <v>6</v>
      </c>
      <c r="I528" s="122" t="s">
        <v>267</v>
      </c>
      <c r="J528" s="202">
        <v>63206</v>
      </c>
      <c r="K528" s="201">
        <v>1</v>
      </c>
    </row>
    <row r="529" spans="1:11">
      <c r="A529" s="122">
        <v>547</v>
      </c>
      <c r="B529" s="204" t="s">
        <v>913</v>
      </c>
      <c r="C529" s="122" t="s">
        <v>271</v>
      </c>
      <c r="D529" s="122" t="s">
        <v>767</v>
      </c>
      <c r="E529" s="122" t="s">
        <v>256</v>
      </c>
      <c r="F529" s="203">
        <v>33361</v>
      </c>
      <c r="G529" s="122" t="str">
        <f>CHOOSE(MONTH(F529),"January","February","March","April","May","June","July","August","September","October","November","December")</f>
        <v>May</v>
      </c>
      <c r="H529" s="122">
        <f ca="1">DATEDIF(F529,TODAY(),"Y")</f>
        <v>25</v>
      </c>
      <c r="I529" s="122" t="s">
        <v>257</v>
      </c>
      <c r="J529" s="202">
        <v>24090</v>
      </c>
      <c r="K529" s="201">
        <v>4</v>
      </c>
    </row>
    <row r="530" spans="1:11">
      <c r="A530" s="122">
        <v>548</v>
      </c>
      <c r="B530" s="204" t="s">
        <v>832</v>
      </c>
      <c r="C530" s="122" t="s">
        <v>245</v>
      </c>
      <c r="D530" s="122" t="s">
        <v>767</v>
      </c>
      <c r="E530" s="122" t="s">
        <v>261</v>
      </c>
      <c r="F530" s="203">
        <v>34793</v>
      </c>
      <c r="G530" s="122" t="str">
        <f>CHOOSE(MONTH(F530),"January","February","March","April","May","June","July","August","September","October","November","December")</f>
        <v>April</v>
      </c>
      <c r="H530" s="122">
        <f ca="1">DATEDIF(F530,TODAY(),"Y")</f>
        <v>21</v>
      </c>
      <c r="I530" s="122" t="s">
        <v>283</v>
      </c>
      <c r="J530" s="202">
        <v>10700</v>
      </c>
      <c r="K530" s="201">
        <v>4</v>
      </c>
    </row>
    <row r="531" spans="1:11">
      <c r="A531" s="122">
        <v>549</v>
      </c>
      <c r="B531" s="204" t="s">
        <v>607</v>
      </c>
      <c r="C531" s="122" t="s">
        <v>271</v>
      </c>
      <c r="D531" s="122" t="s">
        <v>767</v>
      </c>
      <c r="E531" s="122" t="s">
        <v>261</v>
      </c>
      <c r="F531" s="203">
        <v>37249</v>
      </c>
      <c r="G531" s="122" t="str">
        <f>CHOOSE(MONTH(F531),"January","February","March","April","May","June","July","August","September","October","November","December")</f>
        <v>December</v>
      </c>
      <c r="H531" s="122">
        <f ca="1">DATEDIF(F531,TODAY(),"Y")</f>
        <v>14</v>
      </c>
      <c r="I531" s="122" t="s">
        <v>276</v>
      </c>
      <c r="J531" s="202">
        <v>12545</v>
      </c>
      <c r="K531" s="201">
        <v>4</v>
      </c>
    </row>
    <row r="532" spans="1:11">
      <c r="A532" s="122">
        <v>550</v>
      </c>
      <c r="B532" s="204" t="s">
        <v>437</v>
      </c>
      <c r="C532" s="122" t="s">
        <v>271</v>
      </c>
      <c r="D532" s="122" t="s">
        <v>767</v>
      </c>
      <c r="E532" s="122" t="s">
        <v>256</v>
      </c>
      <c r="F532" s="203">
        <v>35990</v>
      </c>
      <c r="G532" s="122" t="str">
        <f>CHOOSE(MONTH(F532),"January","February","March","April","May","June","July","August","September","October","November","December")</f>
        <v>July</v>
      </c>
      <c r="H532" s="122">
        <f ca="1">DATEDIF(F532,TODAY(),"Y")</f>
        <v>18</v>
      </c>
      <c r="I532" s="122" t="s">
        <v>276</v>
      </c>
      <c r="J532" s="202">
        <v>36890</v>
      </c>
      <c r="K532" s="201">
        <v>1</v>
      </c>
    </row>
    <row r="533" spans="1:11">
      <c r="A533" s="122">
        <v>551</v>
      </c>
      <c r="B533" s="204" t="s">
        <v>447</v>
      </c>
      <c r="C533" s="122" t="s">
        <v>266</v>
      </c>
      <c r="D533" s="122" t="s">
        <v>767</v>
      </c>
      <c r="E533" s="122" t="s">
        <v>256</v>
      </c>
      <c r="F533" s="203">
        <v>38790</v>
      </c>
      <c r="G533" s="122" t="str">
        <f>CHOOSE(MONTH(F533),"January","February","March","April","May","June","July","August","September","October","November","December")</f>
        <v>March</v>
      </c>
      <c r="H533" s="122">
        <f ca="1">DATEDIF(F533,TODAY(),"Y")</f>
        <v>10</v>
      </c>
      <c r="I533" s="122" t="s">
        <v>262</v>
      </c>
      <c r="J533" s="202">
        <v>62688</v>
      </c>
      <c r="K533" s="201">
        <v>3</v>
      </c>
    </row>
    <row r="534" spans="1:11">
      <c r="A534" s="122">
        <v>552</v>
      </c>
      <c r="B534" s="204" t="s">
        <v>1026</v>
      </c>
      <c r="C534" s="122" t="s">
        <v>245</v>
      </c>
      <c r="D534" s="122" t="s">
        <v>767</v>
      </c>
      <c r="E534" s="122" t="s">
        <v>247</v>
      </c>
      <c r="F534" s="203">
        <v>35541</v>
      </c>
      <c r="G534" s="122" t="str">
        <f>CHOOSE(MONTH(F534),"January","February","March","April","May","June","July","August","September","October","November","December")</f>
        <v>April</v>
      </c>
      <c r="H534" s="122">
        <f ca="1">DATEDIF(F534,TODAY(),"Y")</f>
        <v>19</v>
      </c>
      <c r="J534" s="202">
        <v>49530</v>
      </c>
      <c r="K534" s="201">
        <v>4</v>
      </c>
    </row>
    <row r="535" spans="1:11">
      <c r="A535" s="122">
        <v>553</v>
      </c>
      <c r="B535" s="204" t="s">
        <v>305</v>
      </c>
      <c r="C535" s="122" t="s">
        <v>271</v>
      </c>
      <c r="D535" s="122" t="s">
        <v>767</v>
      </c>
      <c r="E535" s="122" t="s">
        <v>256</v>
      </c>
      <c r="F535" s="203">
        <v>34222</v>
      </c>
      <c r="G535" s="122" t="str">
        <f>CHOOSE(MONTH(F535),"January","February","March","April","May","June","July","August","September","October","November","December")</f>
        <v>September</v>
      </c>
      <c r="H535" s="122">
        <f ca="1">DATEDIF(F535,TODAY(),"Y")</f>
        <v>23</v>
      </c>
      <c r="I535" s="122" t="s">
        <v>257</v>
      </c>
      <c r="J535" s="202">
        <v>62688</v>
      </c>
      <c r="K535" s="201">
        <v>2</v>
      </c>
    </row>
    <row r="536" spans="1:11">
      <c r="A536" s="122">
        <v>554</v>
      </c>
      <c r="B536" s="204" t="s">
        <v>369</v>
      </c>
      <c r="C536" s="122" t="s">
        <v>271</v>
      </c>
      <c r="D536" s="122" t="s">
        <v>767</v>
      </c>
      <c r="E536" s="122" t="s">
        <v>256</v>
      </c>
      <c r="F536" s="203">
        <v>36536</v>
      </c>
      <c r="G536" s="122" t="str">
        <f>CHOOSE(MONTH(F536),"January","February","March","April","May","June","July","August","September","October","November","December")</f>
        <v>January</v>
      </c>
      <c r="H536" s="122">
        <f ca="1">DATEDIF(F536,TODAY(),"Y")</f>
        <v>16</v>
      </c>
      <c r="I536" s="122" t="s">
        <v>257</v>
      </c>
      <c r="J536" s="202">
        <v>62400</v>
      </c>
      <c r="K536" s="201">
        <v>4</v>
      </c>
    </row>
    <row r="537" spans="1:11">
      <c r="A537" s="122">
        <v>555</v>
      </c>
      <c r="B537" s="204" t="s">
        <v>786</v>
      </c>
      <c r="C537" s="122" t="s">
        <v>285</v>
      </c>
      <c r="D537" s="122" t="s">
        <v>767</v>
      </c>
      <c r="E537" s="122" t="s">
        <v>247</v>
      </c>
      <c r="F537" s="203">
        <v>37526</v>
      </c>
      <c r="G537" s="122" t="str">
        <f>CHOOSE(MONTH(F537),"January","February","March","April","May","June","July","August","September","October","November","December")</f>
        <v>September</v>
      </c>
      <c r="H537" s="122">
        <f ca="1">DATEDIF(F537,TODAY(),"Y")</f>
        <v>14</v>
      </c>
      <c r="J537" s="202">
        <v>61580</v>
      </c>
      <c r="K537" s="201">
        <v>3</v>
      </c>
    </row>
    <row r="538" spans="1:11">
      <c r="A538" s="122">
        <v>556</v>
      </c>
      <c r="B538" s="204" t="s">
        <v>744</v>
      </c>
      <c r="C538" s="122" t="s">
        <v>285</v>
      </c>
      <c r="D538" s="122" t="s">
        <v>767</v>
      </c>
      <c r="E538" s="122" t="s">
        <v>256</v>
      </c>
      <c r="F538" s="203">
        <v>35693</v>
      </c>
      <c r="G538" s="122" t="str">
        <f>CHOOSE(MONTH(F538),"January","February","March","April","May","June","July","August","September","October","November","December")</f>
        <v>September</v>
      </c>
      <c r="H538" s="122">
        <f ca="1">DATEDIF(F538,TODAY(),"Y")</f>
        <v>19</v>
      </c>
      <c r="I538" s="122" t="s">
        <v>262</v>
      </c>
      <c r="J538" s="202">
        <v>24340</v>
      </c>
      <c r="K538" s="201">
        <v>4</v>
      </c>
    </row>
    <row r="539" spans="1:11">
      <c r="A539" s="122">
        <v>557</v>
      </c>
      <c r="B539" s="204" t="s">
        <v>763</v>
      </c>
      <c r="C539" s="122" t="s">
        <v>285</v>
      </c>
      <c r="D539" s="122" t="s">
        <v>767</v>
      </c>
      <c r="E539" s="122" t="s">
        <v>256</v>
      </c>
      <c r="F539" s="203">
        <v>35958</v>
      </c>
      <c r="G539" s="122" t="str">
        <f>CHOOSE(MONTH(F539),"January","February","March","April","May","June","July","August","September","October","November","December")</f>
        <v>June</v>
      </c>
      <c r="H539" s="122">
        <f ca="1">DATEDIF(F539,TODAY(),"Y")</f>
        <v>18</v>
      </c>
      <c r="I539" s="122" t="s">
        <v>283</v>
      </c>
      <c r="J539" s="202">
        <v>61420</v>
      </c>
      <c r="K539" s="201">
        <v>4</v>
      </c>
    </row>
    <row r="540" spans="1:11">
      <c r="A540" s="122">
        <v>558</v>
      </c>
      <c r="B540" s="204" t="s">
        <v>696</v>
      </c>
      <c r="C540" s="122" t="s">
        <v>266</v>
      </c>
      <c r="D540" s="122" t="s">
        <v>767</v>
      </c>
      <c r="E540" s="122" t="s">
        <v>256</v>
      </c>
      <c r="F540" s="203">
        <v>38423</v>
      </c>
      <c r="G540" s="122" t="str">
        <f>CHOOSE(MONTH(F540),"January","February","March","April","May","June","July","August","September","October","November","December")</f>
        <v>March</v>
      </c>
      <c r="H540" s="122">
        <f ca="1">DATEDIF(F540,TODAY(),"Y")</f>
        <v>11</v>
      </c>
      <c r="I540" s="122" t="s">
        <v>276</v>
      </c>
      <c r="J540" s="202">
        <v>61330</v>
      </c>
      <c r="K540" s="201">
        <v>2</v>
      </c>
    </row>
    <row r="541" spans="1:11">
      <c r="A541" s="122">
        <v>559</v>
      </c>
      <c r="B541" s="204" t="s">
        <v>880</v>
      </c>
      <c r="C541" s="122" t="s">
        <v>245</v>
      </c>
      <c r="D541" s="122" t="s">
        <v>767</v>
      </c>
      <c r="E541" s="122" t="s">
        <v>256</v>
      </c>
      <c r="F541" s="203">
        <v>35094</v>
      </c>
      <c r="G541" s="122" t="str">
        <f>CHOOSE(MONTH(F541),"January","February","March","April","May","June","July","August","September","October","November","December")</f>
        <v>January</v>
      </c>
      <c r="H541" s="122">
        <f ca="1">DATEDIF(F541,TODAY(),"Y")</f>
        <v>20</v>
      </c>
      <c r="I541" s="122" t="s">
        <v>262</v>
      </c>
      <c r="J541" s="202">
        <v>61148</v>
      </c>
      <c r="K541" s="201">
        <v>2</v>
      </c>
    </row>
    <row r="542" spans="1:11">
      <c r="A542" s="122">
        <v>560</v>
      </c>
      <c r="B542" s="204" t="s">
        <v>795</v>
      </c>
      <c r="C542" s="122" t="s">
        <v>245</v>
      </c>
      <c r="D542" s="122" t="s">
        <v>767</v>
      </c>
      <c r="E542" s="122" t="s">
        <v>247</v>
      </c>
      <c r="F542" s="203">
        <v>33658</v>
      </c>
      <c r="G542" s="122" t="str">
        <f>CHOOSE(MONTH(F542),"January","February","March","April","May","June","July","August","September","October","November","December")</f>
        <v>February</v>
      </c>
      <c r="H542" s="122">
        <f ca="1">DATEDIF(F542,TODAY(),"Y")</f>
        <v>24</v>
      </c>
      <c r="J542" s="202">
        <v>60550</v>
      </c>
      <c r="K542" s="201">
        <v>2</v>
      </c>
    </row>
    <row r="543" spans="1:11">
      <c r="A543" s="122">
        <v>561</v>
      </c>
      <c r="B543" s="204" t="s">
        <v>841</v>
      </c>
      <c r="C543" s="122" t="s">
        <v>251</v>
      </c>
      <c r="D543" s="122" t="s">
        <v>767</v>
      </c>
      <c r="E543" s="122" t="s">
        <v>261</v>
      </c>
      <c r="F543" s="203">
        <v>40254</v>
      </c>
      <c r="G543" s="122" t="str">
        <f>CHOOSE(MONTH(F543),"January","February","March","April","May","June","July","August","September","October","November","December")</f>
        <v>March</v>
      </c>
      <c r="H543" s="122">
        <f ca="1">DATEDIF(F543,TODAY(),"Y")</f>
        <v>6</v>
      </c>
      <c r="I543" s="122" t="s">
        <v>283</v>
      </c>
      <c r="J543" s="202">
        <v>48700</v>
      </c>
      <c r="K543" s="201">
        <v>3</v>
      </c>
    </row>
    <row r="544" spans="1:11">
      <c r="A544" s="122">
        <v>562</v>
      </c>
      <c r="B544" s="204" t="s">
        <v>713</v>
      </c>
      <c r="C544" s="122" t="s">
        <v>285</v>
      </c>
      <c r="D544" s="122" t="s">
        <v>767</v>
      </c>
      <c r="E544" s="122" t="s">
        <v>247</v>
      </c>
      <c r="F544" s="203">
        <v>35301</v>
      </c>
      <c r="G544" s="122" t="str">
        <f>CHOOSE(MONTH(F544),"January","February","March","April","May","June","July","August","September","October","November","December")</f>
        <v>August</v>
      </c>
      <c r="H544" s="122">
        <f ca="1">DATEDIF(F544,TODAY(),"Y")</f>
        <v>20</v>
      </c>
      <c r="J544" s="202">
        <v>60070</v>
      </c>
      <c r="K544" s="201">
        <v>2</v>
      </c>
    </row>
    <row r="545" spans="1:11">
      <c r="A545" s="122">
        <v>563</v>
      </c>
      <c r="B545" s="204" t="s">
        <v>793</v>
      </c>
      <c r="C545" s="122" t="s">
        <v>271</v>
      </c>
      <c r="D545" s="122" t="s">
        <v>767</v>
      </c>
      <c r="E545" s="122" t="s">
        <v>247</v>
      </c>
      <c r="F545" s="203">
        <v>37404</v>
      </c>
      <c r="G545" s="122" t="str">
        <f>CHOOSE(MONTH(F545),"January","February","March","April","May","June","July","August","September","October","November","December")</f>
        <v>May</v>
      </c>
      <c r="H545" s="122">
        <f ca="1">DATEDIF(F545,TODAY(),"Y")</f>
        <v>14</v>
      </c>
      <c r="J545" s="202">
        <v>60070</v>
      </c>
      <c r="K545" s="201">
        <v>3</v>
      </c>
    </row>
    <row r="546" spans="1:11">
      <c r="A546" s="122">
        <v>564</v>
      </c>
      <c r="B546" s="204" t="s">
        <v>582</v>
      </c>
      <c r="C546" s="122" t="s">
        <v>285</v>
      </c>
      <c r="D546" s="122" t="s">
        <v>767</v>
      </c>
      <c r="E546" s="122" t="s">
        <v>252</v>
      </c>
      <c r="F546" s="203">
        <v>36028</v>
      </c>
      <c r="G546" s="122" t="str">
        <f>CHOOSE(MONTH(F546),"January","February","March","April","May","June","July","August","September","October","November","December")</f>
        <v>August</v>
      </c>
      <c r="H546" s="122">
        <f ca="1">DATEDIF(F546,TODAY(),"Y")</f>
        <v>18</v>
      </c>
      <c r="J546" s="202">
        <v>16688</v>
      </c>
      <c r="K546" s="201">
        <v>3</v>
      </c>
    </row>
    <row r="547" spans="1:11">
      <c r="A547" s="122">
        <v>565</v>
      </c>
      <c r="B547" s="204" t="s">
        <v>374</v>
      </c>
      <c r="C547" s="122" t="s">
        <v>271</v>
      </c>
      <c r="D547" s="122" t="s">
        <v>767</v>
      </c>
      <c r="E547" s="122" t="s">
        <v>256</v>
      </c>
      <c r="F547" s="203">
        <v>35219</v>
      </c>
      <c r="G547" s="122" t="str">
        <f>CHOOSE(MONTH(F547),"January","February","March","April","May","June","July","August","September","October","November","December")</f>
        <v>June</v>
      </c>
      <c r="H547" s="122">
        <f ca="1">DATEDIF(F547,TODAY(),"Y")</f>
        <v>20</v>
      </c>
      <c r="I547" s="122" t="s">
        <v>257</v>
      </c>
      <c r="J547" s="202">
        <v>47340</v>
      </c>
      <c r="K547" s="201">
        <v>2</v>
      </c>
    </row>
    <row r="548" spans="1:11">
      <c r="A548" s="122">
        <v>566</v>
      </c>
      <c r="B548" s="204" t="s">
        <v>898</v>
      </c>
      <c r="C548" s="122" t="s">
        <v>271</v>
      </c>
      <c r="D548" s="122" t="s">
        <v>767</v>
      </c>
      <c r="E548" s="122" t="s">
        <v>256</v>
      </c>
      <c r="F548" s="203">
        <v>33098</v>
      </c>
      <c r="G548" s="122" t="str">
        <f>CHOOSE(MONTH(F548),"January","February","March","April","May","June","July","August","September","October","November","December")</f>
        <v>August</v>
      </c>
      <c r="H548" s="122">
        <f ca="1">DATEDIF(F548,TODAY(),"Y")</f>
        <v>26</v>
      </c>
      <c r="I548" s="122" t="s">
        <v>257</v>
      </c>
      <c r="J548" s="202">
        <v>48080</v>
      </c>
      <c r="K548" s="201">
        <v>2</v>
      </c>
    </row>
    <row r="549" spans="1:11">
      <c r="A549" s="122">
        <v>567</v>
      </c>
      <c r="B549" s="204" t="s">
        <v>250</v>
      </c>
      <c r="C549" s="122" t="s">
        <v>285</v>
      </c>
      <c r="D549" s="122" t="s">
        <v>767</v>
      </c>
      <c r="E549" s="122" t="s">
        <v>256</v>
      </c>
      <c r="F549" s="203">
        <v>35616</v>
      </c>
      <c r="G549" s="122" t="str">
        <f>CHOOSE(MONTH(F549),"January","February","March","April","May","June","July","August","September","October","November","December")</f>
        <v>July</v>
      </c>
      <c r="H549" s="122">
        <f ca="1">DATEDIF(F549,TODAY(),"Y")</f>
        <v>19</v>
      </c>
      <c r="I549" s="122" t="s">
        <v>283</v>
      </c>
      <c r="J549" s="202">
        <v>34060</v>
      </c>
      <c r="K549" s="201">
        <v>2</v>
      </c>
    </row>
    <row r="550" spans="1:11">
      <c r="A550" s="122">
        <v>568</v>
      </c>
      <c r="B550" s="204" t="s">
        <v>955</v>
      </c>
      <c r="C550" s="122" t="s">
        <v>285</v>
      </c>
      <c r="D550" s="122" t="s">
        <v>767</v>
      </c>
      <c r="E550" s="122" t="s">
        <v>256</v>
      </c>
      <c r="F550" s="203">
        <v>40438</v>
      </c>
      <c r="G550" s="122" t="str">
        <f>CHOOSE(MONTH(F550),"January","February","March","April","May","June","July","August","September","October","November","December")</f>
        <v>September</v>
      </c>
      <c r="H550" s="122">
        <f ca="1">DATEDIF(F550,TODAY(),"Y")</f>
        <v>6</v>
      </c>
      <c r="I550" s="122" t="s">
        <v>267</v>
      </c>
      <c r="J550" s="202">
        <v>59150</v>
      </c>
      <c r="K550" s="201">
        <v>4</v>
      </c>
    </row>
    <row r="551" spans="1:11">
      <c r="A551" s="122">
        <v>569</v>
      </c>
      <c r="B551" s="204" t="s">
        <v>500</v>
      </c>
      <c r="C551" s="122" t="s">
        <v>271</v>
      </c>
      <c r="D551" s="122" t="s">
        <v>767</v>
      </c>
      <c r="E551" s="122" t="s">
        <v>247</v>
      </c>
      <c r="F551" s="203">
        <v>33234</v>
      </c>
      <c r="G551" s="122" t="str">
        <f>CHOOSE(MONTH(F551),"January","February","March","April","May","June","July","August","September","October","November","December")</f>
        <v>December</v>
      </c>
      <c r="H551" s="122">
        <f ca="1">DATEDIF(F551,TODAY(),"Y")</f>
        <v>25</v>
      </c>
      <c r="J551" s="202">
        <v>58650</v>
      </c>
      <c r="K551" s="201">
        <v>4</v>
      </c>
    </row>
    <row r="552" spans="1:11">
      <c r="A552" s="122">
        <v>570</v>
      </c>
      <c r="B552" s="204" t="s">
        <v>942</v>
      </c>
      <c r="C552" s="122" t="s">
        <v>280</v>
      </c>
      <c r="D552" s="122" t="s">
        <v>767</v>
      </c>
      <c r="E552" s="122" t="s">
        <v>261</v>
      </c>
      <c r="F552" s="203">
        <v>35826</v>
      </c>
      <c r="G552" s="122" t="str">
        <f>CHOOSE(MONTH(F552),"January","February","March","April","May","June","July","August","September","October","November","December")</f>
        <v>January</v>
      </c>
      <c r="H552" s="122">
        <f ca="1">DATEDIF(F552,TODAY(),"Y")</f>
        <v>18</v>
      </c>
      <c r="I552" s="122" t="s">
        <v>257</v>
      </c>
      <c r="J552" s="202">
        <v>31205</v>
      </c>
      <c r="K552" s="201">
        <v>2</v>
      </c>
    </row>
    <row r="553" spans="1:11">
      <c r="A553" s="122">
        <v>571</v>
      </c>
      <c r="B553" s="204" t="s">
        <v>980</v>
      </c>
      <c r="C553" s="122" t="s">
        <v>271</v>
      </c>
      <c r="D553" s="122" t="s">
        <v>767</v>
      </c>
      <c r="E553" s="122" t="s">
        <v>247</v>
      </c>
      <c r="F553" s="203">
        <v>36297</v>
      </c>
      <c r="G553" s="122" t="str">
        <f>CHOOSE(MONTH(F553),"January","February","March","April","May","June","July","August","September","October","November","December")</f>
        <v>May</v>
      </c>
      <c r="H553" s="122">
        <f ca="1">DATEDIF(F553,TODAY(),"Y")</f>
        <v>17</v>
      </c>
      <c r="J553" s="202">
        <v>57990</v>
      </c>
      <c r="K553" s="201">
        <v>5</v>
      </c>
    </row>
    <row r="554" spans="1:11">
      <c r="A554" s="122">
        <v>572</v>
      </c>
      <c r="B554" s="204" t="s">
        <v>944</v>
      </c>
      <c r="C554" s="122" t="s">
        <v>245</v>
      </c>
      <c r="D554" s="122" t="s">
        <v>767</v>
      </c>
      <c r="E554" s="122" t="s">
        <v>247</v>
      </c>
      <c r="F554" s="203">
        <v>40410</v>
      </c>
      <c r="G554" s="122" t="str">
        <f>CHOOSE(MONTH(F554),"January","February","March","April","May","June","July","August","September","October","November","December")</f>
        <v>August</v>
      </c>
      <c r="H554" s="122">
        <f ca="1">DATEDIF(F554,TODAY(),"Y")</f>
        <v>6</v>
      </c>
      <c r="J554" s="202">
        <v>57680</v>
      </c>
      <c r="K554" s="201">
        <v>4</v>
      </c>
    </row>
    <row r="555" spans="1:11">
      <c r="A555" s="122">
        <v>573</v>
      </c>
      <c r="B555" s="204" t="s">
        <v>868</v>
      </c>
      <c r="C555" s="122" t="s">
        <v>285</v>
      </c>
      <c r="D555" s="122" t="s">
        <v>767</v>
      </c>
      <c r="E555" s="122" t="s">
        <v>261</v>
      </c>
      <c r="F555" s="203">
        <v>36084</v>
      </c>
      <c r="G555" s="122" t="str">
        <f>CHOOSE(MONTH(F555),"January","February","March","April","May","June","July","August","September","October","November","December")</f>
        <v>October</v>
      </c>
      <c r="H555" s="122">
        <f ca="1">DATEDIF(F555,TODAY(),"Y")</f>
        <v>18</v>
      </c>
      <c r="I555" s="122" t="s">
        <v>262</v>
      </c>
      <c r="J555" s="202">
        <v>45750</v>
      </c>
      <c r="K555" s="201">
        <v>5</v>
      </c>
    </row>
    <row r="556" spans="1:11">
      <c r="A556" s="122">
        <v>574</v>
      </c>
      <c r="B556" s="204" t="s">
        <v>699</v>
      </c>
      <c r="C556" s="122" t="s">
        <v>271</v>
      </c>
      <c r="D556" s="122" t="s">
        <v>767</v>
      </c>
      <c r="E556" s="122" t="s">
        <v>252</v>
      </c>
      <c r="F556" s="203">
        <v>36380</v>
      </c>
      <c r="G556" s="122" t="str">
        <f>CHOOSE(MONTH(F556),"January","February","March","April","May","June","July","August","September","October","November","December")</f>
        <v>August</v>
      </c>
      <c r="H556" s="122">
        <f ca="1">DATEDIF(F556,TODAY(),"Y")</f>
        <v>17</v>
      </c>
      <c r="J556" s="202">
        <v>36052</v>
      </c>
      <c r="K556" s="201">
        <v>5</v>
      </c>
    </row>
    <row r="557" spans="1:11">
      <c r="A557" s="122">
        <v>575</v>
      </c>
      <c r="B557" s="204" t="s">
        <v>905</v>
      </c>
      <c r="C557" s="122" t="s">
        <v>271</v>
      </c>
      <c r="D557" s="122" t="s">
        <v>767</v>
      </c>
      <c r="E557" s="122" t="s">
        <v>247</v>
      </c>
      <c r="F557" s="203">
        <v>34478</v>
      </c>
      <c r="G557" s="122" t="str">
        <f>CHOOSE(MONTH(F557),"January","February","March","April","May","June","July","August","September","October","November","December")</f>
        <v>May</v>
      </c>
      <c r="H557" s="122">
        <f ca="1">DATEDIF(F557,TODAY(),"Y")</f>
        <v>22</v>
      </c>
      <c r="J557" s="202">
        <v>56650</v>
      </c>
      <c r="K557" s="201">
        <v>1</v>
      </c>
    </row>
    <row r="558" spans="1:11">
      <c r="A558" s="122">
        <v>576</v>
      </c>
      <c r="B558" s="204" t="s">
        <v>310</v>
      </c>
      <c r="C558" s="122" t="s">
        <v>266</v>
      </c>
      <c r="D558" s="122" t="s">
        <v>767</v>
      </c>
      <c r="E558" s="122" t="s">
        <v>261</v>
      </c>
      <c r="F558" s="203">
        <v>38723</v>
      </c>
      <c r="G558" s="122" t="str">
        <f>CHOOSE(MONTH(F558),"January","February","March","April","May","June","July","August","September","October","November","December")</f>
        <v>January</v>
      </c>
      <c r="H558" s="122">
        <f ca="1">DATEDIF(F558,TODAY(),"Y")</f>
        <v>10</v>
      </c>
      <c r="I558" s="122" t="s">
        <v>283</v>
      </c>
      <c r="J558" s="202">
        <v>10630</v>
      </c>
      <c r="K558" s="201">
        <v>3</v>
      </c>
    </row>
    <row r="559" spans="1:11">
      <c r="A559" s="122">
        <v>577</v>
      </c>
      <c r="B559" s="204" t="s">
        <v>689</v>
      </c>
      <c r="C559" s="122" t="s">
        <v>271</v>
      </c>
      <c r="D559" s="122" t="s">
        <v>767</v>
      </c>
      <c r="E559" s="122" t="s">
        <v>256</v>
      </c>
      <c r="F559" s="203">
        <v>36088</v>
      </c>
      <c r="G559" s="122" t="str">
        <f>CHOOSE(MONTH(F559),"January","February","March","April","May","June","July","August","September","October","November","December")</f>
        <v>October</v>
      </c>
      <c r="H559" s="122">
        <f ca="1">DATEDIF(F559,TODAY(),"Y")</f>
        <v>18</v>
      </c>
      <c r="I559" s="122" t="s">
        <v>267</v>
      </c>
      <c r="J559" s="202">
        <v>54580</v>
      </c>
      <c r="K559" s="201">
        <v>4</v>
      </c>
    </row>
    <row r="560" spans="1:11">
      <c r="A560" s="122">
        <v>578</v>
      </c>
      <c r="B560" s="204" t="s">
        <v>323</v>
      </c>
      <c r="C560" s="122" t="s">
        <v>271</v>
      </c>
      <c r="D560" s="122" t="s">
        <v>767</v>
      </c>
      <c r="E560" s="122" t="s">
        <v>256</v>
      </c>
      <c r="F560" s="203">
        <v>33510</v>
      </c>
      <c r="G560" s="122" t="str">
        <f>CHOOSE(MONTH(F560),"January","February","March","April","May","June","July","August","September","October","November","December")</f>
        <v>September</v>
      </c>
      <c r="H560" s="122">
        <f ca="1">DATEDIF(F560,TODAY(),"Y")</f>
        <v>25</v>
      </c>
      <c r="I560" s="122" t="s">
        <v>262</v>
      </c>
      <c r="J560" s="202">
        <v>54500</v>
      </c>
      <c r="K560" s="201">
        <v>5</v>
      </c>
    </row>
    <row r="561" spans="1:11">
      <c r="A561" s="122">
        <v>579</v>
      </c>
      <c r="B561" s="204" t="s">
        <v>342</v>
      </c>
      <c r="C561" s="122" t="s">
        <v>271</v>
      </c>
      <c r="D561" s="122" t="s">
        <v>767</v>
      </c>
      <c r="E561" s="122" t="s">
        <v>247</v>
      </c>
      <c r="F561" s="203">
        <v>34726</v>
      </c>
      <c r="G561" s="122" t="str">
        <f>CHOOSE(MONTH(F561),"January","February","March","April","May","June","July","August","September","October","November","December")</f>
        <v>January</v>
      </c>
      <c r="H561" s="122">
        <f ca="1">DATEDIF(F561,TODAY(),"Y")</f>
        <v>21</v>
      </c>
      <c r="J561" s="202">
        <v>33120</v>
      </c>
      <c r="K561" s="201">
        <v>2</v>
      </c>
    </row>
    <row r="562" spans="1:11">
      <c r="A562" s="122">
        <v>580</v>
      </c>
      <c r="B562" s="204" t="s">
        <v>531</v>
      </c>
      <c r="C562" s="122" t="s">
        <v>271</v>
      </c>
      <c r="D562" s="122" t="s">
        <v>767</v>
      </c>
      <c r="E562" s="122" t="s">
        <v>256</v>
      </c>
      <c r="F562" s="203">
        <v>40137</v>
      </c>
      <c r="G562" s="122" t="str">
        <f>CHOOSE(MONTH(F562),"January","February","March","April","May","June","July","August","September","October","November","December")</f>
        <v>November</v>
      </c>
      <c r="H562" s="122">
        <f ca="1">DATEDIF(F562,TODAY(),"Y")</f>
        <v>6</v>
      </c>
      <c r="I562" s="122" t="s">
        <v>257</v>
      </c>
      <c r="J562" s="202">
        <v>54190</v>
      </c>
      <c r="K562" s="201">
        <v>4</v>
      </c>
    </row>
    <row r="563" spans="1:11">
      <c r="A563" s="122">
        <v>581</v>
      </c>
      <c r="B563" s="204" t="s">
        <v>575</v>
      </c>
      <c r="C563" s="122" t="s">
        <v>271</v>
      </c>
      <c r="D563" s="122" t="s">
        <v>767</v>
      </c>
      <c r="E563" s="122" t="s">
        <v>247</v>
      </c>
      <c r="F563" s="203">
        <v>33515</v>
      </c>
      <c r="G563" s="122" t="str">
        <f>CHOOSE(MONTH(F563),"January","February","March","April","May","June","July","August","September","October","November","December")</f>
        <v>October</v>
      </c>
      <c r="H563" s="122">
        <f ca="1">DATEDIF(F563,TODAY(),"Y")</f>
        <v>25</v>
      </c>
      <c r="J563" s="202">
        <v>52750</v>
      </c>
      <c r="K563" s="201">
        <v>1</v>
      </c>
    </row>
    <row r="564" spans="1:11">
      <c r="A564" s="122">
        <v>582</v>
      </c>
      <c r="B564" s="204" t="s">
        <v>455</v>
      </c>
      <c r="C564" s="122" t="s">
        <v>245</v>
      </c>
      <c r="D564" s="122" t="s">
        <v>767</v>
      </c>
      <c r="E564" s="122" t="s">
        <v>256</v>
      </c>
      <c r="F564" s="203">
        <v>39899</v>
      </c>
      <c r="G564" s="122" t="str">
        <f>CHOOSE(MONTH(F564),"January","February","March","April","May","June","July","August","September","October","November","December")</f>
        <v>March</v>
      </c>
      <c r="H564" s="122">
        <f ca="1">DATEDIF(F564,TODAY(),"Y")</f>
        <v>7</v>
      </c>
      <c r="I564" s="122" t="s">
        <v>257</v>
      </c>
      <c r="J564" s="202">
        <v>24790</v>
      </c>
      <c r="K564" s="201">
        <v>3</v>
      </c>
    </row>
    <row r="565" spans="1:11">
      <c r="A565" s="122">
        <v>583</v>
      </c>
      <c r="B565" s="204" t="s">
        <v>367</v>
      </c>
      <c r="C565" s="122" t="s">
        <v>245</v>
      </c>
      <c r="D565" s="122" t="s">
        <v>767</v>
      </c>
      <c r="E565" s="122" t="s">
        <v>256</v>
      </c>
      <c r="F565" s="203">
        <v>35151</v>
      </c>
      <c r="G565" s="122" t="str">
        <f>CHOOSE(MONTH(F565),"January","February","March","April","May","June","July","August","September","October","November","December")</f>
        <v>March</v>
      </c>
      <c r="H565" s="122">
        <f ca="1">DATEDIF(F565,TODAY(),"Y")</f>
        <v>20</v>
      </c>
      <c r="I565" s="122" t="s">
        <v>276</v>
      </c>
      <c r="J565" s="202">
        <v>29760</v>
      </c>
      <c r="K565" s="201">
        <v>2</v>
      </c>
    </row>
    <row r="566" spans="1:11">
      <c r="A566" s="122">
        <v>585</v>
      </c>
      <c r="B566" s="204" t="s">
        <v>851</v>
      </c>
      <c r="C566" s="122" t="s">
        <v>251</v>
      </c>
      <c r="D566" s="122" t="s">
        <v>856</v>
      </c>
      <c r="E566" s="122" t="s">
        <v>247</v>
      </c>
      <c r="F566" s="203">
        <v>33282</v>
      </c>
      <c r="G566" s="122" t="str">
        <f>CHOOSE(MONTH(F566),"January","February","March","April","May","June","July","August","September","October","November","December")</f>
        <v>February</v>
      </c>
      <c r="H566" s="122">
        <f ca="1">DATEDIF(F566,TODAY(),"Y")</f>
        <v>25</v>
      </c>
      <c r="J566" s="202">
        <v>89450</v>
      </c>
      <c r="K566" s="201">
        <v>2</v>
      </c>
    </row>
    <row r="567" spans="1:11">
      <c r="A567" s="122">
        <v>586</v>
      </c>
      <c r="B567" s="204" t="s">
        <v>935</v>
      </c>
      <c r="C567" s="122" t="s">
        <v>271</v>
      </c>
      <c r="D567" s="122" t="s">
        <v>856</v>
      </c>
      <c r="E567" s="122" t="s">
        <v>256</v>
      </c>
      <c r="F567" s="203">
        <v>34754</v>
      </c>
      <c r="G567" s="122" t="str">
        <f>CHOOSE(MONTH(F567),"January","February","March","April","May","June","July","August","September","October","November","December")</f>
        <v>February</v>
      </c>
      <c r="H567" s="122">
        <f ca="1">DATEDIF(F567,TODAY(),"Y")</f>
        <v>21</v>
      </c>
      <c r="I567" s="122" t="s">
        <v>257</v>
      </c>
      <c r="J567" s="202">
        <v>39000</v>
      </c>
      <c r="K567" s="201">
        <v>5</v>
      </c>
    </row>
    <row r="568" spans="1:11">
      <c r="A568" s="122">
        <v>587</v>
      </c>
      <c r="B568" s="204" t="s">
        <v>477</v>
      </c>
      <c r="C568" s="122" t="s">
        <v>271</v>
      </c>
      <c r="D568" s="122" t="s">
        <v>856</v>
      </c>
      <c r="E568" s="122" t="s">
        <v>261</v>
      </c>
      <c r="F568" s="203">
        <v>36196</v>
      </c>
      <c r="G568" s="122" t="str">
        <f>CHOOSE(MONTH(F568),"January","February","March","April","May","June","July","August","September","October","November","December")</f>
        <v>February</v>
      </c>
      <c r="H568" s="122">
        <f ca="1">DATEDIF(F568,TODAY(),"Y")</f>
        <v>17</v>
      </c>
      <c r="I568" s="122" t="s">
        <v>257</v>
      </c>
      <c r="J568" s="202">
        <v>34980</v>
      </c>
      <c r="K568" s="201">
        <v>2</v>
      </c>
    </row>
    <row r="569" spans="1:11">
      <c r="A569" s="122">
        <v>588</v>
      </c>
      <c r="B569" s="204" t="s">
        <v>379</v>
      </c>
      <c r="C569" s="122" t="s">
        <v>285</v>
      </c>
      <c r="D569" s="122" t="s">
        <v>856</v>
      </c>
      <c r="E569" s="122" t="s">
        <v>256</v>
      </c>
      <c r="F569" s="203">
        <v>35408</v>
      </c>
      <c r="G569" s="122" t="str">
        <f>CHOOSE(MONTH(F569),"January","February","March","April","May","June","July","August","September","October","November","December")</f>
        <v>December</v>
      </c>
      <c r="H569" s="122">
        <f ca="1">DATEDIF(F569,TODAY(),"Y")</f>
        <v>19</v>
      </c>
      <c r="I569" s="122" t="s">
        <v>283</v>
      </c>
      <c r="J569" s="202">
        <v>34330</v>
      </c>
      <c r="K569" s="201">
        <v>3</v>
      </c>
    </row>
    <row r="570" spans="1:11">
      <c r="A570" s="122">
        <v>589</v>
      </c>
      <c r="B570" s="204" t="s">
        <v>641</v>
      </c>
      <c r="C570" s="122" t="s">
        <v>271</v>
      </c>
      <c r="D570" s="122" t="s">
        <v>856</v>
      </c>
      <c r="E570" s="122" t="s">
        <v>256</v>
      </c>
      <c r="F570" s="203">
        <v>33852</v>
      </c>
      <c r="G570" s="122" t="str">
        <f>CHOOSE(MONTH(F570),"January","February","March","April","May","June","July","August","September","October","November","December")</f>
        <v>September</v>
      </c>
      <c r="H570" s="122">
        <f ca="1">DATEDIF(F570,TODAY(),"Y")</f>
        <v>24</v>
      </c>
      <c r="I570" s="122" t="s">
        <v>276</v>
      </c>
      <c r="J570" s="202">
        <v>86240</v>
      </c>
      <c r="K570" s="201">
        <v>1</v>
      </c>
    </row>
    <row r="571" spans="1:11">
      <c r="A571" s="122">
        <v>590</v>
      </c>
      <c r="B571" s="204" t="s">
        <v>334</v>
      </c>
      <c r="C571" s="122" t="s">
        <v>271</v>
      </c>
      <c r="D571" s="122" t="s">
        <v>856</v>
      </c>
      <c r="E571" s="122" t="s">
        <v>247</v>
      </c>
      <c r="F571" s="203">
        <v>35806</v>
      </c>
      <c r="G571" s="122" t="str">
        <f>CHOOSE(MONTH(F571),"January","February","March","April","May","June","July","August","September","October","November","December")</f>
        <v>January</v>
      </c>
      <c r="H571" s="122">
        <f ca="1">DATEDIF(F571,TODAY(),"Y")</f>
        <v>18</v>
      </c>
      <c r="J571" s="202">
        <v>86100</v>
      </c>
      <c r="K571" s="201">
        <v>4</v>
      </c>
    </row>
    <row r="572" spans="1:11">
      <c r="A572" s="122">
        <v>591</v>
      </c>
      <c r="B572" s="204" t="s">
        <v>833</v>
      </c>
      <c r="C572" s="122" t="s">
        <v>285</v>
      </c>
      <c r="D572" s="122" t="s">
        <v>856</v>
      </c>
      <c r="E572" s="122" t="s">
        <v>247</v>
      </c>
      <c r="F572" s="203">
        <v>38793</v>
      </c>
      <c r="G572" s="122" t="str">
        <f>CHOOSE(MONTH(F572),"January","February","March","April","May","June","July","August","September","October","November","December")</f>
        <v>March</v>
      </c>
      <c r="H572" s="122">
        <f ca="1">DATEDIF(F572,TODAY(),"Y")</f>
        <v>10</v>
      </c>
      <c r="J572" s="202">
        <v>85930</v>
      </c>
      <c r="K572" s="201">
        <v>2</v>
      </c>
    </row>
    <row r="573" spans="1:11">
      <c r="A573" s="122">
        <v>592</v>
      </c>
      <c r="B573" s="204" t="s">
        <v>597</v>
      </c>
      <c r="C573" s="122" t="s">
        <v>245</v>
      </c>
      <c r="D573" s="122" t="s">
        <v>856</v>
      </c>
      <c r="E573" s="122" t="s">
        <v>252</v>
      </c>
      <c r="F573" s="203">
        <v>35869</v>
      </c>
      <c r="G573" s="122" t="str">
        <f>CHOOSE(MONTH(F573),"January","February","March","April","May","June","July","August","September","October","November","December")</f>
        <v>March</v>
      </c>
      <c r="H573" s="122">
        <f ca="1">DATEDIF(F573,TODAY(),"Y")</f>
        <v>18</v>
      </c>
      <c r="J573" s="202">
        <v>17912</v>
      </c>
      <c r="K573" s="201">
        <v>5</v>
      </c>
    </row>
    <row r="574" spans="1:11">
      <c r="A574" s="122">
        <v>593</v>
      </c>
      <c r="B574" s="204" t="s">
        <v>590</v>
      </c>
      <c r="C574" s="122" t="s">
        <v>266</v>
      </c>
      <c r="D574" s="122" t="s">
        <v>856</v>
      </c>
      <c r="E574" s="122" t="s">
        <v>256</v>
      </c>
      <c r="F574" s="203">
        <v>36514</v>
      </c>
      <c r="G574" s="122" t="str">
        <f>CHOOSE(MONTH(F574),"January","February","March","April","May","June","July","August","September","October","November","December")</f>
        <v>December</v>
      </c>
      <c r="H574" s="122">
        <f ca="1">DATEDIF(F574,TODAY(),"Y")</f>
        <v>16</v>
      </c>
      <c r="I574" s="122" t="s">
        <v>283</v>
      </c>
      <c r="J574" s="202">
        <v>48250</v>
      </c>
      <c r="K574" s="201">
        <v>3</v>
      </c>
    </row>
    <row r="575" spans="1:11">
      <c r="A575" s="122">
        <v>594</v>
      </c>
      <c r="B575" s="204" t="s">
        <v>1015</v>
      </c>
      <c r="C575" s="122" t="s">
        <v>280</v>
      </c>
      <c r="D575" s="122" t="s">
        <v>856</v>
      </c>
      <c r="E575" s="122" t="s">
        <v>256</v>
      </c>
      <c r="F575" s="203">
        <v>38353</v>
      </c>
      <c r="G575" s="122" t="str">
        <f>CHOOSE(MONTH(F575),"January","February","March","April","May","June","July","August","September","October","November","December")</f>
        <v>January</v>
      </c>
      <c r="H575" s="122">
        <f ca="1">DATEDIF(F575,TODAY(),"Y")</f>
        <v>11</v>
      </c>
      <c r="I575" s="122" t="s">
        <v>283</v>
      </c>
      <c r="J575" s="202">
        <v>83710</v>
      </c>
      <c r="K575" s="201">
        <v>3</v>
      </c>
    </row>
    <row r="576" spans="1:11">
      <c r="A576" s="122">
        <v>595</v>
      </c>
      <c r="B576" s="204" t="s">
        <v>907</v>
      </c>
      <c r="C576" s="122" t="s">
        <v>245</v>
      </c>
      <c r="D576" s="122" t="s">
        <v>856</v>
      </c>
      <c r="E576" s="122" t="s">
        <v>256</v>
      </c>
      <c r="F576" s="203">
        <v>38237</v>
      </c>
      <c r="G576" s="122" t="str">
        <f>CHOOSE(MONTH(F576),"January","February","March","April","May","June","July","August","September","October","November","December")</f>
        <v>September</v>
      </c>
      <c r="H576" s="122">
        <f ca="1">DATEDIF(F576,TODAY(),"Y")</f>
        <v>12</v>
      </c>
      <c r="I576" s="122" t="s">
        <v>283</v>
      </c>
      <c r="J576" s="202">
        <v>31910</v>
      </c>
      <c r="K576" s="201">
        <v>5</v>
      </c>
    </row>
    <row r="577" spans="1:11">
      <c r="A577" s="122">
        <v>596</v>
      </c>
      <c r="B577" s="204" t="s">
        <v>872</v>
      </c>
      <c r="C577" s="122" t="s">
        <v>285</v>
      </c>
      <c r="D577" s="122" t="s">
        <v>856</v>
      </c>
      <c r="E577" s="122" t="s">
        <v>256</v>
      </c>
      <c r="F577" s="203">
        <v>34800</v>
      </c>
      <c r="G577" s="122" t="str">
        <f>CHOOSE(MONTH(F577),"January","February","March","April","May","June","July","August","September","October","November","December")</f>
        <v>April</v>
      </c>
      <c r="H577" s="122">
        <f ca="1">DATEDIF(F577,TODAY(),"Y")</f>
        <v>21</v>
      </c>
      <c r="I577" s="122" t="s">
        <v>262</v>
      </c>
      <c r="J577" s="202">
        <v>82700</v>
      </c>
      <c r="K577" s="201">
        <v>3</v>
      </c>
    </row>
    <row r="578" spans="1:11">
      <c r="A578" s="122">
        <v>597</v>
      </c>
      <c r="B578" s="204" t="s">
        <v>1007</v>
      </c>
      <c r="C578" s="122" t="s">
        <v>266</v>
      </c>
      <c r="D578" s="122" t="s">
        <v>856</v>
      </c>
      <c r="E578" s="122" t="s">
        <v>256</v>
      </c>
      <c r="F578" s="203">
        <v>37625</v>
      </c>
      <c r="G578" s="122" t="str">
        <f>CHOOSE(MONTH(F578),"January","February","March","April","May","June","July","August","September","October","November","December")</f>
        <v>January</v>
      </c>
      <c r="H578" s="122">
        <f ca="1">DATEDIF(F578,TODAY(),"Y")</f>
        <v>13</v>
      </c>
      <c r="I578" s="122" t="s">
        <v>283</v>
      </c>
      <c r="J578" s="202">
        <v>82490</v>
      </c>
      <c r="K578" s="201">
        <v>5</v>
      </c>
    </row>
    <row r="579" spans="1:11">
      <c r="A579" s="122">
        <v>598</v>
      </c>
      <c r="B579" s="204" t="s">
        <v>568</v>
      </c>
      <c r="C579" s="122" t="s">
        <v>271</v>
      </c>
      <c r="D579" s="122" t="s">
        <v>856</v>
      </c>
      <c r="E579" s="122" t="s">
        <v>247</v>
      </c>
      <c r="F579" s="203">
        <v>33421</v>
      </c>
      <c r="G579" s="122" t="str">
        <f>CHOOSE(MONTH(F579),"January","February","March","April","May","June","July","August","September","October","November","December")</f>
        <v>July</v>
      </c>
      <c r="H579" s="122">
        <f ca="1">DATEDIF(F579,TODAY(),"Y")</f>
        <v>25</v>
      </c>
      <c r="J579" s="202">
        <v>46650</v>
      </c>
      <c r="K579" s="201">
        <v>2</v>
      </c>
    </row>
    <row r="580" spans="1:11">
      <c r="A580" s="122">
        <v>599</v>
      </c>
      <c r="B580" s="204" t="s">
        <v>639</v>
      </c>
      <c r="C580" s="122" t="s">
        <v>271</v>
      </c>
      <c r="D580" s="122" t="s">
        <v>856</v>
      </c>
      <c r="E580" s="122" t="s">
        <v>252</v>
      </c>
      <c r="F580" s="203">
        <v>35861</v>
      </c>
      <c r="G580" s="122" t="str">
        <f>CHOOSE(MONTH(F580),"January","February","March","April","May","June","July","August","September","October","November","December")</f>
        <v>March</v>
      </c>
      <c r="H580" s="122">
        <f ca="1">DATEDIF(F580,TODAY(),"Y")</f>
        <v>18</v>
      </c>
      <c r="J580" s="202">
        <v>12836</v>
      </c>
      <c r="K580" s="201">
        <v>5</v>
      </c>
    </row>
    <row r="581" spans="1:11">
      <c r="A581" s="122">
        <v>600</v>
      </c>
      <c r="B581" s="204" t="s">
        <v>306</v>
      </c>
      <c r="C581" s="122" t="s">
        <v>271</v>
      </c>
      <c r="D581" s="122" t="s">
        <v>856</v>
      </c>
      <c r="E581" s="122" t="s">
        <v>252</v>
      </c>
      <c r="F581" s="203">
        <v>34345</v>
      </c>
      <c r="G581" s="122" t="str">
        <f>CHOOSE(MONTH(F581),"January","February","March","April","May","June","July","August","September","October","November","December")</f>
        <v>January</v>
      </c>
      <c r="H581" s="122">
        <f ca="1">DATEDIF(F581,TODAY(),"Y")</f>
        <v>22</v>
      </c>
      <c r="J581" s="202">
        <v>36788</v>
      </c>
      <c r="K581" s="201">
        <v>4</v>
      </c>
    </row>
    <row r="582" spans="1:11">
      <c r="A582" s="122">
        <v>601</v>
      </c>
      <c r="B582" s="204" t="s">
        <v>390</v>
      </c>
      <c r="C582" s="122" t="s">
        <v>285</v>
      </c>
      <c r="D582" s="122" t="s">
        <v>856</v>
      </c>
      <c r="E582" s="122" t="s">
        <v>256</v>
      </c>
      <c r="F582" s="203">
        <v>40581</v>
      </c>
      <c r="G582" s="122" t="str">
        <f>CHOOSE(MONTH(F582),"January","February","March","April","May","June","July","August","September","October","November","December")</f>
        <v>February</v>
      </c>
      <c r="H582" s="122">
        <f ca="1">DATEDIF(F582,TODAY(),"Y")</f>
        <v>5</v>
      </c>
      <c r="I582" s="122" t="s">
        <v>267</v>
      </c>
      <c r="J582" s="202">
        <v>80260</v>
      </c>
      <c r="K582" s="201">
        <v>3</v>
      </c>
    </row>
    <row r="583" spans="1:11">
      <c r="A583" s="122">
        <v>602</v>
      </c>
      <c r="B583" s="204" t="s">
        <v>745</v>
      </c>
      <c r="C583" s="122" t="s">
        <v>280</v>
      </c>
      <c r="D583" s="122" t="s">
        <v>856</v>
      </c>
      <c r="E583" s="122" t="s">
        <v>256</v>
      </c>
      <c r="F583" s="203">
        <v>40078</v>
      </c>
      <c r="G583" s="122" t="str">
        <f>CHOOSE(MONTH(F583),"January","February","March","April","May","June","July","August","September","October","November","December")</f>
        <v>September</v>
      </c>
      <c r="H583" s="122">
        <f ca="1">DATEDIF(F583,TODAY(),"Y")</f>
        <v>7</v>
      </c>
      <c r="I583" s="122" t="s">
        <v>283</v>
      </c>
      <c r="J583" s="202">
        <v>23190</v>
      </c>
      <c r="K583" s="201">
        <v>5</v>
      </c>
    </row>
    <row r="584" spans="1:11">
      <c r="A584" s="122">
        <v>603</v>
      </c>
      <c r="B584" s="204" t="s">
        <v>803</v>
      </c>
      <c r="C584" s="122" t="s">
        <v>271</v>
      </c>
      <c r="D584" s="122" t="s">
        <v>856</v>
      </c>
      <c r="E584" s="122" t="s">
        <v>256</v>
      </c>
      <c r="F584" s="203">
        <v>36078</v>
      </c>
      <c r="G584" s="122" t="str">
        <f>CHOOSE(MONTH(F584),"January","February","March","April","May","June","July","August","September","October","November","December")</f>
        <v>October</v>
      </c>
      <c r="H584" s="122">
        <f ca="1">DATEDIF(F584,TODAY(),"Y")</f>
        <v>18</v>
      </c>
      <c r="I584" s="122" t="s">
        <v>276</v>
      </c>
      <c r="J584" s="202">
        <v>79610</v>
      </c>
      <c r="K584" s="201">
        <v>2</v>
      </c>
    </row>
    <row r="585" spans="1:11">
      <c r="A585" s="122">
        <v>604</v>
      </c>
      <c r="B585" s="204" t="s">
        <v>332</v>
      </c>
      <c r="C585" s="122" t="s">
        <v>266</v>
      </c>
      <c r="D585" s="122" t="s">
        <v>856</v>
      </c>
      <c r="E585" s="122" t="s">
        <v>252</v>
      </c>
      <c r="F585" s="203">
        <v>35034</v>
      </c>
      <c r="G585" s="122" t="str">
        <f>CHOOSE(MONTH(F585),"January","February","March","April","May","June","July","August","September","October","November","December")</f>
        <v>December</v>
      </c>
      <c r="H585" s="122">
        <f ca="1">DATEDIF(F585,TODAY(),"Y")</f>
        <v>20</v>
      </c>
      <c r="J585" s="202">
        <v>23692</v>
      </c>
      <c r="K585" s="201">
        <v>4</v>
      </c>
    </row>
    <row r="586" spans="1:11">
      <c r="A586" s="122">
        <v>605</v>
      </c>
      <c r="B586" s="204" t="s">
        <v>848</v>
      </c>
      <c r="C586" s="122" t="s">
        <v>271</v>
      </c>
      <c r="D586" s="122" t="s">
        <v>856</v>
      </c>
      <c r="E586" s="122" t="s">
        <v>256</v>
      </c>
      <c r="F586" s="203">
        <v>36012</v>
      </c>
      <c r="G586" s="122" t="str">
        <f>CHOOSE(MONTH(F586),"January","February","March","April","May","June","July","August","September","October","November","December")</f>
        <v>August</v>
      </c>
      <c r="H586" s="122">
        <f ca="1">DATEDIF(F586,TODAY(),"Y")</f>
        <v>18</v>
      </c>
      <c r="I586" s="122" t="s">
        <v>262</v>
      </c>
      <c r="J586" s="202">
        <v>78950</v>
      </c>
      <c r="K586" s="201">
        <v>1</v>
      </c>
    </row>
    <row r="587" spans="1:11">
      <c r="A587" s="122">
        <v>606</v>
      </c>
      <c r="B587" s="204" t="s">
        <v>865</v>
      </c>
      <c r="C587" s="122" t="s">
        <v>285</v>
      </c>
      <c r="D587" s="122" t="s">
        <v>856</v>
      </c>
      <c r="E587" s="122" t="s">
        <v>256</v>
      </c>
      <c r="F587" s="203">
        <v>35497</v>
      </c>
      <c r="G587" s="122" t="str">
        <f>CHOOSE(MONTH(F587),"January","February","March","April","May","June","July","August","September","October","November","December")</f>
        <v>March</v>
      </c>
      <c r="H587" s="122">
        <f ca="1">DATEDIF(F587,TODAY(),"Y")</f>
        <v>19</v>
      </c>
      <c r="I587" s="122" t="s">
        <v>257</v>
      </c>
      <c r="J587" s="202">
        <v>78710</v>
      </c>
      <c r="K587" s="201">
        <v>4</v>
      </c>
    </row>
    <row r="588" spans="1:11">
      <c r="A588" s="122">
        <v>607</v>
      </c>
      <c r="B588" s="204" t="s">
        <v>491</v>
      </c>
      <c r="C588" s="122" t="s">
        <v>271</v>
      </c>
      <c r="D588" s="122" t="s">
        <v>856</v>
      </c>
      <c r="E588" s="122" t="s">
        <v>247</v>
      </c>
      <c r="F588" s="203">
        <v>36642</v>
      </c>
      <c r="G588" s="122" t="str">
        <f>CHOOSE(MONTH(F588),"January","February","March","April","May","June","July","August","September","October","November","December")</f>
        <v>April</v>
      </c>
      <c r="H588" s="122">
        <f ca="1">DATEDIF(F588,TODAY(),"Y")</f>
        <v>16</v>
      </c>
      <c r="J588" s="202">
        <v>77760</v>
      </c>
      <c r="K588" s="201">
        <v>3</v>
      </c>
    </row>
    <row r="589" spans="1:11">
      <c r="A589" s="122">
        <v>608</v>
      </c>
      <c r="B589" s="204" t="s">
        <v>348</v>
      </c>
      <c r="C589" s="122" t="s">
        <v>271</v>
      </c>
      <c r="D589" s="122" t="s">
        <v>856</v>
      </c>
      <c r="E589" s="122" t="s">
        <v>261</v>
      </c>
      <c r="F589" s="203">
        <v>35688</v>
      </c>
      <c r="G589" s="122" t="str">
        <f>CHOOSE(MONTH(F589),"January","February","March","April","May","June","July","August","September","October","November","December")</f>
        <v>September</v>
      </c>
      <c r="H589" s="122">
        <f ca="1">DATEDIF(F589,TODAY(),"Y")</f>
        <v>19</v>
      </c>
      <c r="I589" s="122" t="s">
        <v>283</v>
      </c>
      <c r="J589" s="202">
        <v>42740</v>
      </c>
      <c r="K589" s="201">
        <v>2</v>
      </c>
    </row>
    <row r="590" spans="1:11">
      <c r="A590" s="122">
        <v>609</v>
      </c>
      <c r="B590" s="204" t="s">
        <v>512</v>
      </c>
      <c r="C590" s="122" t="s">
        <v>285</v>
      </c>
      <c r="D590" s="122" t="s">
        <v>856</v>
      </c>
      <c r="E590" s="122" t="s">
        <v>256</v>
      </c>
      <c r="F590" s="203">
        <v>36407</v>
      </c>
      <c r="G590" s="122" t="str">
        <f>CHOOSE(MONTH(F590),"January","February","March","April","May","June","July","August","September","October","November","December")</f>
        <v>September</v>
      </c>
      <c r="H590" s="122">
        <f ca="1">DATEDIF(F590,TODAY(),"Y")</f>
        <v>17</v>
      </c>
      <c r="I590" s="122" t="s">
        <v>262</v>
      </c>
      <c r="J590" s="202">
        <v>45880</v>
      </c>
      <c r="K590" s="201">
        <v>5</v>
      </c>
    </row>
    <row r="591" spans="1:11">
      <c r="A591" s="122">
        <v>610</v>
      </c>
      <c r="B591" s="204" t="s">
        <v>945</v>
      </c>
      <c r="C591" s="122" t="s">
        <v>285</v>
      </c>
      <c r="D591" s="122" t="s">
        <v>856</v>
      </c>
      <c r="E591" s="122" t="s">
        <v>256</v>
      </c>
      <c r="F591" s="203">
        <v>36526</v>
      </c>
      <c r="G591" s="122" t="str">
        <f>CHOOSE(MONTH(F591),"January","February","March","April","May","June","July","August","September","October","November","December")</f>
        <v>January</v>
      </c>
      <c r="H591" s="122">
        <f ca="1">DATEDIF(F591,TODAY(),"Y")</f>
        <v>16</v>
      </c>
      <c r="I591" s="122" t="s">
        <v>257</v>
      </c>
      <c r="J591" s="202">
        <v>29260</v>
      </c>
      <c r="K591" s="201">
        <v>4</v>
      </c>
    </row>
    <row r="592" spans="1:11">
      <c r="A592" s="122">
        <v>611</v>
      </c>
      <c r="B592" s="204" t="s">
        <v>943</v>
      </c>
      <c r="C592" s="122" t="s">
        <v>285</v>
      </c>
      <c r="D592" s="122" t="s">
        <v>856</v>
      </c>
      <c r="E592" s="122" t="s">
        <v>256</v>
      </c>
      <c r="F592" s="203">
        <v>39745</v>
      </c>
      <c r="G592" s="122" t="str">
        <f>CHOOSE(MONTH(F592),"January","February","March","April","May","June","July","August","September","October","November","December")</f>
        <v>October</v>
      </c>
      <c r="H592" s="122">
        <f ca="1">DATEDIF(F592,TODAY(),"Y")</f>
        <v>8</v>
      </c>
      <c r="I592" s="122" t="s">
        <v>283</v>
      </c>
      <c r="J592" s="202">
        <v>29330</v>
      </c>
      <c r="K592" s="201">
        <v>5</v>
      </c>
    </row>
    <row r="593" spans="1:11">
      <c r="A593" s="122">
        <v>612</v>
      </c>
      <c r="B593" s="204" t="s">
        <v>835</v>
      </c>
      <c r="C593" s="122" t="s">
        <v>245</v>
      </c>
      <c r="D593" s="122" t="s">
        <v>856</v>
      </c>
      <c r="E593" s="122" t="s">
        <v>252</v>
      </c>
      <c r="F593" s="203">
        <v>33256</v>
      </c>
      <c r="G593" s="122" t="str">
        <f>CHOOSE(MONTH(F593),"January","February","March","April","May","June","July","August","September","October","November","December")</f>
        <v>January</v>
      </c>
      <c r="H593" s="122">
        <f ca="1">DATEDIF(F593,TODAY(),"Y")</f>
        <v>25</v>
      </c>
      <c r="J593" s="202">
        <v>30468</v>
      </c>
      <c r="K593" s="201">
        <v>2</v>
      </c>
    </row>
    <row r="594" spans="1:11">
      <c r="A594" s="122">
        <v>613</v>
      </c>
      <c r="B594" s="204" t="s">
        <v>318</v>
      </c>
      <c r="C594" s="122" t="s">
        <v>285</v>
      </c>
      <c r="D594" s="122" t="s">
        <v>856</v>
      </c>
      <c r="E594" s="122" t="s">
        <v>256</v>
      </c>
      <c r="F594" s="203">
        <v>38902</v>
      </c>
      <c r="G594" s="122" t="str">
        <f>CHOOSE(MONTH(F594),"January","February","March","April","May","June","July","August","September","October","November","December")</f>
        <v>July</v>
      </c>
      <c r="H594" s="122">
        <f ca="1">DATEDIF(F594,TODAY(),"Y")</f>
        <v>10</v>
      </c>
      <c r="I594" s="122" t="s">
        <v>257</v>
      </c>
      <c r="J594" s="202">
        <v>73560</v>
      </c>
      <c r="K594" s="201">
        <v>3</v>
      </c>
    </row>
    <row r="595" spans="1:11">
      <c r="A595" s="122">
        <v>614</v>
      </c>
      <c r="B595" s="204" t="s">
        <v>648</v>
      </c>
      <c r="C595" s="122" t="s">
        <v>271</v>
      </c>
      <c r="D595" s="122" t="s">
        <v>856</v>
      </c>
      <c r="E595" s="122" t="s">
        <v>247</v>
      </c>
      <c r="F595" s="203">
        <v>40350</v>
      </c>
      <c r="G595" s="122" t="str">
        <f>CHOOSE(MONTH(F595),"January","February","March","April","May","June","July","August","September","October","November","December")</f>
        <v>June</v>
      </c>
      <c r="H595" s="122">
        <f ca="1">DATEDIF(F595,TODAY(),"Y")</f>
        <v>6</v>
      </c>
      <c r="J595" s="202">
        <v>21580</v>
      </c>
      <c r="K595" s="201">
        <v>3</v>
      </c>
    </row>
    <row r="596" spans="1:11">
      <c r="A596" s="122">
        <v>615</v>
      </c>
      <c r="B596" s="204" t="s">
        <v>873</v>
      </c>
      <c r="C596" s="122" t="s">
        <v>245</v>
      </c>
      <c r="D596" s="122" t="s">
        <v>856</v>
      </c>
      <c r="E596" s="122" t="s">
        <v>261</v>
      </c>
      <c r="F596" s="203">
        <v>37775</v>
      </c>
      <c r="G596" s="122" t="str">
        <f>CHOOSE(MONTH(F596),"January","February","March","April","May","June","July","August","September","October","November","December")</f>
        <v>June</v>
      </c>
      <c r="H596" s="122">
        <f ca="1">DATEDIF(F596,TODAY(),"Y")</f>
        <v>13</v>
      </c>
      <c r="I596" s="122" t="s">
        <v>262</v>
      </c>
      <c r="J596" s="202">
        <v>28525</v>
      </c>
      <c r="K596" s="201">
        <v>4</v>
      </c>
    </row>
    <row r="597" spans="1:11">
      <c r="A597" s="122">
        <v>616</v>
      </c>
      <c r="B597" s="204" t="s">
        <v>853</v>
      </c>
      <c r="C597" s="122" t="s">
        <v>245</v>
      </c>
      <c r="D597" s="122" t="s">
        <v>856</v>
      </c>
      <c r="E597" s="122" t="s">
        <v>256</v>
      </c>
      <c r="F597" s="203">
        <v>39815</v>
      </c>
      <c r="G597" s="122" t="str">
        <f>CHOOSE(MONTH(F597),"January","February","March","April","May","June","July","August","September","October","November","December")</f>
        <v>January</v>
      </c>
      <c r="H597" s="122">
        <f ca="1">DATEDIF(F597,TODAY(),"Y")</f>
        <v>7</v>
      </c>
      <c r="I597" s="122" t="s">
        <v>283</v>
      </c>
      <c r="J597" s="202">
        <v>72060</v>
      </c>
      <c r="K597" s="201">
        <v>2</v>
      </c>
    </row>
    <row r="598" spans="1:11">
      <c r="A598" s="122">
        <v>617</v>
      </c>
      <c r="B598" s="204" t="s">
        <v>704</v>
      </c>
      <c r="C598" s="122" t="s">
        <v>271</v>
      </c>
      <c r="D598" s="122" t="s">
        <v>856</v>
      </c>
      <c r="E598" s="122" t="s">
        <v>252</v>
      </c>
      <c r="F598" s="203">
        <v>35402</v>
      </c>
      <c r="G598" s="122" t="str">
        <f>CHOOSE(MONTH(F598),"January","February","March","April","May","June","July","August","September","October","November","December")</f>
        <v>December</v>
      </c>
      <c r="H598" s="122">
        <f ca="1">DATEDIF(F598,TODAY(),"Y")</f>
        <v>19</v>
      </c>
      <c r="J598" s="202">
        <v>33508</v>
      </c>
      <c r="K598" s="201">
        <v>4</v>
      </c>
    </row>
    <row r="599" spans="1:11">
      <c r="A599" s="122">
        <v>618</v>
      </c>
      <c r="B599" s="204" t="s">
        <v>288</v>
      </c>
      <c r="C599" s="122" t="s">
        <v>285</v>
      </c>
      <c r="D599" s="122" t="s">
        <v>856</v>
      </c>
      <c r="E599" s="122" t="s">
        <v>247</v>
      </c>
      <c r="F599" s="203">
        <v>39720</v>
      </c>
      <c r="G599" s="122" t="str">
        <f>CHOOSE(MONTH(F599),"January","February","March","April","May","June","July","August","September","October","November","December")</f>
        <v>September</v>
      </c>
      <c r="H599" s="122">
        <f ca="1">DATEDIF(F599,TODAY(),"Y")</f>
        <v>8</v>
      </c>
      <c r="J599" s="202">
        <v>43320</v>
      </c>
      <c r="K599" s="201">
        <v>5</v>
      </c>
    </row>
    <row r="600" spans="1:11">
      <c r="A600" s="122">
        <v>619</v>
      </c>
      <c r="B600" s="204" t="s">
        <v>1020</v>
      </c>
      <c r="C600" s="122" t="s">
        <v>271</v>
      </c>
      <c r="D600" s="122" t="s">
        <v>856</v>
      </c>
      <c r="E600" s="122" t="s">
        <v>261</v>
      </c>
      <c r="F600" s="203">
        <v>36531</v>
      </c>
      <c r="G600" s="122" t="str">
        <f>CHOOSE(MONTH(F600),"January","February","March","April","May","June","July","August","September","October","November","December")</f>
        <v>January</v>
      </c>
      <c r="H600" s="122">
        <f ca="1">DATEDIF(F600,TODAY(),"Y")</f>
        <v>16</v>
      </c>
      <c r="I600" s="122" t="s">
        <v>267</v>
      </c>
      <c r="J600" s="202">
        <v>20990</v>
      </c>
      <c r="K600" s="201">
        <v>4</v>
      </c>
    </row>
    <row r="601" spans="1:11">
      <c r="A601" s="122">
        <v>620</v>
      </c>
      <c r="B601" s="204" t="s">
        <v>359</v>
      </c>
      <c r="C601" s="122" t="s">
        <v>280</v>
      </c>
      <c r="D601" s="122" t="s">
        <v>856</v>
      </c>
      <c r="E601" s="122" t="s">
        <v>261</v>
      </c>
      <c r="F601" s="203">
        <v>37815</v>
      </c>
      <c r="G601" s="122" t="str">
        <f>CHOOSE(MONTH(F601),"January","February","March","April","May","June","July","August","September","October","November","December")</f>
        <v>July</v>
      </c>
      <c r="H601" s="122">
        <f ca="1">DATEDIF(F601,TODAY(),"Y")</f>
        <v>13</v>
      </c>
      <c r="I601" s="122" t="s">
        <v>257</v>
      </c>
      <c r="J601" s="202">
        <v>48740</v>
      </c>
      <c r="K601" s="201">
        <v>1</v>
      </c>
    </row>
    <row r="602" spans="1:11">
      <c r="A602" s="122">
        <v>621</v>
      </c>
      <c r="B602" s="204" t="s">
        <v>420</v>
      </c>
      <c r="C602" s="122" t="s">
        <v>280</v>
      </c>
      <c r="D602" s="122" t="s">
        <v>856</v>
      </c>
      <c r="E602" s="122" t="s">
        <v>256</v>
      </c>
      <c r="F602" s="203">
        <v>35715</v>
      </c>
      <c r="G602" s="122" t="str">
        <f>CHOOSE(MONTH(F602),"January","February","March","April","May","June","July","August","September","October","November","December")</f>
        <v>October</v>
      </c>
      <c r="H602" s="122">
        <f ca="1">DATEDIF(F602,TODAY(),"Y")</f>
        <v>19</v>
      </c>
      <c r="I602" s="122" t="s">
        <v>283</v>
      </c>
      <c r="J602" s="202">
        <v>32120</v>
      </c>
      <c r="K602" s="201">
        <v>1</v>
      </c>
    </row>
    <row r="603" spans="1:11">
      <c r="A603" s="122">
        <v>622</v>
      </c>
      <c r="B603" s="204" t="s">
        <v>896</v>
      </c>
      <c r="C603" s="122" t="s">
        <v>251</v>
      </c>
      <c r="D603" s="122" t="s">
        <v>856</v>
      </c>
      <c r="E603" s="122" t="s">
        <v>256</v>
      </c>
      <c r="F603" s="203">
        <v>34021</v>
      </c>
      <c r="G603" s="122" t="str">
        <f>CHOOSE(MONTH(F603),"January","February","March","April","May","June","July","August","September","October","November","December")</f>
        <v>February</v>
      </c>
      <c r="H603" s="122">
        <f ca="1">DATEDIF(F603,TODAY(),"Y")</f>
        <v>23</v>
      </c>
      <c r="I603" s="122" t="s">
        <v>283</v>
      </c>
      <c r="J603" s="202">
        <v>45110</v>
      </c>
      <c r="K603" s="201">
        <v>2</v>
      </c>
    </row>
    <row r="604" spans="1:11">
      <c r="A604" s="122">
        <v>623</v>
      </c>
      <c r="B604" s="204" t="s">
        <v>1034</v>
      </c>
      <c r="C604" s="122" t="s">
        <v>245</v>
      </c>
      <c r="D604" s="122" t="s">
        <v>856</v>
      </c>
      <c r="E604" s="122" t="s">
        <v>256</v>
      </c>
      <c r="F604" s="203">
        <v>36290</v>
      </c>
      <c r="G604" s="122" t="str">
        <f>CHOOSE(MONTH(F604),"January","February","March","April","May","June","July","August","September","October","November","December")</f>
        <v>May</v>
      </c>
      <c r="H604" s="122">
        <f ca="1">DATEDIF(F604,TODAY(),"Y")</f>
        <v>17</v>
      </c>
      <c r="I604" s="122" t="s">
        <v>283</v>
      </c>
      <c r="J604" s="202">
        <v>39000</v>
      </c>
      <c r="K604" s="201">
        <v>3</v>
      </c>
    </row>
    <row r="605" spans="1:11">
      <c r="A605" s="122">
        <v>624</v>
      </c>
      <c r="B605" s="204" t="s">
        <v>278</v>
      </c>
      <c r="C605" s="122" t="s">
        <v>285</v>
      </c>
      <c r="D605" s="122" t="s">
        <v>856</v>
      </c>
      <c r="E605" s="122" t="s">
        <v>256</v>
      </c>
      <c r="F605" s="203">
        <v>35896</v>
      </c>
      <c r="G605" s="122" t="str">
        <f>CHOOSE(MONTH(F605),"January","February","March","April","May","June","July","August","September","October","November","December")</f>
        <v>April</v>
      </c>
      <c r="H605" s="122">
        <f ca="1">DATEDIF(F605,TODAY(),"Y")</f>
        <v>18</v>
      </c>
      <c r="I605" s="122" t="s">
        <v>283</v>
      </c>
      <c r="J605" s="202">
        <v>70280</v>
      </c>
      <c r="K605" s="201">
        <v>3</v>
      </c>
    </row>
    <row r="606" spans="1:11">
      <c r="A606" s="122">
        <v>625</v>
      </c>
      <c r="B606" s="204" t="s">
        <v>788</v>
      </c>
      <c r="C606" s="122" t="s">
        <v>245</v>
      </c>
      <c r="D606" s="122" t="s">
        <v>856</v>
      </c>
      <c r="E606" s="122" t="s">
        <v>256</v>
      </c>
      <c r="F606" s="203">
        <v>39153</v>
      </c>
      <c r="G606" s="122" t="str">
        <f>CHOOSE(MONTH(F606),"January","February","March","April","May","June","July","August","September","October","November","December")</f>
        <v>March</v>
      </c>
      <c r="H606" s="122">
        <f ca="1">DATEDIF(F606,TODAY(),"Y")</f>
        <v>9</v>
      </c>
      <c r="I606" s="122" t="s">
        <v>283</v>
      </c>
      <c r="J606" s="202">
        <v>43600</v>
      </c>
      <c r="K606" s="201">
        <v>5</v>
      </c>
    </row>
    <row r="607" spans="1:11">
      <c r="A607" s="122">
        <v>626</v>
      </c>
      <c r="B607" s="204" t="s">
        <v>978</v>
      </c>
      <c r="C607" s="122" t="s">
        <v>285</v>
      </c>
      <c r="D607" s="122" t="s">
        <v>856</v>
      </c>
      <c r="E607" s="122" t="s">
        <v>256</v>
      </c>
      <c r="F607" s="203">
        <v>36312</v>
      </c>
      <c r="G607" s="122" t="str">
        <f>CHOOSE(MONTH(F607),"January","February","March","April","May","June","July","August","September","October","November","December")</f>
        <v>June</v>
      </c>
      <c r="H607" s="122">
        <f ca="1">DATEDIF(F607,TODAY(),"Y")</f>
        <v>17</v>
      </c>
      <c r="I607" s="122" t="s">
        <v>257</v>
      </c>
      <c r="J607" s="202">
        <v>69200</v>
      </c>
      <c r="K607" s="201">
        <v>4</v>
      </c>
    </row>
    <row r="608" spans="1:11">
      <c r="A608" s="122">
        <v>627</v>
      </c>
      <c r="B608" s="204" t="s">
        <v>595</v>
      </c>
      <c r="C608" s="122" t="s">
        <v>285</v>
      </c>
      <c r="D608" s="122" t="s">
        <v>856</v>
      </c>
      <c r="E608" s="122" t="s">
        <v>256</v>
      </c>
      <c r="F608" s="203">
        <v>33711</v>
      </c>
      <c r="G608" s="122" t="str">
        <f>CHOOSE(MONTH(F608),"January","February","March","April","May","June","July","August","September","October","November","December")</f>
        <v>April</v>
      </c>
      <c r="H608" s="122">
        <f ca="1">DATEDIF(F608,TODAY(),"Y")</f>
        <v>24</v>
      </c>
      <c r="I608" s="122" t="s">
        <v>257</v>
      </c>
      <c r="J608" s="202">
        <v>68470</v>
      </c>
      <c r="K608" s="201">
        <v>4</v>
      </c>
    </row>
    <row r="609" spans="1:11">
      <c r="A609" s="122">
        <v>628</v>
      </c>
      <c r="B609" s="204" t="s">
        <v>444</v>
      </c>
      <c r="C609" s="122" t="s">
        <v>280</v>
      </c>
      <c r="D609" s="122" t="s">
        <v>856</v>
      </c>
      <c r="E609" s="122" t="s">
        <v>256</v>
      </c>
      <c r="F609" s="203">
        <v>37793</v>
      </c>
      <c r="G609" s="122" t="str">
        <f>CHOOSE(MONTH(F609),"January","February","March","April","May","June","July","August","September","October","November","December")</f>
        <v>June</v>
      </c>
      <c r="H609" s="122">
        <f ca="1">DATEDIF(F609,TODAY(),"Y")</f>
        <v>13</v>
      </c>
      <c r="I609" s="122" t="s">
        <v>257</v>
      </c>
      <c r="J609" s="202">
        <v>29210</v>
      </c>
      <c r="K609" s="201">
        <v>5</v>
      </c>
    </row>
    <row r="610" spans="1:11">
      <c r="A610" s="122">
        <v>629</v>
      </c>
      <c r="B610" s="204" t="s">
        <v>1035</v>
      </c>
      <c r="C610" s="122" t="s">
        <v>251</v>
      </c>
      <c r="D610" s="122" t="s">
        <v>856</v>
      </c>
      <c r="E610" s="122" t="s">
        <v>256</v>
      </c>
      <c r="F610" s="203">
        <v>33454</v>
      </c>
      <c r="G610" s="122" t="str">
        <f>CHOOSE(MONTH(F610),"January","February","March","April","May","June","July","August","September","October","November","December")</f>
        <v>August</v>
      </c>
      <c r="H610" s="122">
        <f ca="1">DATEDIF(F610,TODAY(),"Y")</f>
        <v>25</v>
      </c>
      <c r="I610" s="122" t="s">
        <v>257</v>
      </c>
      <c r="J610" s="202">
        <v>67920</v>
      </c>
      <c r="K610" s="201">
        <v>4</v>
      </c>
    </row>
    <row r="611" spans="1:11">
      <c r="A611" s="122">
        <v>630</v>
      </c>
      <c r="B611" s="204" t="s">
        <v>469</v>
      </c>
      <c r="C611" s="122" t="s">
        <v>245</v>
      </c>
      <c r="D611" s="122" t="s">
        <v>856</v>
      </c>
      <c r="E611" s="122" t="s">
        <v>256</v>
      </c>
      <c r="F611" s="203">
        <v>36081</v>
      </c>
      <c r="G611" s="122" t="str">
        <f>CHOOSE(MONTH(F611),"January","February","March","April","May","June","July","August","September","October","November","December")</f>
        <v>October</v>
      </c>
      <c r="H611" s="122">
        <f ca="1">DATEDIF(F611,TODAY(),"Y")</f>
        <v>18</v>
      </c>
      <c r="I611" s="122" t="s">
        <v>283</v>
      </c>
      <c r="J611" s="202">
        <v>67407</v>
      </c>
      <c r="K611" s="201">
        <v>5</v>
      </c>
    </row>
    <row r="612" spans="1:11">
      <c r="A612" s="122">
        <v>631</v>
      </c>
      <c r="B612" s="204" t="s">
        <v>1017</v>
      </c>
      <c r="C612" s="122" t="s">
        <v>245</v>
      </c>
      <c r="D612" s="122" t="s">
        <v>856</v>
      </c>
      <c r="E612" s="122" t="s">
        <v>256</v>
      </c>
      <c r="F612" s="203">
        <v>36360</v>
      </c>
      <c r="G612" s="122" t="str">
        <f>CHOOSE(MONTH(F612),"January","February","March","April","May","June","July","August","September","October","November","December")</f>
        <v>July</v>
      </c>
      <c r="H612" s="122">
        <f ca="1">DATEDIF(F612,TODAY(),"Y")</f>
        <v>17</v>
      </c>
      <c r="I612" s="122" t="s">
        <v>283</v>
      </c>
      <c r="J612" s="202">
        <v>67020</v>
      </c>
      <c r="K612" s="201">
        <v>1</v>
      </c>
    </row>
    <row r="613" spans="1:11">
      <c r="A613" s="122">
        <v>632</v>
      </c>
      <c r="B613" s="204" t="s">
        <v>918</v>
      </c>
      <c r="C613" s="122" t="s">
        <v>266</v>
      </c>
      <c r="D613" s="122" t="s">
        <v>856</v>
      </c>
      <c r="E613" s="122" t="s">
        <v>252</v>
      </c>
      <c r="F613" s="203">
        <v>36557</v>
      </c>
      <c r="G613" s="122" t="str">
        <f>CHOOSE(MONTH(F613),"January","February","March","April","May","June","July","August","September","October","November","December")</f>
        <v>February</v>
      </c>
      <c r="H613" s="122">
        <f ca="1">DATEDIF(F613,TODAY(),"Y")</f>
        <v>16</v>
      </c>
      <c r="J613" s="202">
        <v>15552</v>
      </c>
      <c r="K613" s="201">
        <v>4</v>
      </c>
    </row>
    <row r="614" spans="1:11">
      <c r="A614" s="122">
        <v>633</v>
      </c>
      <c r="B614" s="204" t="s">
        <v>605</v>
      </c>
      <c r="C614" s="122" t="s">
        <v>271</v>
      </c>
      <c r="D614" s="122" t="s">
        <v>856</v>
      </c>
      <c r="E614" s="122" t="s">
        <v>256</v>
      </c>
      <c r="F614" s="203">
        <v>34028</v>
      </c>
      <c r="G614" s="122" t="str">
        <f>CHOOSE(MONTH(F614),"January","February","March","April","May","June","July","August","September","October","November","December")</f>
        <v>February</v>
      </c>
      <c r="H614" s="122">
        <f ca="1">DATEDIF(F614,TODAY(),"Y")</f>
        <v>23</v>
      </c>
      <c r="I614" s="122" t="s">
        <v>283</v>
      </c>
      <c r="J614" s="202">
        <v>66824</v>
      </c>
      <c r="K614" s="201">
        <v>2</v>
      </c>
    </row>
    <row r="615" spans="1:11">
      <c r="A615" s="122">
        <v>634</v>
      </c>
      <c r="B615" s="204" t="s">
        <v>523</v>
      </c>
      <c r="C615" s="122" t="s">
        <v>271</v>
      </c>
      <c r="D615" s="122" t="s">
        <v>856</v>
      </c>
      <c r="E615" s="122" t="s">
        <v>256</v>
      </c>
      <c r="F615" s="203">
        <v>35373</v>
      </c>
      <c r="G615" s="122" t="str">
        <f>CHOOSE(MONTH(F615),"January","February","March","April","May","June","July","August","September","October","November","December")</f>
        <v>November</v>
      </c>
      <c r="H615" s="122">
        <f ca="1">DATEDIF(F615,TODAY(),"Y")</f>
        <v>20</v>
      </c>
      <c r="I615" s="122" t="s">
        <v>283</v>
      </c>
      <c r="J615" s="202">
        <v>66440</v>
      </c>
      <c r="K615" s="201">
        <v>3</v>
      </c>
    </row>
    <row r="616" spans="1:11">
      <c r="A616" s="122">
        <v>635</v>
      </c>
      <c r="B616" s="204" t="s">
        <v>1033</v>
      </c>
      <c r="C616" s="122" t="s">
        <v>285</v>
      </c>
      <c r="D616" s="122" t="s">
        <v>856</v>
      </c>
      <c r="E616" s="122" t="s">
        <v>256</v>
      </c>
      <c r="F616" s="203">
        <v>33685</v>
      </c>
      <c r="G616" s="122" t="str">
        <f>CHOOSE(MONTH(F616),"January","February","March","April","May","June","July","August","September","October","November","December")</f>
        <v>March</v>
      </c>
      <c r="H616" s="122">
        <f ca="1">DATEDIF(F616,TODAY(),"Y")</f>
        <v>24</v>
      </c>
      <c r="I616" s="122" t="s">
        <v>257</v>
      </c>
      <c r="J616" s="202">
        <v>65571</v>
      </c>
      <c r="K616" s="201">
        <v>3</v>
      </c>
    </row>
    <row r="617" spans="1:11">
      <c r="A617" s="122">
        <v>636</v>
      </c>
      <c r="B617" s="204" t="s">
        <v>499</v>
      </c>
      <c r="C617" s="122" t="s">
        <v>251</v>
      </c>
      <c r="D617" s="122" t="s">
        <v>856</v>
      </c>
      <c r="E617" s="122" t="s">
        <v>247</v>
      </c>
      <c r="F617" s="203">
        <v>38027</v>
      </c>
      <c r="G617" s="122" t="str">
        <f>CHOOSE(MONTH(F617),"January","February","March","April","May","June","July","August","September","October","November","December")</f>
        <v>February</v>
      </c>
      <c r="H617" s="122">
        <f ca="1">DATEDIF(F617,TODAY(),"Y")</f>
        <v>12</v>
      </c>
      <c r="J617" s="202">
        <v>64590</v>
      </c>
      <c r="K617" s="201">
        <v>1</v>
      </c>
    </row>
    <row r="618" spans="1:11">
      <c r="A618" s="122">
        <v>637</v>
      </c>
      <c r="B618" s="204" t="s">
        <v>438</v>
      </c>
      <c r="C618" s="122" t="s">
        <v>285</v>
      </c>
      <c r="D618" s="122" t="s">
        <v>856</v>
      </c>
      <c r="E618" s="122" t="s">
        <v>256</v>
      </c>
      <c r="F618" s="203">
        <v>33269</v>
      </c>
      <c r="G618" s="122" t="str">
        <f>CHOOSE(MONTH(F618),"January","February","March","April","May","June","July","August","September","October","November","December")</f>
        <v>January</v>
      </c>
      <c r="H618" s="122">
        <f ca="1">DATEDIF(F618,TODAY(),"Y")</f>
        <v>25</v>
      </c>
      <c r="I618" s="122" t="s">
        <v>283</v>
      </c>
      <c r="J618" s="202">
        <v>24840</v>
      </c>
      <c r="K618" s="201">
        <v>1</v>
      </c>
    </row>
    <row r="619" spans="1:11">
      <c r="A619" s="122">
        <v>638</v>
      </c>
      <c r="B619" s="204" t="s">
        <v>454</v>
      </c>
      <c r="C619" s="122" t="s">
        <v>271</v>
      </c>
      <c r="D619" s="122" t="s">
        <v>856</v>
      </c>
      <c r="E619" s="122" t="s">
        <v>256</v>
      </c>
      <c r="F619" s="203">
        <v>34285</v>
      </c>
      <c r="G619" s="122" t="str">
        <f>CHOOSE(MONTH(F619),"January","February","March","April","May","June","July","August","September","October","November","December")</f>
        <v>November</v>
      </c>
      <c r="H619" s="122">
        <f ca="1">DATEDIF(F619,TODAY(),"Y")</f>
        <v>22</v>
      </c>
      <c r="I619" s="122" t="s">
        <v>267</v>
      </c>
      <c r="J619" s="202">
        <v>48490</v>
      </c>
      <c r="K619" s="201">
        <v>2</v>
      </c>
    </row>
    <row r="620" spans="1:11">
      <c r="A620" s="122">
        <v>639</v>
      </c>
      <c r="B620" s="204" t="s">
        <v>457</v>
      </c>
      <c r="C620" s="122" t="s">
        <v>266</v>
      </c>
      <c r="D620" s="122" t="s">
        <v>856</v>
      </c>
      <c r="E620" s="122" t="s">
        <v>256</v>
      </c>
      <c r="F620" s="203">
        <v>33548</v>
      </c>
      <c r="G620" s="122" t="str">
        <f>CHOOSE(MONTH(F620),"January","February","March","April","May","June","July","August","September","October","November","December")</f>
        <v>November</v>
      </c>
      <c r="H620" s="122">
        <f ca="1">DATEDIF(F620,TODAY(),"Y")</f>
        <v>25</v>
      </c>
      <c r="I620" s="122" t="s">
        <v>283</v>
      </c>
      <c r="J620" s="202">
        <v>63050</v>
      </c>
      <c r="K620" s="201">
        <v>3</v>
      </c>
    </row>
    <row r="621" spans="1:11">
      <c r="A621" s="122">
        <v>640</v>
      </c>
      <c r="B621" s="204" t="s">
        <v>949</v>
      </c>
      <c r="C621" s="122" t="s">
        <v>271</v>
      </c>
      <c r="D621" s="122" t="s">
        <v>856</v>
      </c>
      <c r="E621" s="122" t="s">
        <v>256</v>
      </c>
      <c r="F621" s="203">
        <v>35356</v>
      </c>
      <c r="G621" s="122" t="str">
        <f>CHOOSE(MONTH(F621),"January","February","March","April","May","June","July","August","September","October","November","December")</f>
        <v>October</v>
      </c>
      <c r="H621" s="122">
        <f ca="1">DATEDIF(F621,TODAY(),"Y")</f>
        <v>20</v>
      </c>
      <c r="I621" s="122" t="s">
        <v>262</v>
      </c>
      <c r="J621" s="202">
        <v>63030</v>
      </c>
      <c r="K621" s="201">
        <v>1</v>
      </c>
    </row>
    <row r="622" spans="1:11">
      <c r="A622" s="122">
        <v>641</v>
      </c>
      <c r="B622" s="204" t="s">
        <v>971</v>
      </c>
      <c r="C622" s="122" t="s">
        <v>245</v>
      </c>
      <c r="D622" s="122" t="s">
        <v>856</v>
      </c>
      <c r="E622" s="122" t="s">
        <v>256</v>
      </c>
      <c r="F622" s="203">
        <v>35451</v>
      </c>
      <c r="G622" s="122" t="str">
        <f>CHOOSE(MONTH(F622),"January","February","March","April","May","June","July","August","September","October","November","December")</f>
        <v>January</v>
      </c>
      <c r="H622" s="122">
        <f ca="1">DATEDIF(F622,TODAY(),"Y")</f>
        <v>19</v>
      </c>
      <c r="I622" s="122" t="s">
        <v>276</v>
      </c>
      <c r="J622" s="202">
        <v>62965</v>
      </c>
      <c r="K622" s="201">
        <v>1</v>
      </c>
    </row>
    <row r="623" spans="1:11">
      <c r="A623" s="122">
        <v>642</v>
      </c>
      <c r="B623" s="204" t="s">
        <v>360</v>
      </c>
      <c r="C623" s="122" t="s">
        <v>271</v>
      </c>
      <c r="D623" s="122" t="s">
        <v>856</v>
      </c>
      <c r="E623" s="122" t="s">
        <v>252</v>
      </c>
      <c r="F623" s="203">
        <v>34180</v>
      </c>
      <c r="G623" s="122" t="str">
        <f>CHOOSE(MONTH(F623),"January","February","March","April","May","June","July","August","September","October","November","December")</f>
        <v>July</v>
      </c>
      <c r="H623" s="122">
        <f ca="1">DATEDIF(F623,TODAY(),"Y")</f>
        <v>23</v>
      </c>
      <c r="J623" s="202">
        <v>26484</v>
      </c>
      <c r="K623" s="201">
        <v>5</v>
      </c>
    </row>
    <row r="624" spans="1:11">
      <c r="A624" s="122">
        <v>643</v>
      </c>
      <c r="B624" s="204" t="s">
        <v>386</v>
      </c>
      <c r="C624" s="122" t="s">
        <v>271</v>
      </c>
      <c r="D624" s="122" t="s">
        <v>856</v>
      </c>
      <c r="E624" s="122" t="s">
        <v>247</v>
      </c>
      <c r="F624" s="203">
        <v>36406</v>
      </c>
      <c r="G624" s="122" t="str">
        <f>CHOOSE(MONTH(F624),"January","February","March","April","May","June","July","August","September","October","November","December")</f>
        <v>September</v>
      </c>
      <c r="H624" s="122">
        <f ca="1">DATEDIF(F624,TODAY(),"Y")</f>
        <v>17</v>
      </c>
      <c r="J624" s="202">
        <v>60800</v>
      </c>
      <c r="K624" s="201">
        <v>4</v>
      </c>
    </row>
    <row r="625" spans="1:11">
      <c r="A625" s="122">
        <v>644</v>
      </c>
      <c r="B625" s="204" t="s">
        <v>994</v>
      </c>
      <c r="C625" s="122" t="s">
        <v>280</v>
      </c>
      <c r="D625" s="122" t="s">
        <v>856</v>
      </c>
      <c r="E625" s="122" t="s">
        <v>261</v>
      </c>
      <c r="F625" s="203">
        <v>35842</v>
      </c>
      <c r="G625" s="122" t="str">
        <f>CHOOSE(MONTH(F625),"January","February","March","April","May","June","July","August","September","October","November","December")</f>
        <v>February</v>
      </c>
      <c r="H625" s="122">
        <f ca="1">DATEDIF(F625,TODAY(),"Y")</f>
        <v>18</v>
      </c>
      <c r="I625" s="122" t="s">
        <v>267</v>
      </c>
      <c r="J625" s="202">
        <v>39530</v>
      </c>
      <c r="K625" s="201">
        <v>5</v>
      </c>
    </row>
    <row r="626" spans="1:11">
      <c r="A626" s="122">
        <v>645</v>
      </c>
      <c r="B626" s="204" t="s">
        <v>666</v>
      </c>
      <c r="C626" s="122" t="s">
        <v>245</v>
      </c>
      <c r="D626" s="122" t="s">
        <v>856</v>
      </c>
      <c r="E626" s="122" t="s">
        <v>247</v>
      </c>
      <c r="F626" s="203">
        <v>36070</v>
      </c>
      <c r="G626" s="122" t="str">
        <f>CHOOSE(MONTH(F626),"January","February","March","April","May","June","July","August","September","October","November","December")</f>
        <v>October</v>
      </c>
      <c r="H626" s="122">
        <f ca="1">DATEDIF(F626,TODAY(),"Y")</f>
        <v>18</v>
      </c>
      <c r="J626" s="202">
        <v>59050</v>
      </c>
      <c r="K626" s="201">
        <v>4</v>
      </c>
    </row>
    <row r="627" spans="1:11">
      <c r="A627" s="122">
        <v>646</v>
      </c>
      <c r="B627" s="204" t="s">
        <v>356</v>
      </c>
      <c r="C627" s="122" t="s">
        <v>285</v>
      </c>
      <c r="D627" s="122" t="s">
        <v>856</v>
      </c>
      <c r="E627" s="122" t="s">
        <v>256</v>
      </c>
      <c r="F627" s="203">
        <v>36245</v>
      </c>
      <c r="G627" s="122" t="str">
        <f>CHOOSE(MONTH(F627),"January","February","March","April","May","June","July","August","September","October","November","December")</f>
        <v>March</v>
      </c>
      <c r="H627" s="122">
        <f ca="1">DATEDIF(F627,TODAY(),"Y")</f>
        <v>17</v>
      </c>
      <c r="I627" s="122" t="s">
        <v>257</v>
      </c>
      <c r="J627" s="202">
        <v>58410</v>
      </c>
      <c r="K627" s="201">
        <v>5</v>
      </c>
    </row>
    <row r="628" spans="1:11">
      <c r="A628" s="122">
        <v>647</v>
      </c>
      <c r="B628" s="204" t="s">
        <v>694</v>
      </c>
      <c r="C628" s="122" t="s">
        <v>285</v>
      </c>
      <c r="D628" s="122" t="s">
        <v>856</v>
      </c>
      <c r="E628" s="122" t="s">
        <v>256</v>
      </c>
      <c r="F628" s="203">
        <v>35569</v>
      </c>
      <c r="G628" s="122" t="str">
        <f>CHOOSE(MONTH(F628),"January","February","March","April","May","June","July","August","September","October","November","December")</f>
        <v>May</v>
      </c>
      <c r="H628" s="122">
        <f ca="1">DATEDIF(F628,TODAY(),"Y")</f>
        <v>19</v>
      </c>
      <c r="I628" s="122" t="s">
        <v>283</v>
      </c>
      <c r="J628" s="202">
        <v>37770</v>
      </c>
      <c r="K628" s="201">
        <v>5</v>
      </c>
    </row>
    <row r="629" spans="1:11">
      <c r="A629" s="122">
        <v>648</v>
      </c>
      <c r="B629" s="204" t="s">
        <v>847</v>
      </c>
      <c r="C629" s="122" t="s">
        <v>251</v>
      </c>
      <c r="D629" s="122" t="s">
        <v>856</v>
      </c>
      <c r="E629" s="122" t="s">
        <v>247</v>
      </c>
      <c r="F629" s="203">
        <v>37082</v>
      </c>
      <c r="G629" s="122" t="str">
        <f>CHOOSE(MONTH(F629),"January","February","March","April","May","June","July","August","September","October","November","December")</f>
        <v>July</v>
      </c>
      <c r="H629" s="122">
        <f ca="1">DATEDIF(F629,TODAY(),"Y")</f>
        <v>15</v>
      </c>
      <c r="J629" s="202">
        <v>46780</v>
      </c>
      <c r="K629" s="201">
        <v>2</v>
      </c>
    </row>
    <row r="630" spans="1:11">
      <c r="A630" s="122">
        <v>649</v>
      </c>
      <c r="B630" s="204" t="s">
        <v>838</v>
      </c>
      <c r="C630" s="122" t="s">
        <v>285</v>
      </c>
      <c r="D630" s="122" t="s">
        <v>856</v>
      </c>
      <c r="E630" s="122" t="s">
        <v>247</v>
      </c>
      <c r="F630" s="203">
        <v>33914</v>
      </c>
      <c r="G630" s="122" t="str">
        <f>CHOOSE(MONTH(F630),"January","February","March","April","May","June","July","August","September","October","November","December")</f>
        <v>November</v>
      </c>
      <c r="H630" s="122">
        <f ca="1">DATEDIF(F630,TODAY(),"Y")</f>
        <v>24</v>
      </c>
      <c r="J630" s="202">
        <v>55690</v>
      </c>
      <c r="K630" s="201">
        <v>2</v>
      </c>
    </row>
    <row r="631" spans="1:11">
      <c r="A631" s="122">
        <v>650</v>
      </c>
      <c r="B631" s="204" t="s">
        <v>282</v>
      </c>
      <c r="C631" s="122" t="s">
        <v>285</v>
      </c>
      <c r="D631" s="122" t="s">
        <v>856</v>
      </c>
      <c r="E631" s="122" t="s">
        <v>261</v>
      </c>
      <c r="F631" s="203">
        <v>36423</v>
      </c>
      <c r="G631" s="122" t="str">
        <f>CHOOSE(MONTH(F631),"January","February","March","April","May","June","July","August","September","October","November","December")</f>
        <v>September</v>
      </c>
      <c r="H631" s="122">
        <f ca="1">DATEDIF(F631,TODAY(),"Y")</f>
        <v>17</v>
      </c>
      <c r="I631" s="122" t="s">
        <v>276</v>
      </c>
      <c r="J631" s="202">
        <v>47350</v>
      </c>
      <c r="K631" s="201">
        <v>1</v>
      </c>
    </row>
    <row r="632" spans="1:11">
      <c r="A632" s="122">
        <v>651</v>
      </c>
      <c r="B632" s="204" t="s">
        <v>621</v>
      </c>
      <c r="C632" s="122" t="s">
        <v>285</v>
      </c>
      <c r="D632" s="122" t="s">
        <v>856</v>
      </c>
      <c r="E632" s="122" t="s">
        <v>247</v>
      </c>
      <c r="F632" s="203">
        <v>36479</v>
      </c>
      <c r="G632" s="122" t="str">
        <f>CHOOSE(MONTH(F632),"January","February","March","April","May","June","July","August","September","October","November","December")</f>
        <v>November</v>
      </c>
      <c r="H632" s="122">
        <f ca="1">DATEDIF(F632,TODAY(),"Y")</f>
        <v>16</v>
      </c>
      <c r="J632" s="202">
        <v>54840</v>
      </c>
      <c r="K632" s="201">
        <v>4</v>
      </c>
    </row>
    <row r="633" spans="1:11">
      <c r="A633" s="122">
        <v>652</v>
      </c>
      <c r="B633" s="204" t="s">
        <v>867</v>
      </c>
      <c r="C633" s="122" t="s">
        <v>285</v>
      </c>
      <c r="D633" s="122" t="s">
        <v>856</v>
      </c>
      <c r="E633" s="122" t="s">
        <v>256</v>
      </c>
      <c r="F633" s="203">
        <v>33604</v>
      </c>
      <c r="G633" s="122" t="str">
        <f>CHOOSE(MONTH(F633),"January","February","March","April","May","June","July","August","September","October","November","December")</f>
        <v>January</v>
      </c>
      <c r="H633" s="122">
        <f ca="1">DATEDIF(F633,TODAY(),"Y")</f>
        <v>24</v>
      </c>
      <c r="I633" s="122" t="s">
        <v>257</v>
      </c>
      <c r="J633" s="202">
        <v>54830</v>
      </c>
      <c r="K633" s="201">
        <v>1</v>
      </c>
    </row>
    <row r="634" spans="1:11">
      <c r="A634" s="122">
        <v>653</v>
      </c>
      <c r="B634" s="204" t="s">
        <v>660</v>
      </c>
      <c r="C634" s="122" t="s">
        <v>245</v>
      </c>
      <c r="D634" s="122" t="s">
        <v>856</v>
      </c>
      <c r="E634" s="122" t="s">
        <v>256</v>
      </c>
      <c r="F634" s="203">
        <v>34010</v>
      </c>
      <c r="G634" s="122" t="str">
        <f>CHOOSE(MONTH(F634),"January","February","March","April","May","June","July","August","September","October","November","December")</f>
        <v>February</v>
      </c>
      <c r="H634" s="122">
        <f ca="1">DATEDIF(F634,TODAY(),"Y")</f>
        <v>23</v>
      </c>
      <c r="I634" s="122" t="s">
        <v>257</v>
      </c>
      <c r="J634" s="202">
        <v>54270</v>
      </c>
      <c r="K634" s="201">
        <v>3</v>
      </c>
    </row>
    <row r="635" spans="1:11">
      <c r="A635" s="122">
        <v>654</v>
      </c>
      <c r="B635" s="204" t="s">
        <v>1016</v>
      </c>
      <c r="C635" s="122" t="s">
        <v>285</v>
      </c>
      <c r="D635" s="122" t="s">
        <v>856</v>
      </c>
      <c r="E635" s="122" t="s">
        <v>256</v>
      </c>
      <c r="F635" s="203">
        <v>34160</v>
      </c>
      <c r="G635" s="122" t="str">
        <f>CHOOSE(MONTH(F635),"January","February","March","April","May","June","July","August","September","October","November","December")</f>
        <v>July</v>
      </c>
      <c r="H635" s="122">
        <f ca="1">DATEDIF(F635,TODAY(),"Y")</f>
        <v>23</v>
      </c>
      <c r="I635" s="122" t="s">
        <v>257</v>
      </c>
      <c r="J635" s="202">
        <v>54200</v>
      </c>
      <c r="K635" s="201">
        <v>4</v>
      </c>
    </row>
    <row r="636" spans="1:11">
      <c r="A636" s="122">
        <v>655</v>
      </c>
      <c r="B636" s="204" t="s">
        <v>759</v>
      </c>
      <c r="C636" s="122" t="s">
        <v>285</v>
      </c>
      <c r="D636" s="122" t="s">
        <v>856</v>
      </c>
      <c r="E636" s="122" t="s">
        <v>256</v>
      </c>
      <c r="F636" s="203">
        <v>33222</v>
      </c>
      <c r="G636" s="122" t="str">
        <f>CHOOSE(MONTH(F636),"January","February","March","April","May","June","July","August","September","October","November","December")</f>
        <v>December</v>
      </c>
      <c r="H636" s="122">
        <f ca="1">DATEDIF(F636,TODAY(),"Y")</f>
        <v>25</v>
      </c>
      <c r="I636" s="122" t="s">
        <v>257</v>
      </c>
      <c r="J636" s="202">
        <v>53900</v>
      </c>
      <c r="K636" s="201">
        <v>5</v>
      </c>
    </row>
    <row r="637" spans="1:11">
      <c r="A637" s="122">
        <v>656</v>
      </c>
      <c r="B637" s="204" t="s">
        <v>758</v>
      </c>
      <c r="C637" s="122" t="s">
        <v>285</v>
      </c>
      <c r="D637" s="122" t="s">
        <v>856</v>
      </c>
      <c r="E637" s="122" t="s">
        <v>247</v>
      </c>
      <c r="F637" s="203">
        <v>36214</v>
      </c>
      <c r="G637" s="122" t="str">
        <f>CHOOSE(MONTH(F637),"January","February","March","April","May","June","July","August","September","October","November","December")</f>
        <v>February</v>
      </c>
      <c r="H637" s="122">
        <f ca="1">DATEDIF(F637,TODAY(),"Y")</f>
        <v>17</v>
      </c>
      <c r="J637" s="202">
        <v>53310</v>
      </c>
      <c r="K637" s="201">
        <v>5</v>
      </c>
    </row>
    <row r="638" spans="1:11">
      <c r="A638" s="122">
        <v>657</v>
      </c>
      <c r="B638" s="204" t="s">
        <v>752</v>
      </c>
      <c r="C638" s="122" t="s">
        <v>266</v>
      </c>
      <c r="D638" s="122" t="s">
        <v>856</v>
      </c>
      <c r="E638" s="122" t="s">
        <v>261</v>
      </c>
      <c r="F638" s="203">
        <v>33890</v>
      </c>
      <c r="G638" s="122" t="str">
        <f>CHOOSE(MONTH(F638),"January","February","March","April","May","June","July","August","September","October","November","December")</f>
        <v>October</v>
      </c>
      <c r="H638" s="122">
        <f ca="1">DATEDIF(F638,TODAY(),"Y")</f>
        <v>24</v>
      </c>
      <c r="I638" s="122" t="s">
        <v>283</v>
      </c>
      <c r="J638" s="202">
        <v>25885</v>
      </c>
      <c r="K638" s="201">
        <v>5</v>
      </c>
    </row>
    <row r="639" spans="1:11">
      <c r="A639" s="122">
        <v>659</v>
      </c>
      <c r="B639" s="204" t="s">
        <v>741</v>
      </c>
      <c r="C639" s="122" t="s">
        <v>266</v>
      </c>
      <c r="D639" s="122" t="s">
        <v>930</v>
      </c>
      <c r="E639" s="122" t="s">
        <v>247</v>
      </c>
      <c r="F639" s="203">
        <v>37453</v>
      </c>
      <c r="G639" s="122" t="str">
        <f>CHOOSE(MONTH(F639),"January","February","March","April","May","June","July","August","September","October","November","December")</f>
        <v>July</v>
      </c>
      <c r="H639" s="122">
        <f ca="1">DATEDIF(F639,TODAY(),"Y")</f>
        <v>14</v>
      </c>
      <c r="J639" s="202">
        <v>49090</v>
      </c>
      <c r="K639" s="201">
        <v>4</v>
      </c>
    </row>
    <row r="640" spans="1:11">
      <c r="A640" s="122">
        <v>660</v>
      </c>
      <c r="B640" s="204" t="s">
        <v>462</v>
      </c>
      <c r="C640" s="122" t="s">
        <v>266</v>
      </c>
      <c r="D640" s="122" t="s">
        <v>930</v>
      </c>
      <c r="E640" s="122" t="s">
        <v>252</v>
      </c>
      <c r="F640" s="203">
        <v>36458</v>
      </c>
      <c r="G640" s="122" t="str">
        <f>CHOOSE(MONTH(F640),"January","February","March","April","May","June","July","August","September","October","November","December")</f>
        <v>October</v>
      </c>
      <c r="H640" s="122">
        <f ca="1">DATEDIF(F640,TODAY(),"Y")</f>
        <v>17</v>
      </c>
      <c r="J640" s="202">
        <v>32536</v>
      </c>
      <c r="K640" s="201">
        <v>2</v>
      </c>
    </row>
    <row r="641" spans="1:11">
      <c r="A641" s="122">
        <v>661</v>
      </c>
      <c r="B641" s="204" t="s">
        <v>1030</v>
      </c>
      <c r="C641" s="122" t="s">
        <v>280</v>
      </c>
      <c r="D641" s="122" t="s">
        <v>930</v>
      </c>
      <c r="E641" s="122" t="s">
        <v>256</v>
      </c>
      <c r="F641" s="203">
        <v>39679</v>
      </c>
      <c r="G641" s="122" t="str">
        <f>CHOOSE(MONTH(F641),"January","February","March","April","May","June","July","August","September","October","November","December")</f>
        <v>August</v>
      </c>
      <c r="H641" s="122">
        <f ca="1">DATEDIF(F641,TODAY(),"Y")</f>
        <v>8</v>
      </c>
      <c r="I641" s="122" t="s">
        <v>257</v>
      </c>
      <c r="J641" s="202">
        <v>22820</v>
      </c>
      <c r="K641" s="201">
        <v>5</v>
      </c>
    </row>
    <row r="642" spans="1:11">
      <c r="A642" s="122">
        <v>662</v>
      </c>
      <c r="B642" s="204" t="s">
        <v>508</v>
      </c>
      <c r="C642" s="122" t="s">
        <v>271</v>
      </c>
      <c r="D642" s="122" t="s">
        <v>930</v>
      </c>
      <c r="E642" s="122" t="s">
        <v>247</v>
      </c>
      <c r="F642" s="203">
        <v>37099</v>
      </c>
      <c r="G642" s="122" t="str">
        <f>CHOOSE(MONTH(F642),"January","February","March","April","May","June","July","August","September","October","November","December")</f>
        <v>July</v>
      </c>
      <c r="H642" s="122">
        <f ca="1">DATEDIF(F642,TODAY(),"Y")</f>
        <v>15</v>
      </c>
      <c r="J642" s="202">
        <v>28270</v>
      </c>
      <c r="K642" s="201">
        <v>5</v>
      </c>
    </row>
    <row r="643" spans="1:11">
      <c r="A643" s="122">
        <v>663</v>
      </c>
      <c r="B643" s="204" t="s">
        <v>467</v>
      </c>
      <c r="C643" s="122" t="s">
        <v>245</v>
      </c>
      <c r="D643" s="122" t="s">
        <v>930</v>
      </c>
      <c r="E643" s="122" t="s">
        <v>247</v>
      </c>
      <c r="F643" s="203">
        <v>33401</v>
      </c>
      <c r="G643" s="122" t="str">
        <f>CHOOSE(MONTH(F643),"January","February","March","April","May","June","July","August","September","October","November","December")</f>
        <v>June</v>
      </c>
      <c r="H643" s="122">
        <f ca="1">DATEDIF(F643,TODAY(),"Y")</f>
        <v>25</v>
      </c>
      <c r="J643" s="202">
        <v>34680</v>
      </c>
      <c r="K643" s="201">
        <v>5</v>
      </c>
    </row>
    <row r="644" spans="1:11">
      <c r="A644" s="122">
        <v>664</v>
      </c>
      <c r="B644" s="204" t="s">
        <v>536</v>
      </c>
      <c r="C644" s="122" t="s">
        <v>280</v>
      </c>
      <c r="D644" s="122" t="s">
        <v>930</v>
      </c>
      <c r="E644" s="122" t="s">
        <v>247</v>
      </c>
      <c r="F644" s="203">
        <v>35338</v>
      </c>
      <c r="G644" s="122" t="str">
        <f>CHOOSE(MONTH(F644),"January","February","March","April","May","June","July","August","September","October","November","December")</f>
        <v>September</v>
      </c>
      <c r="H644" s="122">
        <f ca="1">DATEDIF(F644,TODAY(),"Y")</f>
        <v>20</v>
      </c>
      <c r="J644" s="202">
        <v>87830</v>
      </c>
      <c r="K644" s="201">
        <v>2</v>
      </c>
    </row>
    <row r="645" spans="1:11">
      <c r="A645" s="122">
        <v>665</v>
      </c>
      <c r="B645" s="204" t="s">
        <v>255</v>
      </c>
      <c r="C645" s="122" t="s">
        <v>285</v>
      </c>
      <c r="D645" s="122" t="s">
        <v>930</v>
      </c>
      <c r="E645" s="122" t="s">
        <v>261</v>
      </c>
      <c r="F645" s="203">
        <v>36462</v>
      </c>
      <c r="G645" s="122" t="str">
        <f>CHOOSE(MONTH(F645),"January","February","March","April","May","June","July","August","September","October","November","December")</f>
        <v>October</v>
      </c>
      <c r="H645" s="122">
        <f ca="1">DATEDIF(F645,TODAY(),"Y")</f>
        <v>17</v>
      </c>
      <c r="I645" s="122" t="s">
        <v>283</v>
      </c>
      <c r="J645" s="202">
        <v>26185</v>
      </c>
      <c r="K645" s="201">
        <v>5</v>
      </c>
    </row>
    <row r="646" spans="1:11">
      <c r="A646" s="122">
        <v>666</v>
      </c>
      <c r="B646" s="204" t="s">
        <v>815</v>
      </c>
      <c r="C646" s="122" t="s">
        <v>285</v>
      </c>
      <c r="D646" s="122" t="s">
        <v>930</v>
      </c>
      <c r="E646" s="122" t="s">
        <v>256</v>
      </c>
      <c r="F646" s="203">
        <v>34286</v>
      </c>
      <c r="G646" s="122" t="str">
        <f>CHOOSE(MONTH(F646),"January","February","March","April","May","June","July","August","September","October","November","December")</f>
        <v>November</v>
      </c>
      <c r="H646" s="122">
        <f ca="1">DATEDIF(F646,TODAY(),"Y")</f>
        <v>22</v>
      </c>
      <c r="I646" s="122" t="s">
        <v>283</v>
      </c>
      <c r="J646" s="202">
        <v>87220</v>
      </c>
      <c r="K646" s="201">
        <v>1</v>
      </c>
    </row>
    <row r="647" spans="1:11">
      <c r="A647" s="122">
        <v>667</v>
      </c>
      <c r="B647" s="204" t="s">
        <v>645</v>
      </c>
      <c r="C647" s="122" t="s">
        <v>271</v>
      </c>
      <c r="D647" s="122" t="s">
        <v>930</v>
      </c>
      <c r="E647" s="122" t="s">
        <v>256</v>
      </c>
      <c r="F647" s="203">
        <v>40637</v>
      </c>
      <c r="G647" s="122" t="str">
        <f>CHOOSE(MONTH(F647),"January","February","March","April","May","June","July","August","September","October","November","December")</f>
        <v>April</v>
      </c>
      <c r="H647" s="122">
        <f ca="1">DATEDIF(F647,TODAY(),"Y")</f>
        <v>5</v>
      </c>
      <c r="I647" s="122" t="s">
        <v>257</v>
      </c>
      <c r="J647" s="202">
        <v>86640</v>
      </c>
      <c r="K647" s="201">
        <v>3</v>
      </c>
    </row>
    <row r="648" spans="1:11">
      <c r="A648" s="122">
        <v>668</v>
      </c>
      <c r="B648" s="204" t="s">
        <v>883</v>
      </c>
      <c r="C648" s="122" t="s">
        <v>280</v>
      </c>
      <c r="D648" s="122" t="s">
        <v>930</v>
      </c>
      <c r="E648" s="122" t="s">
        <v>261</v>
      </c>
      <c r="F648" s="203">
        <v>39535</v>
      </c>
      <c r="G648" s="122" t="str">
        <f>CHOOSE(MONTH(F648),"January","February","March","April","May","June","July","August","September","October","November","December")</f>
        <v>March</v>
      </c>
      <c r="H648" s="122">
        <f ca="1">DATEDIF(F648,TODAY(),"Y")</f>
        <v>8</v>
      </c>
      <c r="I648" s="122" t="s">
        <v>276</v>
      </c>
      <c r="J648" s="202">
        <v>49080</v>
      </c>
      <c r="K648" s="201">
        <v>5</v>
      </c>
    </row>
    <row r="649" spans="1:11">
      <c r="A649" s="122">
        <v>669</v>
      </c>
      <c r="B649" s="204" t="s">
        <v>884</v>
      </c>
      <c r="C649" s="122" t="s">
        <v>266</v>
      </c>
      <c r="D649" s="122" t="s">
        <v>930</v>
      </c>
      <c r="E649" s="122" t="s">
        <v>256</v>
      </c>
      <c r="F649" s="203">
        <v>35776</v>
      </c>
      <c r="G649" s="122" t="str">
        <f>CHOOSE(MONTH(F649),"January","February","March","April","May","June","July","August","September","October","November","December")</f>
        <v>December</v>
      </c>
      <c r="H649" s="122">
        <f ca="1">DATEDIF(F649,TODAY(),"Y")</f>
        <v>18</v>
      </c>
      <c r="I649" s="122" t="s">
        <v>257</v>
      </c>
      <c r="J649" s="202">
        <v>86320</v>
      </c>
      <c r="K649" s="201">
        <v>4</v>
      </c>
    </row>
    <row r="650" spans="1:11">
      <c r="A650" s="122">
        <v>670</v>
      </c>
      <c r="B650" s="204" t="s">
        <v>721</v>
      </c>
      <c r="C650" s="122" t="s">
        <v>271</v>
      </c>
      <c r="D650" s="122" t="s">
        <v>930</v>
      </c>
      <c r="E650" s="122" t="s">
        <v>256</v>
      </c>
      <c r="F650" s="203">
        <v>40018</v>
      </c>
      <c r="G650" s="122" t="str">
        <f>CHOOSE(MONTH(F650),"January","February","March","April","May","June","July","August","September","October","November","December")</f>
        <v>July</v>
      </c>
      <c r="H650" s="122">
        <f ca="1">DATEDIF(F650,TODAY(),"Y")</f>
        <v>7</v>
      </c>
      <c r="I650" s="122" t="s">
        <v>283</v>
      </c>
      <c r="J650" s="202">
        <v>34990</v>
      </c>
      <c r="K650" s="201">
        <v>3</v>
      </c>
    </row>
    <row r="651" spans="1:11">
      <c r="A651" s="122">
        <v>671</v>
      </c>
      <c r="B651" s="204" t="s">
        <v>446</v>
      </c>
      <c r="C651" s="122" t="s">
        <v>245</v>
      </c>
      <c r="D651" s="122" t="s">
        <v>930</v>
      </c>
      <c r="E651" s="122" t="s">
        <v>247</v>
      </c>
      <c r="F651" s="203">
        <v>39728</v>
      </c>
      <c r="G651" s="122" t="str">
        <f>CHOOSE(MONTH(F651),"January","February","March","April","May","June","July","August","September","October","November","December")</f>
        <v>October</v>
      </c>
      <c r="H651" s="122">
        <f ca="1">DATEDIF(F651,TODAY(),"Y")</f>
        <v>8</v>
      </c>
      <c r="J651" s="202">
        <v>86040</v>
      </c>
      <c r="K651" s="201">
        <v>5</v>
      </c>
    </row>
    <row r="652" spans="1:11">
      <c r="A652" s="122">
        <v>672</v>
      </c>
      <c r="B652" s="204" t="s">
        <v>693</v>
      </c>
      <c r="C652" s="122" t="s">
        <v>285</v>
      </c>
      <c r="D652" s="122" t="s">
        <v>930</v>
      </c>
      <c r="E652" s="122" t="s">
        <v>247</v>
      </c>
      <c r="F652" s="203">
        <v>40523</v>
      </c>
      <c r="G652" s="122" t="str">
        <f>CHOOSE(MONTH(F652),"January","February","March","April","May","June","July","August","September","October","November","December")</f>
        <v>December</v>
      </c>
      <c r="H652" s="122">
        <f ca="1">DATEDIF(F652,TODAY(),"Y")</f>
        <v>5</v>
      </c>
      <c r="J652" s="202">
        <v>46570</v>
      </c>
      <c r="K652" s="201">
        <v>4</v>
      </c>
    </row>
    <row r="653" spans="1:11">
      <c r="A653" s="122">
        <v>673</v>
      </c>
      <c r="B653" s="204" t="s">
        <v>566</v>
      </c>
      <c r="C653" s="122" t="s">
        <v>280</v>
      </c>
      <c r="D653" s="122" t="s">
        <v>930</v>
      </c>
      <c r="E653" s="122" t="s">
        <v>256</v>
      </c>
      <c r="F653" s="203">
        <v>33978</v>
      </c>
      <c r="G653" s="122" t="str">
        <f>CHOOSE(MONTH(F653),"January","February","March","April","May","June","July","August","September","October","November","December")</f>
        <v>January</v>
      </c>
      <c r="H653" s="122">
        <f ca="1">DATEDIF(F653,TODAY(),"Y")</f>
        <v>23</v>
      </c>
      <c r="I653" s="122" t="s">
        <v>283</v>
      </c>
      <c r="J653" s="202">
        <v>46410</v>
      </c>
      <c r="K653" s="201">
        <v>2</v>
      </c>
    </row>
    <row r="654" spans="1:11">
      <c r="A654" s="122">
        <v>674</v>
      </c>
      <c r="B654" s="204" t="s">
        <v>576</v>
      </c>
      <c r="C654" s="122" t="s">
        <v>245</v>
      </c>
      <c r="D654" s="122" t="s">
        <v>930</v>
      </c>
      <c r="E654" s="122" t="s">
        <v>252</v>
      </c>
      <c r="F654" s="203">
        <v>38646</v>
      </c>
      <c r="G654" s="122" t="str">
        <f>CHOOSE(MONTH(F654),"January","February","March","April","May","June","July","August","September","October","November","December")</f>
        <v>October</v>
      </c>
      <c r="H654" s="122">
        <f ca="1">DATEDIF(F654,TODAY(),"Y")</f>
        <v>11</v>
      </c>
      <c r="J654" s="202">
        <v>37344</v>
      </c>
      <c r="K654" s="201">
        <v>2</v>
      </c>
    </row>
    <row r="655" spans="1:11">
      <c r="A655" s="122">
        <v>675</v>
      </c>
      <c r="B655" s="204" t="s">
        <v>664</v>
      </c>
      <c r="C655" s="122" t="s">
        <v>285</v>
      </c>
      <c r="D655" s="122" t="s">
        <v>930</v>
      </c>
      <c r="E655" s="122" t="s">
        <v>256</v>
      </c>
      <c r="F655" s="203">
        <v>39728</v>
      </c>
      <c r="G655" s="122" t="str">
        <f>CHOOSE(MONTH(F655),"January","February","March","April","May","June","July","August","September","October","November","December")</f>
        <v>October</v>
      </c>
      <c r="H655" s="122">
        <f ca="1">DATEDIF(F655,TODAY(),"Y")</f>
        <v>8</v>
      </c>
      <c r="I655" s="122" t="s">
        <v>257</v>
      </c>
      <c r="J655" s="202">
        <v>82370</v>
      </c>
      <c r="K655" s="201">
        <v>5</v>
      </c>
    </row>
    <row r="656" spans="1:11">
      <c r="A656" s="122">
        <v>676</v>
      </c>
      <c r="B656" s="204" t="s">
        <v>295</v>
      </c>
      <c r="C656" s="122" t="s">
        <v>245</v>
      </c>
      <c r="D656" s="122" t="s">
        <v>930</v>
      </c>
      <c r="E656" s="122" t="s">
        <v>256</v>
      </c>
      <c r="F656" s="203">
        <v>38347</v>
      </c>
      <c r="G656" s="122" t="str">
        <f>CHOOSE(MONTH(F656),"January","February","March","April","May","June","July","August","September","October","November","December")</f>
        <v>December</v>
      </c>
      <c r="H656" s="122">
        <f ca="1">DATEDIF(F656,TODAY(),"Y")</f>
        <v>11</v>
      </c>
      <c r="I656" s="122" t="s">
        <v>283</v>
      </c>
      <c r="J656" s="202">
        <v>81340</v>
      </c>
      <c r="K656" s="201">
        <v>2</v>
      </c>
    </row>
    <row r="657" spans="1:11">
      <c r="A657" s="122">
        <v>677</v>
      </c>
      <c r="B657" s="204" t="s">
        <v>298</v>
      </c>
      <c r="C657" s="122" t="s">
        <v>285</v>
      </c>
      <c r="D657" s="122" t="s">
        <v>930</v>
      </c>
      <c r="E657" s="122" t="s">
        <v>247</v>
      </c>
      <c r="F657" s="203">
        <v>40235</v>
      </c>
      <c r="G657" s="122" t="str">
        <f>CHOOSE(MONTH(F657),"January","February","March","April","May","June","July","August","September","October","November","December")</f>
        <v>February</v>
      </c>
      <c r="H657" s="122">
        <f ca="1">DATEDIF(F657,TODAY(),"Y")</f>
        <v>6</v>
      </c>
      <c r="J657" s="202">
        <v>80729</v>
      </c>
      <c r="K657" s="201">
        <v>3</v>
      </c>
    </row>
    <row r="658" spans="1:11">
      <c r="A658" s="122">
        <v>678</v>
      </c>
      <c r="B658" s="204" t="s">
        <v>520</v>
      </c>
      <c r="C658" s="122" t="s">
        <v>285</v>
      </c>
      <c r="D658" s="122" t="s">
        <v>930</v>
      </c>
      <c r="E658" s="122" t="s">
        <v>247</v>
      </c>
      <c r="F658" s="203">
        <v>34534</v>
      </c>
      <c r="G658" s="122" t="str">
        <f>CHOOSE(MONTH(F658),"January","February","March","April","May","June","July","August","September","October","November","December")</f>
        <v>July</v>
      </c>
      <c r="H658" s="122">
        <f ca="1">DATEDIF(F658,TODAY(),"Y")</f>
        <v>22</v>
      </c>
      <c r="J658" s="202">
        <v>45105</v>
      </c>
      <c r="K658" s="201">
        <v>1</v>
      </c>
    </row>
    <row r="659" spans="1:11">
      <c r="A659" s="122">
        <v>679</v>
      </c>
      <c r="B659" s="204" t="s">
        <v>938</v>
      </c>
      <c r="C659" s="122" t="s">
        <v>285</v>
      </c>
      <c r="D659" s="122" t="s">
        <v>930</v>
      </c>
      <c r="E659" s="122" t="s">
        <v>256</v>
      </c>
      <c r="F659" s="203">
        <v>35137</v>
      </c>
      <c r="G659" s="122" t="str">
        <f>CHOOSE(MONTH(F659),"January","February","March","April","May","June","July","August","September","October","November","December")</f>
        <v>March</v>
      </c>
      <c r="H659" s="122">
        <f ca="1">DATEDIF(F659,TODAY(),"Y")</f>
        <v>20</v>
      </c>
      <c r="I659" s="122" t="s">
        <v>283</v>
      </c>
      <c r="J659" s="202">
        <v>33590</v>
      </c>
      <c r="K659" s="201">
        <v>5</v>
      </c>
    </row>
    <row r="660" spans="1:11">
      <c r="A660" s="122">
        <v>680</v>
      </c>
      <c r="B660" s="204" t="s">
        <v>986</v>
      </c>
      <c r="C660" s="122" t="s">
        <v>245</v>
      </c>
      <c r="D660" s="122" t="s">
        <v>930</v>
      </c>
      <c r="E660" s="122" t="s">
        <v>256</v>
      </c>
      <c r="F660" s="203">
        <v>39602</v>
      </c>
      <c r="G660" s="122" t="str">
        <f>CHOOSE(MONTH(F660),"January","February","March","April","May","June","July","August","September","October","November","December")</f>
        <v>June</v>
      </c>
      <c r="H660" s="122">
        <f ca="1">DATEDIF(F660,TODAY(),"Y")</f>
        <v>8</v>
      </c>
      <c r="I660" s="122" t="s">
        <v>257</v>
      </c>
      <c r="J660" s="202">
        <v>79380</v>
      </c>
      <c r="K660" s="201">
        <v>5</v>
      </c>
    </row>
    <row r="661" spans="1:11">
      <c r="A661" s="122">
        <v>681</v>
      </c>
      <c r="B661" s="204" t="s">
        <v>284</v>
      </c>
      <c r="C661" s="122" t="s">
        <v>271</v>
      </c>
      <c r="D661" s="122" t="s">
        <v>930</v>
      </c>
      <c r="E661" s="122" t="s">
        <v>261</v>
      </c>
      <c r="F661" s="203">
        <v>34154</v>
      </c>
      <c r="G661" s="122" t="str">
        <f>CHOOSE(MONTH(F661),"January","February","March","April","May","June","July","August","September","October","November","December")</f>
        <v>July</v>
      </c>
      <c r="H661" s="122">
        <f ca="1">DATEDIF(F661,TODAY(),"Y")</f>
        <v>23</v>
      </c>
      <c r="I661" s="122" t="s">
        <v>257</v>
      </c>
      <c r="J661" s="202">
        <v>49545</v>
      </c>
      <c r="K661" s="201">
        <v>2</v>
      </c>
    </row>
    <row r="662" spans="1:11">
      <c r="A662" s="122">
        <v>682</v>
      </c>
      <c r="B662" s="204" t="s">
        <v>517</v>
      </c>
      <c r="C662" s="122" t="s">
        <v>251</v>
      </c>
      <c r="D662" s="122" t="s">
        <v>930</v>
      </c>
      <c r="E662" s="122" t="s">
        <v>256</v>
      </c>
      <c r="F662" s="203">
        <v>37009</v>
      </c>
      <c r="G662" s="122" t="str">
        <f>CHOOSE(MONTH(F662),"January","February","March","April","May","June","July","August","September","October","November","December")</f>
        <v>April</v>
      </c>
      <c r="H662" s="122">
        <f ca="1">DATEDIF(F662,TODAY(),"Y")</f>
        <v>15</v>
      </c>
      <c r="I662" s="122" t="s">
        <v>283</v>
      </c>
      <c r="J662" s="202">
        <v>78710</v>
      </c>
      <c r="K662" s="201">
        <v>2</v>
      </c>
    </row>
    <row r="663" spans="1:11">
      <c r="A663" s="122">
        <v>683</v>
      </c>
      <c r="B663" s="204" t="s">
        <v>1059</v>
      </c>
      <c r="C663" s="122" t="s">
        <v>280</v>
      </c>
      <c r="D663" s="122" t="s">
        <v>930</v>
      </c>
      <c r="E663" s="122" t="s">
        <v>247</v>
      </c>
      <c r="F663" s="203">
        <v>34135</v>
      </c>
      <c r="G663" s="122" t="str">
        <f>CHOOSE(MONTH(F663),"January","February","March","April","May","June","July","August","September","October","November","December")</f>
        <v>June</v>
      </c>
      <c r="H663" s="122">
        <f ca="1">DATEDIF(F663,TODAY(),"Y")</f>
        <v>23</v>
      </c>
      <c r="J663" s="202">
        <v>78590</v>
      </c>
      <c r="K663" s="201">
        <v>1</v>
      </c>
    </row>
    <row r="664" spans="1:11">
      <c r="A664" s="122">
        <v>684</v>
      </c>
      <c r="B664" s="204" t="s">
        <v>981</v>
      </c>
      <c r="C664" s="122" t="s">
        <v>251</v>
      </c>
      <c r="D664" s="122" t="s">
        <v>930</v>
      </c>
      <c r="E664" s="122" t="s">
        <v>261</v>
      </c>
      <c r="F664" s="203">
        <v>36365</v>
      </c>
      <c r="G664" s="122" t="str">
        <f>CHOOSE(MONTH(F664),"January","February","March","April","May","June","July","August","September","October","November","December")</f>
        <v>July</v>
      </c>
      <c r="H664" s="122">
        <f ca="1">DATEDIF(F664,TODAY(),"Y")</f>
        <v>17</v>
      </c>
      <c r="I664" s="122" t="s">
        <v>267</v>
      </c>
      <c r="J664" s="202">
        <v>19825</v>
      </c>
      <c r="K664" s="201">
        <v>2</v>
      </c>
    </row>
    <row r="665" spans="1:11">
      <c r="A665" s="122">
        <v>685</v>
      </c>
      <c r="B665" s="204" t="s">
        <v>598</v>
      </c>
      <c r="C665" s="122" t="s">
        <v>285</v>
      </c>
      <c r="D665" s="122" t="s">
        <v>930</v>
      </c>
      <c r="E665" s="122" t="s">
        <v>261</v>
      </c>
      <c r="F665" s="203">
        <v>33391</v>
      </c>
      <c r="G665" s="122" t="str">
        <f>CHOOSE(MONTH(F665),"January","February","March","April","May","June","July","August","September","October","November","December")</f>
        <v>June</v>
      </c>
      <c r="H665" s="122">
        <f ca="1">DATEDIF(F665,TODAY(),"Y")</f>
        <v>25</v>
      </c>
      <c r="I665" s="122" t="s">
        <v>283</v>
      </c>
      <c r="J665" s="202">
        <v>13455</v>
      </c>
      <c r="K665" s="201">
        <v>2</v>
      </c>
    </row>
    <row r="666" spans="1:11">
      <c r="A666" s="122">
        <v>686</v>
      </c>
      <c r="B666" s="204" t="s">
        <v>395</v>
      </c>
      <c r="C666" s="122" t="s">
        <v>285</v>
      </c>
      <c r="D666" s="122" t="s">
        <v>930</v>
      </c>
      <c r="E666" s="122" t="s">
        <v>252</v>
      </c>
      <c r="F666" s="203">
        <v>35247</v>
      </c>
      <c r="G666" s="122" t="str">
        <f>CHOOSE(MONTH(F666),"January","February","March","April","May","June","July","August","September","October","November","December")</f>
        <v>July</v>
      </c>
      <c r="H666" s="122">
        <f ca="1">DATEDIF(F666,TODAY(),"Y")</f>
        <v>20</v>
      </c>
      <c r="J666" s="202">
        <v>33752</v>
      </c>
      <c r="K666" s="201">
        <v>3</v>
      </c>
    </row>
    <row r="667" spans="1:11">
      <c r="A667" s="122">
        <v>687</v>
      </c>
      <c r="B667" s="204" t="s">
        <v>567</v>
      </c>
      <c r="C667" s="122" t="s">
        <v>285</v>
      </c>
      <c r="D667" s="122" t="s">
        <v>930</v>
      </c>
      <c r="E667" s="122" t="s">
        <v>256</v>
      </c>
      <c r="F667" s="203">
        <v>35627</v>
      </c>
      <c r="G667" s="122" t="str">
        <f>CHOOSE(MONTH(F667),"January","February","March","April","May","June","July","August","September","October","November","December")</f>
        <v>July</v>
      </c>
      <c r="H667" s="122">
        <f ca="1">DATEDIF(F667,TODAY(),"Y")</f>
        <v>19</v>
      </c>
      <c r="I667" s="122" t="s">
        <v>283</v>
      </c>
      <c r="J667" s="202">
        <v>41380</v>
      </c>
      <c r="K667" s="201">
        <v>2</v>
      </c>
    </row>
    <row r="668" spans="1:11">
      <c r="A668" s="122">
        <v>688</v>
      </c>
      <c r="B668" s="204" t="s">
        <v>366</v>
      </c>
      <c r="C668" s="122" t="s">
        <v>280</v>
      </c>
      <c r="D668" s="122" t="s">
        <v>930</v>
      </c>
      <c r="E668" s="122" t="s">
        <v>256</v>
      </c>
      <c r="F668" s="203">
        <v>36243</v>
      </c>
      <c r="G668" s="122" t="str">
        <f>CHOOSE(MONTH(F668),"January","February","March","April","May","June","July","August","September","October","November","December")</f>
        <v>March</v>
      </c>
      <c r="H668" s="122">
        <f ca="1">DATEDIF(F668,TODAY(),"Y")</f>
        <v>17</v>
      </c>
      <c r="I668" s="122" t="s">
        <v>276</v>
      </c>
      <c r="J668" s="202">
        <v>77680</v>
      </c>
      <c r="K668" s="201">
        <v>3</v>
      </c>
    </row>
    <row r="669" spans="1:11">
      <c r="A669" s="122">
        <v>689</v>
      </c>
      <c r="B669" s="204" t="s">
        <v>463</v>
      </c>
      <c r="C669" s="122" t="s">
        <v>266</v>
      </c>
      <c r="D669" s="122" t="s">
        <v>930</v>
      </c>
      <c r="E669" s="122" t="s">
        <v>247</v>
      </c>
      <c r="F669" s="203">
        <v>37065</v>
      </c>
      <c r="G669" s="122" t="str">
        <f>CHOOSE(MONTH(F669),"January","February","March","April","May","June","July","August","September","October","November","December")</f>
        <v>June</v>
      </c>
      <c r="H669" s="122">
        <f ca="1">DATEDIF(F669,TODAY(),"Y")</f>
        <v>15</v>
      </c>
      <c r="J669" s="202">
        <v>77136</v>
      </c>
      <c r="K669" s="201">
        <v>5</v>
      </c>
    </row>
    <row r="670" spans="1:11">
      <c r="A670" s="122">
        <v>690</v>
      </c>
      <c r="B670" s="204" t="s">
        <v>746</v>
      </c>
      <c r="C670" s="122" t="s">
        <v>266</v>
      </c>
      <c r="D670" s="122" t="s">
        <v>930</v>
      </c>
      <c r="E670" s="122" t="s">
        <v>247</v>
      </c>
      <c r="F670" s="203">
        <v>40334</v>
      </c>
      <c r="G670" s="122" t="str">
        <f>CHOOSE(MONTH(F670),"January","February","March","April","May","June","July","August","September","October","November","December")</f>
        <v>June</v>
      </c>
      <c r="H670" s="122">
        <f ca="1">DATEDIF(F670,TODAY(),"Y")</f>
        <v>6</v>
      </c>
      <c r="J670" s="202">
        <v>47280</v>
      </c>
      <c r="K670" s="201">
        <v>1</v>
      </c>
    </row>
    <row r="671" spans="1:11">
      <c r="A671" s="122">
        <v>691</v>
      </c>
      <c r="B671" s="204" t="s">
        <v>996</v>
      </c>
      <c r="C671" s="122" t="s">
        <v>280</v>
      </c>
      <c r="D671" s="122" t="s">
        <v>930</v>
      </c>
      <c r="E671" s="122" t="s">
        <v>247</v>
      </c>
      <c r="F671" s="203">
        <v>35280</v>
      </c>
      <c r="G671" s="122" t="str">
        <f>CHOOSE(MONTH(F671),"January","February","March","April","May","June","July","August","September","October","November","December")</f>
        <v>August</v>
      </c>
      <c r="H671" s="122">
        <f ca="1">DATEDIF(F671,TODAY(),"Y")</f>
        <v>20</v>
      </c>
      <c r="J671" s="202">
        <v>41770</v>
      </c>
      <c r="K671" s="201">
        <v>5</v>
      </c>
    </row>
    <row r="672" spans="1:11">
      <c r="A672" s="122">
        <v>692</v>
      </c>
      <c r="B672" s="204" t="s">
        <v>859</v>
      </c>
      <c r="C672" s="122" t="s">
        <v>251</v>
      </c>
      <c r="D672" s="122" t="s">
        <v>930</v>
      </c>
      <c r="E672" s="122" t="s">
        <v>256</v>
      </c>
      <c r="F672" s="203">
        <v>38626</v>
      </c>
      <c r="G672" s="122" t="str">
        <f>CHOOSE(MONTH(F672),"January","February","March","April","May","June","July","August","September","October","November","December")</f>
        <v>October</v>
      </c>
      <c r="H672" s="122">
        <f ca="1">DATEDIF(F672,TODAY(),"Y")</f>
        <v>11</v>
      </c>
      <c r="I672" s="122" t="s">
        <v>257</v>
      </c>
      <c r="J672" s="202">
        <v>44530</v>
      </c>
      <c r="K672" s="201">
        <v>2</v>
      </c>
    </row>
    <row r="673" spans="1:11">
      <c r="A673" s="122">
        <v>693</v>
      </c>
      <c r="B673" s="204" t="s">
        <v>452</v>
      </c>
      <c r="C673" s="122" t="s">
        <v>285</v>
      </c>
      <c r="D673" s="122" t="s">
        <v>930</v>
      </c>
      <c r="E673" s="122" t="s">
        <v>247</v>
      </c>
      <c r="F673" s="203">
        <v>34126</v>
      </c>
      <c r="G673" s="122" t="str">
        <f>CHOOSE(MONTH(F673),"January","February","March","April","May","June","July","August","September","October","November","December")</f>
        <v>June</v>
      </c>
      <c r="H673" s="122">
        <f ca="1">DATEDIF(F673,TODAY(),"Y")</f>
        <v>23</v>
      </c>
      <c r="J673" s="202">
        <v>75550</v>
      </c>
      <c r="K673" s="201">
        <v>3</v>
      </c>
    </row>
    <row r="674" spans="1:11">
      <c r="A674" s="122">
        <v>694</v>
      </c>
      <c r="B674" s="204" t="s">
        <v>540</v>
      </c>
      <c r="C674" s="122" t="s">
        <v>266</v>
      </c>
      <c r="D674" s="122" t="s">
        <v>930</v>
      </c>
      <c r="E674" s="122" t="s">
        <v>261</v>
      </c>
      <c r="F674" s="203">
        <v>35297</v>
      </c>
      <c r="G674" s="122" t="str">
        <f>CHOOSE(MONTH(F674),"January","February","March","April","May","June","July","August","September","October","November","December")</f>
        <v>August</v>
      </c>
      <c r="H674" s="122">
        <f ca="1">DATEDIF(F674,TODAY(),"Y")</f>
        <v>20</v>
      </c>
      <c r="I674" s="122" t="s">
        <v>283</v>
      </c>
      <c r="J674" s="202">
        <v>38105</v>
      </c>
      <c r="K674" s="201">
        <v>2</v>
      </c>
    </row>
    <row r="675" spans="1:11">
      <c r="A675" s="122">
        <v>695</v>
      </c>
      <c r="B675" s="204" t="s">
        <v>982</v>
      </c>
      <c r="C675" s="122" t="s">
        <v>285</v>
      </c>
      <c r="D675" s="122" t="s">
        <v>930</v>
      </c>
      <c r="E675" s="122" t="s">
        <v>247</v>
      </c>
      <c r="F675" s="203">
        <v>33144</v>
      </c>
      <c r="G675" s="122" t="str">
        <f>CHOOSE(MONTH(F675),"January","February","March","April","May","June","July","August","September","October","November","December")</f>
        <v>September</v>
      </c>
      <c r="H675" s="122">
        <f ca="1">DATEDIF(F675,TODAY(),"Y")</f>
        <v>26</v>
      </c>
      <c r="J675" s="202">
        <v>23340</v>
      </c>
      <c r="K675" s="201">
        <v>4</v>
      </c>
    </row>
    <row r="676" spans="1:11">
      <c r="A676" s="122">
        <v>696</v>
      </c>
      <c r="B676" s="204" t="s">
        <v>1011</v>
      </c>
      <c r="C676" s="122" t="s">
        <v>280</v>
      </c>
      <c r="D676" s="122" t="s">
        <v>930</v>
      </c>
      <c r="E676" s="122" t="s">
        <v>261</v>
      </c>
      <c r="F676" s="203">
        <v>36053</v>
      </c>
      <c r="G676" s="122" t="str">
        <f>CHOOSE(MONTH(F676),"January","February","March","April","May","June","July","August","September","October","November","December")</f>
        <v>September</v>
      </c>
      <c r="H676" s="122">
        <f ca="1">DATEDIF(F676,TODAY(),"Y")</f>
        <v>18</v>
      </c>
      <c r="I676" s="122" t="s">
        <v>276</v>
      </c>
      <c r="J676" s="202">
        <v>46105</v>
      </c>
      <c r="K676" s="201">
        <v>5</v>
      </c>
    </row>
    <row r="677" spans="1:11">
      <c r="A677" s="122">
        <v>697</v>
      </c>
      <c r="B677" s="204" t="s">
        <v>442</v>
      </c>
      <c r="C677" s="122" t="s">
        <v>271</v>
      </c>
      <c r="D677" s="122" t="s">
        <v>930</v>
      </c>
      <c r="E677" s="122" t="s">
        <v>256</v>
      </c>
      <c r="F677" s="203">
        <v>34425</v>
      </c>
      <c r="G677" s="122" t="str">
        <f>CHOOSE(MONTH(F677),"January","February","March","April","May","June","July","August","September","October","November","December")</f>
        <v>April</v>
      </c>
      <c r="H677" s="122">
        <f ca="1">DATEDIF(F677,TODAY(),"Y")</f>
        <v>22</v>
      </c>
      <c r="I677" s="122" t="s">
        <v>283</v>
      </c>
      <c r="J677" s="202">
        <v>73850</v>
      </c>
      <c r="K677" s="201">
        <v>2</v>
      </c>
    </row>
    <row r="678" spans="1:11">
      <c r="A678" s="122">
        <v>698</v>
      </c>
      <c r="B678" s="204" t="s">
        <v>297</v>
      </c>
      <c r="C678" s="122" t="s">
        <v>285</v>
      </c>
      <c r="D678" s="122" t="s">
        <v>930</v>
      </c>
      <c r="E678" s="122" t="s">
        <v>261</v>
      </c>
      <c r="F678" s="203">
        <v>35466</v>
      </c>
      <c r="G678" s="122" t="str">
        <f>CHOOSE(MONTH(F678),"January","February","March","April","May","June","July","August","September","October","November","December")</f>
        <v>February</v>
      </c>
      <c r="H678" s="122">
        <f ca="1">DATEDIF(F678,TODAY(),"Y")</f>
        <v>19</v>
      </c>
      <c r="I678" s="122" t="s">
        <v>262</v>
      </c>
      <c r="J678" s="202">
        <v>37660</v>
      </c>
      <c r="K678" s="201">
        <v>4</v>
      </c>
    </row>
    <row r="679" spans="1:11">
      <c r="A679" s="122">
        <v>699</v>
      </c>
      <c r="B679" s="204" t="s">
        <v>350</v>
      </c>
      <c r="C679" s="122" t="s">
        <v>285</v>
      </c>
      <c r="D679" s="122" t="s">
        <v>930</v>
      </c>
      <c r="E679" s="122" t="s">
        <v>256</v>
      </c>
      <c r="F679" s="203">
        <v>36619</v>
      </c>
      <c r="G679" s="122" t="str">
        <f>CHOOSE(MONTH(F679),"January","February","March","April","May","June","July","August","September","October","November","December")</f>
        <v>April</v>
      </c>
      <c r="H679" s="122">
        <f ca="1">DATEDIF(F679,TODAY(),"Y")</f>
        <v>16</v>
      </c>
      <c r="I679" s="122" t="s">
        <v>262</v>
      </c>
      <c r="J679" s="202">
        <v>71970</v>
      </c>
      <c r="K679" s="201">
        <v>4</v>
      </c>
    </row>
    <row r="680" spans="1:11">
      <c r="A680" s="122">
        <v>700</v>
      </c>
      <c r="B680" s="204" t="s">
        <v>308</v>
      </c>
      <c r="C680" s="122" t="s">
        <v>251</v>
      </c>
      <c r="D680" s="122" t="s">
        <v>930</v>
      </c>
      <c r="E680" s="122" t="s">
        <v>256</v>
      </c>
      <c r="F680" s="203">
        <v>35307</v>
      </c>
      <c r="G680" s="122" t="str">
        <f>CHOOSE(MONTH(F680),"January","February","March","April","May","June","July","August","September","October","November","December")</f>
        <v>August</v>
      </c>
      <c r="H680" s="122">
        <f ca="1">DATEDIF(F680,TODAY(),"Y")</f>
        <v>20</v>
      </c>
      <c r="I680" s="122" t="s">
        <v>257</v>
      </c>
      <c r="J680" s="202">
        <v>31690</v>
      </c>
      <c r="K680" s="201">
        <v>4</v>
      </c>
    </row>
    <row r="681" spans="1:11">
      <c r="A681" s="122">
        <v>701</v>
      </c>
      <c r="B681" s="204" t="s">
        <v>289</v>
      </c>
      <c r="C681" s="122" t="s">
        <v>285</v>
      </c>
      <c r="D681" s="122" t="s">
        <v>930</v>
      </c>
      <c r="E681" s="122" t="s">
        <v>256</v>
      </c>
      <c r="F681" s="203">
        <v>38328</v>
      </c>
      <c r="G681" s="122" t="str">
        <f>CHOOSE(MONTH(F681),"January","February","March","April","May","June","July","August","September","October","November","December")</f>
        <v>December</v>
      </c>
      <c r="H681" s="122">
        <f ca="1">DATEDIF(F681,TODAY(),"Y")</f>
        <v>11</v>
      </c>
      <c r="I681" s="122" t="s">
        <v>262</v>
      </c>
      <c r="J681" s="202">
        <v>48280</v>
      </c>
      <c r="K681" s="201">
        <v>4</v>
      </c>
    </row>
    <row r="682" spans="1:11">
      <c r="A682" s="122">
        <v>702</v>
      </c>
      <c r="B682" s="204" t="s">
        <v>487</v>
      </c>
      <c r="C682" s="122" t="s">
        <v>266</v>
      </c>
      <c r="D682" s="122" t="s">
        <v>930</v>
      </c>
      <c r="E682" s="122" t="s">
        <v>256</v>
      </c>
      <c r="F682" s="203">
        <v>40536</v>
      </c>
      <c r="G682" s="122" t="str">
        <f>CHOOSE(MONTH(F682),"January","February","March","April","May","June","July","August","September","October","November","December")</f>
        <v>December</v>
      </c>
      <c r="H682" s="122">
        <f ca="1">DATEDIF(F682,TODAY(),"Y")</f>
        <v>5</v>
      </c>
      <c r="I682" s="122" t="s">
        <v>283</v>
      </c>
      <c r="J682" s="202">
        <v>70730</v>
      </c>
      <c r="K682" s="201">
        <v>1</v>
      </c>
    </row>
    <row r="683" spans="1:11">
      <c r="A683" s="122">
        <v>703</v>
      </c>
      <c r="B683" s="204" t="s">
        <v>643</v>
      </c>
      <c r="C683" s="122" t="s">
        <v>245</v>
      </c>
      <c r="D683" s="122" t="s">
        <v>930</v>
      </c>
      <c r="E683" s="122" t="s">
        <v>247</v>
      </c>
      <c r="F683" s="203">
        <v>33820</v>
      </c>
      <c r="G683" s="122" t="str">
        <f>CHOOSE(MONTH(F683),"January","February","March","April","May","June","July","August","September","October","November","December")</f>
        <v>August</v>
      </c>
      <c r="H683" s="122">
        <f ca="1">DATEDIF(F683,TODAY(),"Y")</f>
        <v>24</v>
      </c>
      <c r="J683" s="202">
        <v>70300</v>
      </c>
      <c r="K683" s="201">
        <v>3</v>
      </c>
    </row>
    <row r="684" spans="1:11">
      <c r="A684" s="122">
        <v>704</v>
      </c>
      <c r="B684" s="204" t="s">
        <v>919</v>
      </c>
      <c r="C684" s="122" t="s">
        <v>285</v>
      </c>
      <c r="D684" s="122" t="s">
        <v>930</v>
      </c>
      <c r="E684" s="122" t="s">
        <v>252</v>
      </c>
      <c r="F684" s="203">
        <v>35576</v>
      </c>
      <c r="G684" s="122" t="str">
        <f>CHOOSE(MONTH(F684),"January","February","March","April","May","June","July","August","September","October","November","December")</f>
        <v>May</v>
      </c>
      <c r="H684" s="122">
        <f ca="1">DATEDIF(F684,TODAY(),"Y")</f>
        <v>19</v>
      </c>
      <c r="J684" s="202">
        <v>28768</v>
      </c>
      <c r="K684" s="201">
        <v>3</v>
      </c>
    </row>
    <row r="685" spans="1:11">
      <c r="A685" s="122">
        <v>705</v>
      </c>
      <c r="B685" s="204" t="s">
        <v>777</v>
      </c>
      <c r="C685" s="122" t="s">
        <v>280</v>
      </c>
      <c r="D685" s="122" t="s">
        <v>930</v>
      </c>
      <c r="E685" s="122" t="s">
        <v>247</v>
      </c>
      <c r="F685" s="203">
        <v>34159</v>
      </c>
      <c r="G685" s="122" t="str">
        <f>CHOOSE(MONTH(F685),"January","February","March","April","May","June","July","August","September","October","November","December")</f>
        <v>July</v>
      </c>
      <c r="H685" s="122">
        <f ca="1">DATEDIF(F685,TODAY(),"Y")</f>
        <v>23</v>
      </c>
      <c r="J685" s="202">
        <v>35240</v>
      </c>
      <c r="K685" s="201">
        <v>3</v>
      </c>
    </row>
    <row r="686" spans="1:11">
      <c r="A686" s="122">
        <v>706</v>
      </c>
      <c r="B686" s="204" t="s">
        <v>771</v>
      </c>
      <c r="C686" s="122" t="s">
        <v>285</v>
      </c>
      <c r="D686" s="122" t="s">
        <v>930</v>
      </c>
      <c r="E686" s="122" t="s">
        <v>247</v>
      </c>
      <c r="F686" s="203">
        <v>33974</v>
      </c>
      <c r="G686" s="122" t="str">
        <f>CHOOSE(MONTH(F686),"January","February","March","April","May","June","July","August","September","October","November","December")</f>
        <v>January</v>
      </c>
      <c r="H686" s="122">
        <f ca="1">DATEDIF(F686,TODAY(),"Y")</f>
        <v>23</v>
      </c>
      <c r="J686" s="202">
        <v>70150</v>
      </c>
      <c r="K686" s="201">
        <v>2</v>
      </c>
    </row>
    <row r="687" spans="1:11">
      <c r="A687" s="122">
        <v>707</v>
      </c>
      <c r="B687" s="204" t="s">
        <v>373</v>
      </c>
      <c r="C687" s="122" t="s">
        <v>271</v>
      </c>
      <c r="D687" s="122" t="s">
        <v>930</v>
      </c>
      <c r="E687" s="122" t="s">
        <v>256</v>
      </c>
      <c r="F687" s="203">
        <v>34670</v>
      </c>
      <c r="G687" s="122" t="str">
        <f>CHOOSE(MONTH(F687),"January","February","March","April","May","June","July","August","September","October","November","December")</f>
        <v>December</v>
      </c>
      <c r="H687" s="122">
        <f ca="1">DATEDIF(F687,TODAY(),"Y")</f>
        <v>21</v>
      </c>
      <c r="I687" s="122" t="s">
        <v>257</v>
      </c>
      <c r="J687" s="202">
        <v>69510</v>
      </c>
      <c r="K687" s="201">
        <v>5</v>
      </c>
    </row>
    <row r="688" spans="1:11">
      <c r="A688" s="122">
        <v>708</v>
      </c>
      <c r="B688" s="204" t="s">
        <v>570</v>
      </c>
      <c r="C688" s="122" t="s">
        <v>251</v>
      </c>
      <c r="D688" s="122" t="s">
        <v>930</v>
      </c>
      <c r="E688" s="122" t="s">
        <v>256</v>
      </c>
      <c r="F688" s="203">
        <v>36080</v>
      </c>
      <c r="G688" s="122" t="str">
        <f>CHOOSE(MONTH(F688),"January","February","March","April","May","June","July","August","September","October","November","December")</f>
        <v>October</v>
      </c>
      <c r="H688" s="122">
        <f ca="1">DATEDIF(F688,TODAY(),"Y")</f>
        <v>18</v>
      </c>
      <c r="I688" s="122" t="s">
        <v>283</v>
      </c>
      <c r="J688" s="202">
        <v>48410</v>
      </c>
      <c r="K688" s="201">
        <v>5</v>
      </c>
    </row>
    <row r="689" spans="1:11">
      <c r="A689" s="122">
        <v>709</v>
      </c>
      <c r="B689" s="204" t="s">
        <v>403</v>
      </c>
      <c r="C689" s="122" t="s">
        <v>280</v>
      </c>
      <c r="D689" s="122" t="s">
        <v>930</v>
      </c>
      <c r="E689" s="122" t="s">
        <v>256</v>
      </c>
      <c r="F689" s="203">
        <v>39441</v>
      </c>
      <c r="G689" s="122" t="str">
        <f>CHOOSE(MONTH(F689),"January","February","March","April","May","June","July","August","September","October","November","December")</f>
        <v>December</v>
      </c>
      <c r="H689" s="122">
        <f ca="1">DATEDIF(F689,TODAY(),"Y")</f>
        <v>8</v>
      </c>
      <c r="I689" s="122" t="s">
        <v>262</v>
      </c>
      <c r="J689" s="202">
        <v>68860</v>
      </c>
      <c r="K689" s="201">
        <v>2</v>
      </c>
    </row>
    <row r="690" spans="1:11">
      <c r="A690" s="122">
        <v>710</v>
      </c>
      <c r="B690" s="204" t="s">
        <v>711</v>
      </c>
      <c r="C690" s="122" t="s">
        <v>251</v>
      </c>
      <c r="D690" s="122" t="s">
        <v>930</v>
      </c>
      <c r="E690" s="122" t="s">
        <v>247</v>
      </c>
      <c r="F690" s="203">
        <v>40638</v>
      </c>
      <c r="G690" s="122" t="str">
        <f>CHOOSE(MONTH(F690),"January","February","March","April","May","June","July","August","September","October","November","December")</f>
        <v>April</v>
      </c>
      <c r="H690" s="122">
        <f ca="1">DATEDIF(F690,TODAY(),"Y")</f>
        <v>5</v>
      </c>
      <c r="J690" s="202">
        <v>42990</v>
      </c>
      <c r="K690" s="201">
        <v>4</v>
      </c>
    </row>
    <row r="691" spans="1:11">
      <c r="A691" s="122">
        <v>711</v>
      </c>
      <c r="B691" s="204" t="s">
        <v>479</v>
      </c>
      <c r="C691" s="122" t="s">
        <v>285</v>
      </c>
      <c r="D691" s="122" t="s">
        <v>930</v>
      </c>
      <c r="E691" s="122" t="s">
        <v>256</v>
      </c>
      <c r="F691" s="203">
        <v>36672</v>
      </c>
      <c r="G691" s="122" t="str">
        <f>CHOOSE(MONTH(F691),"January","February","March","April","May","June","July","August","September","October","November","December")</f>
        <v>May</v>
      </c>
      <c r="H691" s="122">
        <f ca="1">DATEDIF(F691,TODAY(),"Y")</f>
        <v>16</v>
      </c>
      <c r="I691" s="122" t="s">
        <v>262</v>
      </c>
      <c r="J691" s="202">
        <v>65320</v>
      </c>
      <c r="K691" s="201">
        <v>5</v>
      </c>
    </row>
    <row r="692" spans="1:11">
      <c r="A692" s="122">
        <v>712</v>
      </c>
      <c r="B692" s="204" t="s">
        <v>921</v>
      </c>
      <c r="C692" s="122" t="s">
        <v>285</v>
      </c>
      <c r="D692" s="122" t="s">
        <v>930</v>
      </c>
      <c r="E692" s="122" t="s">
        <v>256</v>
      </c>
      <c r="F692" s="203">
        <v>35052</v>
      </c>
      <c r="G692" s="122" t="str">
        <f>CHOOSE(MONTH(F692),"January","February","March","April","May","June","July","August","September","October","November","December")</f>
        <v>December</v>
      </c>
      <c r="H692" s="122">
        <f ca="1">DATEDIF(F692,TODAY(),"Y")</f>
        <v>20</v>
      </c>
      <c r="I692" s="122" t="s">
        <v>267</v>
      </c>
      <c r="J692" s="202">
        <v>64780</v>
      </c>
      <c r="K692" s="201">
        <v>5</v>
      </c>
    </row>
    <row r="693" spans="1:11">
      <c r="A693" s="122">
        <v>713</v>
      </c>
      <c r="B693" s="204" t="s">
        <v>610</v>
      </c>
      <c r="C693" s="122" t="s">
        <v>285</v>
      </c>
      <c r="D693" s="122" t="s">
        <v>930</v>
      </c>
      <c r="E693" s="122" t="s">
        <v>247</v>
      </c>
      <c r="F693" s="203">
        <v>35826</v>
      </c>
      <c r="G693" s="122" t="str">
        <f>CHOOSE(MONTH(F693),"January","February","March","April","May","June","July","August","September","October","November","December")</f>
        <v>January</v>
      </c>
      <c r="H693" s="122">
        <f ca="1">DATEDIF(F693,TODAY(),"Y")</f>
        <v>18</v>
      </c>
      <c r="J693" s="202">
        <v>45030</v>
      </c>
      <c r="K693" s="201">
        <v>3</v>
      </c>
    </row>
    <row r="694" spans="1:11">
      <c r="A694" s="122">
        <v>714</v>
      </c>
      <c r="B694" s="204" t="s">
        <v>354</v>
      </c>
      <c r="C694" s="122" t="s">
        <v>285</v>
      </c>
      <c r="D694" s="122" t="s">
        <v>930</v>
      </c>
      <c r="E694" s="122" t="s">
        <v>256</v>
      </c>
      <c r="F694" s="203">
        <v>36025</v>
      </c>
      <c r="G694" s="122" t="str">
        <f>CHOOSE(MONTH(F694),"January","February","March","April","May","June","July","August","September","October","November","December")</f>
        <v>August</v>
      </c>
      <c r="H694" s="122">
        <f ca="1">DATEDIF(F694,TODAY(),"Y")</f>
        <v>18</v>
      </c>
      <c r="I694" s="122" t="s">
        <v>262</v>
      </c>
      <c r="J694" s="202">
        <v>64470</v>
      </c>
      <c r="K694" s="201">
        <v>5</v>
      </c>
    </row>
    <row r="695" spans="1:11">
      <c r="A695" s="122">
        <v>715</v>
      </c>
      <c r="B695" s="204" t="s">
        <v>812</v>
      </c>
      <c r="C695" s="122" t="s">
        <v>271</v>
      </c>
      <c r="D695" s="122" t="s">
        <v>930</v>
      </c>
      <c r="E695" s="122" t="s">
        <v>247</v>
      </c>
      <c r="F695" s="203">
        <v>34723</v>
      </c>
      <c r="G695" s="122" t="str">
        <f>CHOOSE(MONTH(F695),"January","February","March","April","May","June","July","August","September","October","November","December")</f>
        <v>January</v>
      </c>
      <c r="H695" s="122">
        <f ca="1">DATEDIF(F695,TODAY(),"Y")</f>
        <v>21</v>
      </c>
      <c r="J695" s="202">
        <v>64263</v>
      </c>
      <c r="K695" s="201">
        <v>3</v>
      </c>
    </row>
    <row r="696" spans="1:11">
      <c r="A696" s="122">
        <v>716</v>
      </c>
      <c r="B696" s="204" t="s">
        <v>787</v>
      </c>
      <c r="C696" s="122" t="s">
        <v>285</v>
      </c>
      <c r="D696" s="122" t="s">
        <v>930</v>
      </c>
      <c r="E696" s="122" t="s">
        <v>252</v>
      </c>
      <c r="F696" s="203">
        <v>34825</v>
      </c>
      <c r="G696" s="122" t="str">
        <f>CHOOSE(MONTH(F696),"January","February","March","April","May","June","July","August","September","October","November","December")</f>
        <v>May</v>
      </c>
      <c r="H696" s="122">
        <f ca="1">DATEDIF(F696,TODAY(),"Y")</f>
        <v>21</v>
      </c>
      <c r="J696" s="202">
        <v>26944</v>
      </c>
      <c r="K696" s="201">
        <v>4</v>
      </c>
    </row>
    <row r="697" spans="1:11">
      <c r="A697" s="122">
        <v>717</v>
      </c>
      <c r="B697" s="204" t="s">
        <v>810</v>
      </c>
      <c r="C697" s="122" t="s">
        <v>271</v>
      </c>
      <c r="D697" s="122" t="s">
        <v>930</v>
      </c>
      <c r="E697" s="122" t="s">
        <v>247</v>
      </c>
      <c r="F697" s="203">
        <v>33193</v>
      </c>
      <c r="G697" s="122" t="str">
        <f>CHOOSE(MONTH(F697),"January","February","March","April","May","June","July","August","September","October","November","December")</f>
        <v>November</v>
      </c>
      <c r="H697" s="122">
        <f ca="1">DATEDIF(F697,TODAY(),"Y")</f>
        <v>25</v>
      </c>
      <c r="J697" s="202">
        <v>63610</v>
      </c>
      <c r="K697" s="201">
        <v>5</v>
      </c>
    </row>
    <row r="698" spans="1:11">
      <c r="A698" s="122">
        <v>718</v>
      </c>
      <c r="B698" s="204" t="s">
        <v>836</v>
      </c>
      <c r="C698" s="122" t="s">
        <v>280</v>
      </c>
      <c r="D698" s="122" t="s">
        <v>930</v>
      </c>
      <c r="E698" s="122" t="s">
        <v>256</v>
      </c>
      <c r="F698" s="203">
        <v>39171</v>
      </c>
      <c r="G698" s="122" t="str">
        <f>CHOOSE(MONTH(F698),"January","February","March","April","May","June","July","August","September","October","November","December")</f>
        <v>March</v>
      </c>
      <c r="H698" s="122">
        <f ca="1">DATEDIF(F698,TODAY(),"Y")</f>
        <v>9</v>
      </c>
      <c r="I698" s="122" t="s">
        <v>267</v>
      </c>
      <c r="J698" s="202">
        <v>25690</v>
      </c>
      <c r="K698" s="201">
        <v>2</v>
      </c>
    </row>
    <row r="699" spans="1:11">
      <c r="A699" s="122">
        <v>719</v>
      </c>
      <c r="B699" s="204" t="s">
        <v>960</v>
      </c>
      <c r="C699" s="122" t="s">
        <v>251</v>
      </c>
      <c r="D699" s="122" t="s">
        <v>930</v>
      </c>
      <c r="E699" s="122" t="s">
        <v>256</v>
      </c>
      <c r="F699" s="203">
        <v>36843</v>
      </c>
      <c r="G699" s="122" t="str">
        <f>CHOOSE(MONTH(F699),"January","February","March","April","May","June","July","August","September","October","November","December")</f>
        <v>November</v>
      </c>
      <c r="H699" s="122">
        <f ca="1">DATEDIF(F699,TODAY(),"Y")</f>
        <v>15</v>
      </c>
      <c r="I699" s="122" t="s">
        <v>283</v>
      </c>
      <c r="J699" s="202">
        <v>47630</v>
      </c>
      <c r="K699" s="201">
        <v>3</v>
      </c>
    </row>
    <row r="700" spans="1:11">
      <c r="A700" s="122">
        <v>720</v>
      </c>
      <c r="B700" s="204" t="s">
        <v>829</v>
      </c>
      <c r="C700" s="122" t="s">
        <v>285</v>
      </c>
      <c r="D700" s="122" t="s">
        <v>930</v>
      </c>
      <c r="E700" s="122" t="s">
        <v>256</v>
      </c>
      <c r="F700" s="203">
        <v>33681</v>
      </c>
      <c r="G700" s="122" t="str">
        <f>CHOOSE(MONTH(F700),"January","February","March","April","May","June","July","August","September","October","November","December")</f>
        <v>March</v>
      </c>
      <c r="H700" s="122">
        <f ca="1">DATEDIF(F700,TODAY(),"Y")</f>
        <v>24</v>
      </c>
      <c r="I700" s="122" t="s">
        <v>262</v>
      </c>
      <c r="J700" s="202">
        <v>46550</v>
      </c>
      <c r="K700" s="201">
        <v>4</v>
      </c>
    </row>
    <row r="701" spans="1:11">
      <c r="A701" s="122">
        <v>721</v>
      </c>
      <c r="B701" s="204" t="s">
        <v>954</v>
      </c>
      <c r="C701" s="122" t="s">
        <v>271</v>
      </c>
      <c r="D701" s="122" t="s">
        <v>930</v>
      </c>
      <c r="E701" s="122" t="s">
        <v>247</v>
      </c>
      <c r="F701" s="203">
        <v>33977</v>
      </c>
      <c r="G701" s="122" t="str">
        <f>CHOOSE(MONTH(F701),"January","February","March","April","May","June","July","August","September","October","November","December")</f>
        <v>January</v>
      </c>
      <c r="H701" s="122">
        <f ca="1">DATEDIF(F701,TODAY(),"Y")</f>
        <v>23</v>
      </c>
      <c r="J701" s="202">
        <v>63290</v>
      </c>
      <c r="K701" s="201">
        <v>5</v>
      </c>
    </row>
    <row r="702" spans="1:11">
      <c r="A702" s="122">
        <v>722</v>
      </c>
      <c r="B702" s="204" t="s">
        <v>339</v>
      </c>
      <c r="C702" s="122" t="s">
        <v>285</v>
      </c>
      <c r="D702" s="122" t="s">
        <v>930</v>
      </c>
      <c r="E702" s="122" t="s">
        <v>256</v>
      </c>
      <c r="F702" s="203">
        <v>36956</v>
      </c>
      <c r="G702" s="122" t="str">
        <f>CHOOSE(MONTH(F702),"January","February","March","April","May","June","July","August","September","October","November","December")</f>
        <v>March</v>
      </c>
      <c r="H702" s="122">
        <f ca="1">DATEDIF(F702,TODAY(),"Y")</f>
        <v>15</v>
      </c>
      <c r="I702" s="122" t="s">
        <v>276</v>
      </c>
      <c r="J702" s="202">
        <v>49930</v>
      </c>
      <c r="K702" s="201">
        <v>1</v>
      </c>
    </row>
    <row r="703" spans="1:11">
      <c r="A703" s="122">
        <v>723</v>
      </c>
      <c r="B703" s="204" t="s">
        <v>901</v>
      </c>
      <c r="C703" s="122" t="s">
        <v>285</v>
      </c>
      <c r="D703" s="122" t="s">
        <v>930</v>
      </c>
      <c r="E703" s="122" t="s">
        <v>256</v>
      </c>
      <c r="F703" s="203">
        <v>36549</v>
      </c>
      <c r="G703" s="122" t="str">
        <f>CHOOSE(MONTH(F703),"January","February","March","April","May","June","July","August","September","October","November","December")</f>
        <v>January</v>
      </c>
      <c r="H703" s="122">
        <f ca="1">DATEDIF(F703,TODAY(),"Y")</f>
        <v>16</v>
      </c>
      <c r="I703" s="122" t="s">
        <v>283</v>
      </c>
      <c r="J703" s="202">
        <v>35460</v>
      </c>
      <c r="K703" s="201">
        <v>1</v>
      </c>
    </row>
    <row r="704" spans="1:11">
      <c r="A704" s="122">
        <v>724</v>
      </c>
      <c r="B704" s="204" t="s">
        <v>521</v>
      </c>
      <c r="C704" s="122" t="s">
        <v>285</v>
      </c>
      <c r="D704" s="122" t="s">
        <v>930</v>
      </c>
      <c r="E704" s="122" t="s">
        <v>256</v>
      </c>
      <c r="F704" s="203">
        <v>36967</v>
      </c>
      <c r="G704" s="122" t="str">
        <f>CHOOSE(MONTH(F704),"January","February","March","April","May","June","July","August","September","October","November","December")</f>
        <v>March</v>
      </c>
      <c r="H704" s="122">
        <f ca="1">DATEDIF(F704,TODAY(),"Y")</f>
        <v>15</v>
      </c>
      <c r="I704" s="122" t="s">
        <v>257</v>
      </c>
      <c r="J704" s="202">
        <v>63060</v>
      </c>
      <c r="K704" s="201">
        <v>4</v>
      </c>
    </row>
    <row r="705" spans="1:11">
      <c r="A705" s="122">
        <v>725</v>
      </c>
      <c r="B705" s="204" t="s">
        <v>358</v>
      </c>
      <c r="C705" s="122" t="s">
        <v>271</v>
      </c>
      <c r="D705" s="122" t="s">
        <v>930</v>
      </c>
      <c r="E705" s="122" t="s">
        <v>261</v>
      </c>
      <c r="F705" s="203">
        <v>34042</v>
      </c>
      <c r="G705" s="122" t="str">
        <f>CHOOSE(MONTH(F705),"January","February","March","April","May","June","July","August","September","October","November","December")</f>
        <v>March</v>
      </c>
      <c r="H705" s="122">
        <f ca="1">DATEDIF(F705,TODAY(),"Y")</f>
        <v>23</v>
      </c>
      <c r="I705" s="122" t="s">
        <v>267</v>
      </c>
      <c r="J705" s="202">
        <v>27710</v>
      </c>
      <c r="K705" s="201">
        <v>3</v>
      </c>
    </row>
    <row r="706" spans="1:11">
      <c r="A706" s="122">
        <v>726</v>
      </c>
      <c r="B706" s="204" t="s">
        <v>509</v>
      </c>
      <c r="C706" s="122" t="s">
        <v>271</v>
      </c>
      <c r="D706" s="122" t="s">
        <v>930</v>
      </c>
      <c r="E706" s="122" t="s">
        <v>256</v>
      </c>
      <c r="F706" s="203">
        <v>33806</v>
      </c>
      <c r="G706" s="122" t="str">
        <f>CHOOSE(MONTH(F706),"January","February","March","April","May","June","July","August","September","October","November","December")</f>
        <v>July</v>
      </c>
      <c r="H706" s="122">
        <f ca="1">DATEDIF(F706,TODAY(),"Y")</f>
        <v>24</v>
      </c>
      <c r="I706" s="122" t="s">
        <v>262</v>
      </c>
      <c r="J706" s="202">
        <v>62780</v>
      </c>
      <c r="K706" s="201">
        <v>3</v>
      </c>
    </row>
    <row r="707" spans="1:11">
      <c r="A707" s="122">
        <v>727</v>
      </c>
      <c r="B707" s="204" t="s">
        <v>953</v>
      </c>
      <c r="C707" s="122" t="s">
        <v>285</v>
      </c>
      <c r="D707" s="122" t="s">
        <v>930</v>
      </c>
      <c r="E707" s="122" t="s">
        <v>247</v>
      </c>
      <c r="F707" s="203">
        <v>33495</v>
      </c>
      <c r="G707" s="122" t="str">
        <f>CHOOSE(MONTH(F707),"January","February","March","April","May","June","July","August","September","October","November","December")</f>
        <v>September</v>
      </c>
      <c r="H707" s="122">
        <f ca="1">DATEDIF(F707,TODAY(),"Y")</f>
        <v>25</v>
      </c>
      <c r="J707" s="202">
        <v>62480</v>
      </c>
      <c r="K707" s="201">
        <v>5</v>
      </c>
    </row>
    <row r="708" spans="1:11">
      <c r="A708" s="122">
        <v>728</v>
      </c>
      <c r="B708" s="204" t="s">
        <v>501</v>
      </c>
      <c r="C708" s="122" t="s">
        <v>271</v>
      </c>
      <c r="D708" s="122" t="s">
        <v>930</v>
      </c>
      <c r="E708" s="122" t="s">
        <v>256</v>
      </c>
      <c r="F708" s="203">
        <v>40680</v>
      </c>
      <c r="G708" s="122" t="str">
        <f>CHOOSE(MONTH(F708),"January","February","March","April","May","June","July","August","September","October","November","December")</f>
        <v>May</v>
      </c>
      <c r="H708" s="122">
        <f ca="1">DATEDIF(F708,TODAY(),"Y")</f>
        <v>5</v>
      </c>
      <c r="I708" s="122" t="s">
        <v>276</v>
      </c>
      <c r="J708" s="202">
        <v>40260</v>
      </c>
      <c r="K708" s="201">
        <v>5</v>
      </c>
    </row>
    <row r="709" spans="1:11">
      <c r="A709" s="122">
        <v>729</v>
      </c>
      <c r="B709" s="204" t="s">
        <v>769</v>
      </c>
      <c r="C709" s="122" t="s">
        <v>271</v>
      </c>
      <c r="D709" s="122" t="s">
        <v>930</v>
      </c>
      <c r="E709" s="122" t="s">
        <v>256</v>
      </c>
      <c r="F709" s="203">
        <v>36330</v>
      </c>
      <c r="G709" s="122" t="str">
        <f>CHOOSE(MONTH(F709),"January","February","March","April","May","June","July","August","September","October","November","December")</f>
        <v>June</v>
      </c>
      <c r="H709" s="122">
        <f ca="1">DATEDIF(F709,TODAY(),"Y")</f>
        <v>17</v>
      </c>
      <c r="I709" s="122" t="s">
        <v>276</v>
      </c>
      <c r="J709" s="202">
        <v>61850</v>
      </c>
      <c r="K709" s="201">
        <v>2</v>
      </c>
    </row>
    <row r="710" spans="1:11">
      <c r="A710" s="122">
        <v>730</v>
      </c>
      <c r="B710" s="204" t="s">
        <v>773</v>
      </c>
      <c r="C710" s="122" t="s">
        <v>285</v>
      </c>
      <c r="D710" s="122" t="s">
        <v>930</v>
      </c>
      <c r="E710" s="122" t="s">
        <v>256</v>
      </c>
      <c r="F710" s="203">
        <v>39283</v>
      </c>
      <c r="G710" s="122" t="str">
        <f>CHOOSE(MONTH(F710),"January","February","March","April","May","June","July","August","September","October","November","December")</f>
        <v>July</v>
      </c>
      <c r="H710" s="122">
        <f ca="1">DATEDIF(F710,TODAY(),"Y")</f>
        <v>9</v>
      </c>
      <c r="I710" s="122" t="s">
        <v>257</v>
      </c>
      <c r="J710" s="202">
        <v>24980</v>
      </c>
      <c r="K710" s="201">
        <v>3</v>
      </c>
    </row>
    <row r="711" spans="1:11">
      <c r="A711" s="122">
        <v>731</v>
      </c>
      <c r="B711" s="204" t="s">
        <v>541</v>
      </c>
      <c r="C711" s="122" t="s">
        <v>271</v>
      </c>
      <c r="D711" s="122" t="s">
        <v>930</v>
      </c>
      <c r="E711" s="122" t="s">
        <v>256</v>
      </c>
      <c r="F711" s="203">
        <v>35364</v>
      </c>
      <c r="G711" s="122" t="str">
        <f>CHOOSE(MONTH(F711),"January","February","March","April","May","June","July","August","September","October","November","December")</f>
        <v>October</v>
      </c>
      <c r="H711" s="122">
        <f ca="1">DATEDIF(F711,TODAY(),"Y")</f>
        <v>20</v>
      </c>
      <c r="I711" s="122" t="s">
        <v>257</v>
      </c>
      <c r="J711" s="202">
        <v>27130</v>
      </c>
      <c r="K711" s="201">
        <v>5</v>
      </c>
    </row>
    <row r="712" spans="1:11">
      <c r="A712" s="122">
        <v>732</v>
      </c>
      <c r="B712" s="204" t="s">
        <v>428</v>
      </c>
      <c r="C712" s="122" t="s">
        <v>280</v>
      </c>
      <c r="D712" s="122" t="s">
        <v>930</v>
      </c>
      <c r="E712" s="122" t="s">
        <v>247</v>
      </c>
      <c r="F712" s="203">
        <v>38438</v>
      </c>
      <c r="G712" s="122" t="str">
        <f>CHOOSE(MONTH(F712),"January","February","March","April","May","June","July","August","September","October","November","December")</f>
        <v>March</v>
      </c>
      <c r="H712" s="122">
        <f ca="1">DATEDIF(F712,TODAY(),"Y")</f>
        <v>11</v>
      </c>
      <c r="J712" s="202">
        <v>32880</v>
      </c>
      <c r="K712" s="201">
        <v>3</v>
      </c>
    </row>
    <row r="713" spans="1:11">
      <c r="A713" s="122">
        <v>733</v>
      </c>
      <c r="B713" s="204" t="s">
        <v>824</v>
      </c>
      <c r="C713" s="122" t="s">
        <v>245</v>
      </c>
      <c r="D713" s="122" t="s">
        <v>930</v>
      </c>
      <c r="E713" s="122" t="s">
        <v>261</v>
      </c>
      <c r="F713" s="203">
        <v>34960</v>
      </c>
      <c r="G713" s="122" t="str">
        <f>CHOOSE(MONTH(F713),"January","February","March","April","May","June","July","August","September","October","November","December")</f>
        <v>September</v>
      </c>
      <c r="H713" s="122">
        <f ca="1">DATEDIF(F713,TODAY(),"Y")</f>
        <v>21</v>
      </c>
      <c r="I713" s="122" t="s">
        <v>276</v>
      </c>
      <c r="J713" s="202">
        <v>23000</v>
      </c>
      <c r="K713" s="201">
        <v>4</v>
      </c>
    </row>
    <row r="714" spans="1:11">
      <c r="A714" s="122">
        <v>734</v>
      </c>
      <c r="B714" s="204" t="s">
        <v>435</v>
      </c>
      <c r="C714" s="122" t="s">
        <v>271</v>
      </c>
      <c r="D714" s="122" t="s">
        <v>930</v>
      </c>
      <c r="E714" s="122" t="s">
        <v>247</v>
      </c>
      <c r="F714" s="203">
        <v>33506</v>
      </c>
      <c r="G714" s="122" t="str">
        <f>CHOOSE(MONTH(F714),"January","February","March","April","May","June","July","August","September","October","November","December")</f>
        <v>September</v>
      </c>
      <c r="H714" s="122">
        <f ca="1">DATEDIF(F714,TODAY(),"Y")</f>
        <v>25</v>
      </c>
      <c r="J714" s="202">
        <v>61134</v>
      </c>
      <c r="K714" s="201">
        <v>4</v>
      </c>
    </row>
    <row r="715" spans="1:11">
      <c r="A715" s="122">
        <v>735</v>
      </c>
      <c r="B715" s="204" t="s">
        <v>754</v>
      </c>
      <c r="C715" s="122" t="s">
        <v>285</v>
      </c>
      <c r="D715" s="122" t="s">
        <v>930</v>
      </c>
      <c r="E715" s="122" t="s">
        <v>261</v>
      </c>
      <c r="F715" s="203">
        <v>34005</v>
      </c>
      <c r="G715" s="122" t="str">
        <f>CHOOSE(MONTH(F715),"January","February","March","April","May","June","July","August","September","October","November","December")</f>
        <v>February</v>
      </c>
      <c r="H715" s="122">
        <f ca="1">DATEDIF(F715,TODAY(),"Y")</f>
        <v>23</v>
      </c>
      <c r="I715" s="122" t="s">
        <v>257</v>
      </c>
      <c r="J715" s="202">
        <v>19935</v>
      </c>
      <c r="K715" s="201">
        <v>1</v>
      </c>
    </row>
    <row r="716" spans="1:11">
      <c r="A716" s="122">
        <v>736</v>
      </c>
      <c r="B716" s="204" t="s">
        <v>743</v>
      </c>
      <c r="C716" s="122" t="s">
        <v>251</v>
      </c>
      <c r="D716" s="122" t="s">
        <v>930</v>
      </c>
      <c r="E716" s="122" t="s">
        <v>256</v>
      </c>
      <c r="F716" s="203">
        <v>37495</v>
      </c>
      <c r="G716" s="122" t="str">
        <f>CHOOSE(MONTH(F716),"January","February","March","April","May","June","July","August","September","October","November","December")</f>
        <v>August</v>
      </c>
      <c r="H716" s="122">
        <f ca="1">DATEDIF(F716,TODAY(),"Y")</f>
        <v>14</v>
      </c>
      <c r="I716" s="122" t="s">
        <v>276</v>
      </c>
      <c r="J716" s="202">
        <v>60300</v>
      </c>
      <c r="K716" s="201">
        <v>2</v>
      </c>
    </row>
    <row r="717" spans="1:11">
      <c r="A717" s="122">
        <v>737</v>
      </c>
      <c r="B717" s="204" t="s">
        <v>488</v>
      </c>
      <c r="C717" s="122" t="s">
        <v>285</v>
      </c>
      <c r="D717" s="122" t="s">
        <v>930</v>
      </c>
      <c r="E717" s="122" t="s">
        <v>261</v>
      </c>
      <c r="F717" s="203">
        <v>36918</v>
      </c>
      <c r="G717" s="122" t="str">
        <f>CHOOSE(MONTH(F717),"January","February","March","April","May","June","July","August","September","October","November","December")</f>
        <v>January</v>
      </c>
      <c r="H717" s="122">
        <f ca="1">DATEDIF(F717,TODAY(),"Y")</f>
        <v>15</v>
      </c>
      <c r="I717" s="122" t="s">
        <v>257</v>
      </c>
      <c r="J717" s="202">
        <v>17205</v>
      </c>
      <c r="K717" s="201">
        <v>5</v>
      </c>
    </row>
    <row r="718" spans="1:11">
      <c r="A718" s="122">
        <v>738</v>
      </c>
      <c r="B718" s="204" t="s">
        <v>549</v>
      </c>
      <c r="C718" s="122" t="s">
        <v>245</v>
      </c>
      <c r="D718" s="122" t="s">
        <v>930</v>
      </c>
      <c r="E718" s="122" t="s">
        <v>261</v>
      </c>
      <c r="F718" s="203">
        <v>35518</v>
      </c>
      <c r="G718" s="122" t="str">
        <f>CHOOSE(MONTH(F718),"January","February","March","April","May","June","July","August","September","October","November","December")</f>
        <v>March</v>
      </c>
      <c r="H718" s="122">
        <f ca="1">DATEDIF(F718,TODAY(),"Y")</f>
        <v>19</v>
      </c>
      <c r="I718" s="122" t="s">
        <v>262</v>
      </c>
      <c r="J718" s="202">
        <v>13690</v>
      </c>
      <c r="K718" s="201">
        <v>5</v>
      </c>
    </row>
    <row r="719" spans="1:11">
      <c r="A719" s="122">
        <v>739</v>
      </c>
      <c r="B719" s="204" t="s">
        <v>701</v>
      </c>
      <c r="C719" s="122" t="s">
        <v>271</v>
      </c>
      <c r="D719" s="122" t="s">
        <v>930</v>
      </c>
      <c r="E719" s="122" t="s">
        <v>256</v>
      </c>
      <c r="F719" s="203">
        <v>33957</v>
      </c>
      <c r="G719" s="122" t="str">
        <f>CHOOSE(MONTH(F719),"January","February","March","April","May","June","July","August","September","October","November","December")</f>
        <v>December</v>
      </c>
      <c r="H719" s="122">
        <f ca="1">DATEDIF(F719,TODAY(),"Y")</f>
        <v>23</v>
      </c>
      <c r="I719" s="122" t="s">
        <v>262</v>
      </c>
      <c r="J719" s="202">
        <v>59490</v>
      </c>
      <c r="K719" s="201">
        <v>3</v>
      </c>
    </row>
    <row r="720" spans="1:11">
      <c r="A720" s="122">
        <v>740</v>
      </c>
      <c r="B720" s="204" t="s">
        <v>676</v>
      </c>
      <c r="C720" s="122" t="s">
        <v>245</v>
      </c>
      <c r="D720" s="122" t="s">
        <v>930</v>
      </c>
      <c r="E720" s="122" t="s">
        <v>247</v>
      </c>
      <c r="F720" s="203">
        <v>33789</v>
      </c>
      <c r="G720" s="122" t="str">
        <f>CHOOSE(MONTH(F720),"January","February","March","April","May","June","July","August","September","October","November","December")</f>
        <v>July</v>
      </c>
      <c r="H720" s="122">
        <f ca="1">DATEDIF(F720,TODAY(),"Y")</f>
        <v>24</v>
      </c>
      <c r="J720" s="202">
        <v>59128</v>
      </c>
      <c r="K720" s="201">
        <v>4</v>
      </c>
    </row>
    <row r="721" spans="1:11">
      <c r="A721" s="122">
        <v>741</v>
      </c>
      <c r="B721" s="204" t="s">
        <v>402</v>
      </c>
      <c r="C721" s="122" t="s">
        <v>285</v>
      </c>
      <c r="D721" s="122" t="s">
        <v>930</v>
      </c>
      <c r="E721" s="122" t="s">
        <v>256</v>
      </c>
      <c r="F721" s="203">
        <v>35276</v>
      </c>
      <c r="G721" s="122" t="str">
        <f>CHOOSE(MONTH(F721),"January","February","March","April","May","June","July","August","September","October","November","December")</f>
        <v>July</v>
      </c>
      <c r="H721" s="122">
        <f ca="1">DATEDIF(F721,TODAY(),"Y")</f>
        <v>20</v>
      </c>
      <c r="I721" s="122" t="s">
        <v>257</v>
      </c>
      <c r="J721" s="202">
        <v>58370</v>
      </c>
      <c r="K721" s="201">
        <v>5</v>
      </c>
    </row>
    <row r="722" spans="1:11">
      <c r="A722" s="122">
        <v>742</v>
      </c>
      <c r="B722" s="204" t="s">
        <v>719</v>
      </c>
      <c r="C722" s="122" t="s">
        <v>245</v>
      </c>
      <c r="D722" s="122" t="s">
        <v>930</v>
      </c>
      <c r="E722" s="122" t="s">
        <v>247</v>
      </c>
      <c r="F722" s="203">
        <v>36193</v>
      </c>
      <c r="G722" s="122" t="str">
        <f>CHOOSE(MONTH(F722),"January","February","March","April","May","June","July","August","September","October","November","December")</f>
        <v>February</v>
      </c>
      <c r="H722" s="122">
        <f ca="1">DATEDIF(F722,TODAY(),"Y")</f>
        <v>17</v>
      </c>
      <c r="J722" s="202">
        <v>58250</v>
      </c>
      <c r="K722" s="201">
        <v>2</v>
      </c>
    </row>
    <row r="723" spans="1:11">
      <c r="A723" s="122">
        <v>743</v>
      </c>
      <c r="B723" s="204" t="s">
        <v>361</v>
      </c>
      <c r="C723" s="122" t="s">
        <v>285</v>
      </c>
      <c r="D723" s="122" t="s">
        <v>930</v>
      </c>
      <c r="E723" s="122" t="s">
        <v>247</v>
      </c>
      <c r="F723" s="203">
        <v>33562</v>
      </c>
      <c r="G723" s="122" t="str">
        <f>CHOOSE(MONTH(F723),"January","February","March","April","May","June","July","August","September","October","November","December")</f>
        <v>November</v>
      </c>
      <c r="H723" s="122">
        <f ca="1">DATEDIF(F723,TODAY(),"Y")</f>
        <v>24</v>
      </c>
      <c r="J723" s="202">
        <v>57500</v>
      </c>
      <c r="K723" s="201">
        <v>1</v>
      </c>
    </row>
    <row r="724" spans="1:11">
      <c r="A724" s="122">
        <v>744</v>
      </c>
      <c r="B724" s="204" t="s">
        <v>399</v>
      </c>
      <c r="C724" s="122" t="s">
        <v>266</v>
      </c>
      <c r="D724" s="122" t="s">
        <v>930</v>
      </c>
      <c r="E724" s="122" t="s">
        <v>256</v>
      </c>
      <c r="F724" s="203">
        <v>33921</v>
      </c>
      <c r="G724" s="122" t="str">
        <f>CHOOSE(MONTH(F724),"January","February","March","April","May","June","July","August","September","October","November","December")</f>
        <v>November</v>
      </c>
      <c r="H724" s="122">
        <f ca="1">DATEDIF(F724,TODAY(),"Y")</f>
        <v>23</v>
      </c>
      <c r="I724" s="122" t="s">
        <v>267</v>
      </c>
      <c r="J724" s="202">
        <v>32160</v>
      </c>
      <c r="K724" s="201">
        <v>3</v>
      </c>
    </row>
    <row r="725" spans="1:11">
      <c r="A725" s="122">
        <v>745</v>
      </c>
      <c r="B725" s="204" t="s">
        <v>461</v>
      </c>
      <c r="C725" s="122" t="s">
        <v>280</v>
      </c>
      <c r="D725" s="122" t="s">
        <v>930</v>
      </c>
      <c r="E725" s="122" t="s">
        <v>247</v>
      </c>
      <c r="F725" s="203">
        <v>33413</v>
      </c>
      <c r="G725" s="122" t="str">
        <f>CHOOSE(MONTH(F725),"January","February","March","April","May","June","July","August","September","October","November","December")</f>
        <v>June</v>
      </c>
      <c r="H725" s="122">
        <f ca="1">DATEDIF(F725,TODAY(),"Y")</f>
        <v>25</v>
      </c>
      <c r="J725" s="202">
        <v>26020</v>
      </c>
      <c r="K725" s="201">
        <v>5</v>
      </c>
    </row>
    <row r="726" spans="1:11">
      <c r="A726" s="122">
        <v>746</v>
      </c>
      <c r="B726" s="204" t="s">
        <v>526</v>
      </c>
      <c r="C726" s="122" t="s">
        <v>285</v>
      </c>
      <c r="D726" s="122" t="s">
        <v>930</v>
      </c>
      <c r="E726" s="122" t="s">
        <v>247</v>
      </c>
      <c r="F726" s="203">
        <v>40563</v>
      </c>
      <c r="G726" s="122" t="str">
        <f>CHOOSE(MONTH(F726),"January","February","March","April","May","June","July","August","September","October","November","December")</f>
        <v>January</v>
      </c>
      <c r="H726" s="122">
        <f ca="1">DATEDIF(F726,TODAY(),"Y")</f>
        <v>5</v>
      </c>
      <c r="J726" s="202">
        <v>55510</v>
      </c>
      <c r="K726" s="201">
        <v>3</v>
      </c>
    </row>
    <row r="727" spans="1:11">
      <c r="A727" s="122">
        <v>747</v>
      </c>
      <c r="B727" s="204" t="s">
        <v>983</v>
      </c>
      <c r="C727" s="122" t="s">
        <v>285</v>
      </c>
      <c r="D727" s="122" t="s">
        <v>930</v>
      </c>
      <c r="E727" s="122" t="s">
        <v>256</v>
      </c>
      <c r="F727" s="203">
        <v>37810</v>
      </c>
      <c r="G727" s="122" t="str">
        <f>CHOOSE(MONTH(F727),"January","February","March","April","May","June","July","August","September","October","November","December")</f>
        <v>July</v>
      </c>
      <c r="H727" s="122">
        <f ca="1">DATEDIF(F727,TODAY(),"Y")</f>
        <v>13</v>
      </c>
      <c r="I727" s="122" t="s">
        <v>283</v>
      </c>
      <c r="J727" s="202">
        <v>48010</v>
      </c>
      <c r="K727" s="201">
        <v>3</v>
      </c>
    </row>
    <row r="728" spans="1:11">
      <c r="A728" s="122">
        <v>748</v>
      </c>
      <c r="B728" s="204" t="s">
        <v>427</v>
      </c>
      <c r="C728" s="122" t="s">
        <v>266</v>
      </c>
      <c r="D728" s="122" t="s">
        <v>930</v>
      </c>
      <c r="E728" s="122" t="s">
        <v>247</v>
      </c>
      <c r="F728" s="203">
        <v>37141</v>
      </c>
      <c r="G728" s="122" t="str">
        <f>CHOOSE(MONTH(F728),"January","February","March","April","May","June","July","August","September","October","November","December")</f>
        <v>September</v>
      </c>
      <c r="H728" s="122">
        <f ca="1">DATEDIF(F728,TODAY(),"Y")</f>
        <v>15</v>
      </c>
      <c r="J728" s="202">
        <v>25530</v>
      </c>
      <c r="K728" s="201">
        <v>3</v>
      </c>
    </row>
    <row r="729" spans="1:11">
      <c r="A729" s="122">
        <v>749</v>
      </c>
      <c r="B729" s="204" t="s">
        <v>414</v>
      </c>
      <c r="C729" s="122" t="s">
        <v>285</v>
      </c>
      <c r="D729" s="122" t="s">
        <v>930</v>
      </c>
      <c r="E729" s="122" t="s">
        <v>256</v>
      </c>
      <c r="F729" s="203">
        <v>40568</v>
      </c>
      <c r="G729" s="122" t="str">
        <f>CHOOSE(MONTH(F729),"January","February","March","April","May","June","July","August","September","October","November","December")</f>
        <v>January</v>
      </c>
      <c r="H729" s="122">
        <f ca="1">DATEDIF(F729,TODAY(),"Y")</f>
        <v>5</v>
      </c>
      <c r="I729" s="122" t="s">
        <v>257</v>
      </c>
      <c r="J729" s="202">
        <v>46390</v>
      </c>
      <c r="K729" s="201">
        <v>5</v>
      </c>
    </row>
    <row r="730" spans="1:11">
      <c r="A730" s="122">
        <v>750</v>
      </c>
      <c r="B730" s="204" t="s">
        <v>413</v>
      </c>
      <c r="C730" s="122" t="s">
        <v>285</v>
      </c>
      <c r="D730" s="122" t="s">
        <v>930</v>
      </c>
      <c r="E730" s="122" t="s">
        <v>261</v>
      </c>
      <c r="F730" s="203">
        <v>34140</v>
      </c>
      <c r="G730" s="122" t="str">
        <f>CHOOSE(MONTH(F730),"January","February","March","April","May","June","July","August","September","October","November","December")</f>
        <v>June</v>
      </c>
      <c r="H730" s="122">
        <f ca="1">DATEDIF(F730,TODAY(),"Y")</f>
        <v>23</v>
      </c>
      <c r="I730" s="122" t="s">
        <v>276</v>
      </c>
      <c r="J730" s="202">
        <v>11230</v>
      </c>
      <c r="K730" s="201">
        <v>4</v>
      </c>
    </row>
    <row r="731" spans="1:11">
      <c r="A731" s="122">
        <v>751</v>
      </c>
      <c r="B731" s="204" t="s">
        <v>989</v>
      </c>
      <c r="C731" s="122" t="s">
        <v>271</v>
      </c>
      <c r="D731" s="122" t="s">
        <v>930</v>
      </c>
      <c r="E731" s="122" t="s">
        <v>256</v>
      </c>
      <c r="F731" s="203">
        <v>33279</v>
      </c>
      <c r="G731" s="122" t="str">
        <f>CHOOSE(MONTH(F731),"January","February","March","April","May","June","July","August","September","October","November","December")</f>
        <v>February</v>
      </c>
      <c r="H731" s="122">
        <f ca="1">DATEDIF(F731,TODAY(),"Y")</f>
        <v>25</v>
      </c>
      <c r="I731" s="122" t="s">
        <v>257</v>
      </c>
      <c r="J731" s="202">
        <v>24200</v>
      </c>
      <c r="K731" s="201">
        <v>5</v>
      </c>
    </row>
    <row r="732" spans="1:11">
      <c r="A732" s="122">
        <v>752</v>
      </c>
      <c r="B732" s="204" t="s">
        <v>725</v>
      </c>
      <c r="C732" s="122" t="s">
        <v>271</v>
      </c>
      <c r="D732" s="122" t="s">
        <v>930</v>
      </c>
      <c r="E732" s="122" t="s">
        <v>256</v>
      </c>
      <c r="F732" s="203">
        <v>40680</v>
      </c>
      <c r="G732" s="122" t="str">
        <f>CHOOSE(MONTH(F732),"January","February","March","April","May","June","July","August","September","October","November","December")</f>
        <v>May</v>
      </c>
      <c r="H732" s="122">
        <f ca="1">DATEDIF(F732,TODAY(),"Y")</f>
        <v>5</v>
      </c>
      <c r="I732" s="122" t="s">
        <v>257</v>
      </c>
      <c r="J732" s="202">
        <v>23030</v>
      </c>
      <c r="K732" s="201">
        <v>4</v>
      </c>
    </row>
    <row r="733" spans="1:11">
      <c r="A733" s="122">
        <v>754</v>
      </c>
      <c r="B733" s="204" t="s">
        <v>732</v>
      </c>
      <c r="C733" s="122" t="s">
        <v>245</v>
      </c>
      <c r="D733" s="122" t="s">
        <v>1025</v>
      </c>
      <c r="E733" s="122" t="s">
        <v>256</v>
      </c>
      <c r="F733" s="203">
        <v>37073</v>
      </c>
      <c r="G733" s="122" t="str">
        <f>CHOOSE(MONTH(F733),"January","February","March","April","May","June","July","August","September","October","November","December")</f>
        <v>July</v>
      </c>
      <c r="H733" s="122">
        <f ca="1">DATEDIF(F733,TODAY(),"Y")</f>
        <v>15</v>
      </c>
      <c r="I733" s="122" t="s">
        <v>276</v>
      </c>
      <c r="J733" s="202">
        <v>40680</v>
      </c>
      <c r="K733" s="201">
        <v>5</v>
      </c>
    </row>
    <row r="734" spans="1:11">
      <c r="A734" s="122">
        <v>755</v>
      </c>
      <c r="B734" s="204" t="s">
        <v>1022</v>
      </c>
      <c r="C734" s="122" t="s">
        <v>245</v>
      </c>
      <c r="D734" s="122" t="s">
        <v>1025</v>
      </c>
      <c r="E734" s="122" t="s">
        <v>247</v>
      </c>
      <c r="F734" s="203">
        <v>33387</v>
      </c>
      <c r="G734" s="122" t="str">
        <f>CHOOSE(MONTH(F734),"January","February","March","April","May","June","July","August","September","October","November","December")</f>
        <v>May</v>
      </c>
      <c r="H734" s="122">
        <f ca="1">DATEDIF(F734,TODAY(),"Y")</f>
        <v>25</v>
      </c>
      <c r="J734" s="202">
        <v>85510</v>
      </c>
      <c r="K734" s="201">
        <v>4</v>
      </c>
    </row>
    <row r="735" spans="1:11">
      <c r="A735" s="122">
        <v>756</v>
      </c>
      <c r="B735" s="204" t="s">
        <v>400</v>
      </c>
      <c r="C735" s="122" t="s">
        <v>266</v>
      </c>
      <c r="D735" s="122" t="s">
        <v>1025</v>
      </c>
      <c r="E735" s="122" t="s">
        <v>256</v>
      </c>
      <c r="F735" s="203">
        <v>37684</v>
      </c>
      <c r="G735" s="122" t="str">
        <f>CHOOSE(MONTH(F735),"January","February","March","April","May","June","July","August","September","October","November","December")</f>
        <v>March</v>
      </c>
      <c r="H735" s="122">
        <f ca="1">DATEDIF(F735,TODAY(),"Y")</f>
        <v>13</v>
      </c>
      <c r="I735" s="122" t="s">
        <v>283</v>
      </c>
      <c r="J735" s="202">
        <v>42800</v>
      </c>
      <c r="K735" s="201">
        <v>5</v>
      </c>
    </row>
    <row r="736" spans="1:11">
      <c r="A736" s="122">
        <v>757</v>
      </c>
      <c r="B736" s="204" t="s">
        <v>673</v>
      </c>
      <c r="C736" s="122" t="s">
        <v>271</v>
      </c>
      <c r="D736" s="122" t="s">
        <v>1025</v>
      </c>
      <c r="E736" s="122" t="s">
        <v>247</v>
      </c>
      <c r="F736" s="203">
        <v>40719</v>
      </c>
      <c r="G736" s="122" t="str">
        <f>CHOOSE(MONTH(F736),"January","February","March","April","May","June","July","August","September","October","November","December")</f>
        <v>June</v>
      </c>
      <c r="H736" s="122">
        <f ca="1">DATEDIF(F736,TODAY(),"Y")</f>
        <v>5</v>
      </c>
      <c r="J736" s="202">
        <v>66132</v>
      </c>
      <c r="K736" s="201">
        <v>4</v>
      </c>
    </row>
    <row r="737" spans="1:11">
      <c r="A737" s="122">
        <v>758</v>
      </c>
      <c r="B737" s="204" t="s">
        <v>302</v>
      </c>
      <c r="C737" s="122" t="s">
        <v>271</v>
      </c>
      <c r="D737" s="122" t="s">
        <v>1025</v>
      </c>
      <c r="E737" s="122" t="s">
        <v>256</v>
      </c>
      <c r="F737" s="203">
        <v>36991</v>
      </c>
      <c r="G737" s="122" t="str">
        <f>CHOOSE(MONTH(F737),"January","February","March","April","May","June","July","August","September","October","November","December")</f>
        <v>April</v>
      </c>
      <c r="H737" s="122">
        <f ca="1">DATEDIF(F737,TODAY(),"Y")</f>
        <v>15</v>
      </c>
      <c r="I737" s="122" t="s">
        <v>257</v>
      </c>
      <c r="J737" s="202">
        <v>63670</v>
      </c>
      <c r="K737" s="201">
        <v>5</v>
      </c>
    </row>
    <row r="738" spans="1:11">
      <c r="A738" s="122">
        <v>760</v>
      </c>
      <c r="B738" s="204" t="s">
        <v>405</v>
      </c>
      <c r="C738" s="122" t="s">
        <v>266</v>
      </c>
      <c r="D738" s="122" t="s">
        <v>1031</v>
      </c>
      <c r="E738" s="122" t="s">
        <v>252</v>
      </c>
      <c r="F738" s="203">
        <v>40543</v>
      </c>
      <c r="G738" s="122" t="str">
        <f>CHOOSE(MONTH(F738),"January","February","March","April","May","June","July","August","September","October","November","December")</f>
        <v>December</v>
      </c>
      <c r="H738" s="122">
        <f ca="1">DATEDIF(F738,TODAY(),"Y")</f>
        <v>5</v>
      </c>
      <c r="J738" s="202">
        <v>19044</v>
      </c>
      <c r="K738" s="201">
        <v>1</v>
      </c>
    </row>
    <row r="739" spans="1:11">
      <c r="A739" s="122">
        <v>761</v>
      </c>
      <c r="B739" s="204" t="s">
        <v>561</v>
      </c>
      <c r="C739" s="122" t="s">
        <v>266</v>
      </c>
      <c r="D739" s="122" t="s">
        <v>1031</v>
      </c>
      <c r="E739" s="122" t="s">
        <v>261</v>
      </c>
      <c r="F739" s="203">
        <v>36557</v>
      </c>
      <c r="G739" s="122" t="str">
        <f>CHOOSE(MONTH(F739),"January","February","March","April","May","June","July","August","September","October","November","December")</f>
        <v>February</v>
      </c>
      <c r="H739" s="122">
        <f ca="1">DATEDIF(F739,TODAY(),"Y")</f>
        <v>16</v>
      </c>
      <c r="I739" s="122" t="s">
        <v>257</v>
      </c>
      <c r="J739" s="202">
        <v>31250</v>
      </c>
      <c r="K739" s="201">
        <v>2</v>
      </c>
    </row>
    <row r="740" spans="1:11">
      <c r="A740" s="122">
        <v>762</v>
      </c>
      <c r="B740" s="204" t="s">
        <v>406</v>
      </c>
      <c r="C740" s="122" t="s">
        <v>285</v>
      </c>
      <c r="D740" s="122" t="s">
        <v>1031</v>
      </c>
      <c r="E740" s="122" t="s">
        <v>247</v>
      </c>
      <c r="F740" s="203">
        <v>34525</v>
      </c>
      <c r="G740" s="122" t="str">
        <f>CHOOSE(MONTH(F740),"January","February","March","April","May","June","July","August","September","October","November","December")</f>
        <v>July</v>
      </c>
      <c r="H740" s="122">
        <f ca="1">DATEDIF(F740,TODAY(),"Y")</f>
        <v>22</v>
      </c>
      <c r="J740" s="202">
        <v>64720</v>
      </c>
      <c r="K740" s="201">
        <v>5</v>
      </c>
    </row>
    <row r="741" spans="1:11">
      <c r="A741" s="122">
        <v>763</v>
      </c>
      <c r="B741" s="204" t="s">
        <v>894</v>
      </c>
      <c r="C741" s="122" t="s">
        <v>285</v>
      </c>
      <c r="D741" s="122" t="s">
        <v>1031</v>
      </c>
      <c r="E741" s="122" t="s">
        <v>247</v>
      </c>
      <c r="F741" s="203">
        <v>34003</v>
      </c>
      <c r="G741" s="122" t="str">
        <f>CHOOSE(MONTH(F741),"January","February","March","April","May","June","July","August","September","October","November","December")</f>
        <v>February</v>
      </c>
      <c r="H741" s="122">
        <f ca="1">DATEDIF(F741,TODAY(),"Y")</f>
        <v>23</v>
      </c>
      <c r="J741" s="202">
        <v>60760</v>
      </c>
      <c r="K741" s="201">
        <v>2</v>
      </c>
    </row>
    <row r="742" spans="1:11">
      <c r="A742" s="122">
        <v>764</v>
      </c>
      <c r="B742" s="204" t="s">
        <v>737</v>
      </c>
      <c r="C742" s="122" t="s">
        <v>251</v>
      </c>
      <c r="D742" s="122" t="s">
        <v>1031</v>
      </c>
      <c r="E742" s="122" t="s">
        <v>256</v>
      </c>
      <c r="F742" s="203">
        <v>40384</v>
      </c>
      <c r="G742" s="122" t="str">
        <f>CHOOSE(MONTH(F742),"January","February","March","April","May","June","July","August","September","October","November","December")</f>
        <v>July</v>
      </c>
      <c r="H742" s="122">
        <f ca="1">DATEDIF(F742,TODAY(),"Y")</f>
        <v>6</v>
      </c>
      <c r="I742" s="122" t="s">
        <v>257</v>
      </c>
      <c r="J742" s="202">
        <v>46680</v>
      </c>
      <c r="K742" s="201">
        <v>1</v>
      </c>
    </row>
    <row r="744" spans="1:11">
      <c r="A744" s="122">
        <v>1</v>
      </c>
      <c r="B744" s="210" t="s">
        <v>246</v>
      </c>
      <c r="C744" s="208"/>
      <c r="D744" s="208"/>
      <c r="E744" s="208"/>
      <c r="F744" s="209"/>
      <c r="G744" s="208"/>
      <c r="H744" s="208"/>
      <c r="I744" s="208"/>
      <c r="J744" s="207"/>
      <c r="K744" s="206"/>
    </row>
    <row r="745" spans="1:11">
      <c r="A745" s="122">
        <v>7</v>
      </c>
      <c r="B745" s="205" t="s">
        <v>272</v>
      </c>
    </row>
    <row r="746" spans="1:11">
      <c r="A746" s="122">
        <v>25</v>
      </c>
      <c r="B746" s="205" t="s">
        <v>296</v>
      </c>
    </row>
    <row r="747" spans="1:11">
      <c r="A747" s="122">
        <v>36</v>
      </c>
      <c r="B747" s="205" t="s">
        <v>307</v>
      </c>
    </row>
    <row r="748" spans="1:11">
      <c r="A748" s="122">
        <v>41</v>
      </c>
      <c r="B748" s="205" t="s">
        <v>312</v>
      </c>
    </row>
    <row r="749" spans="1:11">
      <c r="A749" s="122">
        <v>101</v>
      </c>
      <c r="B749" s="205" t="s">
        <v>372</v>
      </c>
    </row>
    <row r="750" spans="1:11">
      <c r="A750" s="122">
        <v>110</v>
      </c>
      <c r="B750" s="205" t="s">
        <v>381</v>
      </c>
    </row>
    <row r="751" spans="1:11">
      <c r="A751" s="122">
        <v>120</v>
      </c>
      <c r="B751" s="205" t="s">
        <v>391</v>
      </c>
    </row>
    <row r="752" spans="1:11">
      <c r="A752" s="122">
        <v>140</v>
      </c>
      <c r="B752" s="205" t="s">
        <v>411</v>
      </c>
    </row>
    <row r="753" spans="1:2">
      <c r="A753" s="122">
        <v>146</v>
      </c>
      <c r="B753" s="205" t="s">
        <v>417</v>
      </c>
    </row>
    <row r="754" spans="1:2">
      <c r="A754" s="122">
        <v>185</v>
      </c>
      <c r="B754" s="205" t="s">
        <v>456</v>
      </c>
    </row>
    <row r="755" spans="1:2">
      <c r="A755" s="122">
        <v>194</v>
      </c>
      <c r="B755" s="205" t="s">
        <v>465</v>
      </c>
    </row>
    <row r="756" spans="1:2">
      <c r="A756" s="122">
        <v>346</v>
      </c>
      <c r="B756" s="205" t="s">
        <v>618</v>
      </c>
    </row>
    <row r="757" spans="1:2">
      <c r="A757" s="122">
        <v>354</v>
      </c>
      <c r="B757" s="205" t="s">
        <v>626</v>
      </c>
    </row>
    <row r="758" spans="1:2">
      <c r="A758" s="122">
        <v>406</v>
      </c>
      <c r="B758" s="205" t="s">
        <v>678</v>
      </c>
    </row>
    <row r="759" spans="1:2">
      <c r="A759" s="122">
        <v>428</v>
      </c>
      <c r="B759" s="205" t="s">
        <v>700</v>
      </c>
    </row>
    <row r="760" spans="1:2">
      <c r="A760" s="122">
        <v>433</v>
      </c>
      <c r="B760" s="205" t="s">
        <v>705</v>
      </c>
    </row>
    <row r="761" spans="1:2">
      <c r="A761" s="122">
        <v>478</v>
      </c>
      <c r="B761" s="205" t="s">
        <v>750</v>
      </c>
    </row>
    <row r="762" spans="1:2">
      <c r="A762" s="122">
        <v>495</v>
      </c>
      <c r="B762" s="205" t="s">
        <v>767</v>
      </c>
    </row>
    <row r="763" spans="1:2">
      <c r="A763" s="122">
        <v>584</v>
      </c>
      <c r="B763" s="205" t="s">
        <v>856</v>
      </c>
    </row>
    <row r="764" spans="1:2">
      <c r="A764" s="122">
        <v>658</v>
      </c>
      <c r="B764" s="205" t="s">
        <v>930</v>
      </c>
    </row>
    <row r="765" spans="1:2">
      <c r="A765" s="122">
        <v>753</v>
      </c>
      <c r="B765" s="205" t="s">
        <v>1025</v>
      </c>
    </row>
    <row r="766" spans="1:2">
      <c r="A766" s="122">
        <v>759</v>
      </c>
      <c r="B766" s="205" t="s">
        <v>1031</v>
      </c>
    </row>
  </sheetData>
  <sortState ref="A2:K765">
    <sortCondition ref="D6"/>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4"/>
  <sheetViews>
    <sheetView topLeftCell="A734" zoomScale="85" zoomScaleNormal="85" zoomScaleSheetLayoutView="100" workbookViewId="0">
      <selection activeCell="L764" sqref="A1:L764"/>
    </sheetView>
  </sheetViews>
  <sheetFormatPr defaultColWidth="19.85546875" defaultRowHeight="13.5"/>
  <cols>
    <col min="1" max="1" width="19.5703125" style="91" bestFit="1" customWidth="1"/>
    <col min="2" max="2" width="8.28515625" style="91" bestFit="1" customWidth="1"/>
    <col min="3" max="3" width="27.28515625" style="91" bestFit="1" customWidth="1"/>
    <col min="4" max="4" width="12.42578125" style="91" bestFit="1" customWidth="1"/>
    <col min="5" max="5" width="14.85546875" style="91" bestFit="1" customWidth="1"/>
    <col min="6" max="6" width="9.7109375" style="91" bestFit="1" customWidth="1"/>
    <col min="7" max="7" width="10.7109375" style="91" bestFit="1" customWidth="1"/>
    <col min="8" max="8" width="10.85546875" style="91" bestFit="1" customWidth="1"/>
    <col min="9" max="9" width="6" style="91" bestFit="1" customWidth="1"/>
    <col min="10" max="11" width="8.42578125" style="91" bestFit="1" customWidth="1"/>
    <col min="12" max="12" width="10.140625" style="91" bestFit="1" customWidth="1"/>
    <col min="13" max="16384" width="19.85546875" style="91"/>
  </cols>
  <sheetData>
    <row r="1" spans="1:12" ht="15">
      <c r="A1" s="26" t="s">
        <v>229</v>
      </c>
      <c r="B1" s="27" t="s">
        <v>230</v>
      </c>
      <c r="C1" s="28" t="s">
        <v>231</v>
      </c>
      <c r="D1" s="29" t="s">
        <v>232</v>
      </c>
      <c r="E1" s="30" t="s">
        <v>233</v>
      </c>
      <c r="F1" s="28" t="s">
        <v>234</v>
      </c>
      <c r="G1" s="31" t="s">
        <v>235</v>
      </c>
      <c r="H1" s="31" t="s">
        <v>236</v>
      </c>
      <c r="I1" s="33" t="s">
        <v>237</v>
      </c>
      <c r="J1" s="28" t="s">
        <v>238</v>
      </c>
      <c r="K1" s="34" t="s">
        <v>239</v>
      </c>
      <c r="L1" s="27" t="s">
        <v>240</v>
      </c>
    </row>
    <row r="2" spans="1:12" ht="15">
      <c r="A2" s="39" t="s">
        <v>951</v>
      </c>
      <c r="B2" s="46" t="s">
        <v>245</v>
      </c>
      <c r="C2" s="45" t="s">
        <v>246</v>
      </c>
      <c r="D2" s="47">
        <v>100432924</v>
      </c>
      <c r="E2" s="48">
        <v>4022804104</v>
      </c>
      <c r="F2" s="45" t="s">
        <v>256</v>
      </c>
      <c r="G2" s="105">
        <v>36171</v>
      </c>
      <c r="H2" s="105" t="str">
        <f>CHOOSE(MONTH(G2),"January","February","March","April","May","June","July","August","September","October","November","December")</f>
        <v>January</v>
      </c>
      <c r="I2" s="51">
        <f ca="1">DATEDIF(G2,TODAY(),"Y")</f>
        <v>17</v>
      </c>
      <c r="J2" s="52" t="s">
        <v>257</v>
      </c>
      <c r="K2" s="53">
        <v>24550</v>
      </c>
      <c r="L2" s="54">
        <v>1</v>
      </c>
    </row>
    <row r="3" spans="1:12" ht="15">
      <c r="A3" s="39" t="s">
        <v>552</v>
      </c>
      <c r="B3" s="46" t="s">
        <v>271</v>
      </c>
      <c r="C3" s="45" t="s">
        <v>272</v>
      </c>
      <c r="D3" s="47">
        <v>535539723</v>
      </c>
      <c r="E3" s="48">
        <v>2523492633</v>
      </c>
      <c r="F3" s="45" t="s">
        <v>261</v>
      </c>
      <c r="G3" s="105">
        <v>33474</v>
      </c>
      <c r="H3" s="105" t="str">
        <f>CHOOSE(MONTH(G3),"January","February","March","April","May","June","July","August","September","October","November","December")</f>
        <v>August</v>
      </c>
      <c r="I3" s="51">
        <f ca="1">DATEDIF(G3,TODAY(),"Y")</f>
        <v>25</v>
      </c>
      <c r="J3" s="52" t="s">
        <v>262</v>
      </c>
      <c r="K3" s="53">
        <v>30445</v>
      </c>
      <c r="L3" s="54">
        <v>1</v>
      </c>
    </row>
    <row r="4" spans="1:12" ht="15">
      <c r="A4" s="39" t="s">
        <v>418</v>
      </c>
      <c r="B4" s="46" t="s">
        <v>285</v>
      </c>
      <c r="C4" s="39" t="s">
        <v>272</v>
      </c>
      <c r="D4" s="72">
        <v>542051793</v>
      </c>
      <c r="E4" s="73">
        <v>2527317354</v>
      </c>
      <c r="F4" s="39" t="s">
        <v>256</v>
      </c>
      <c r="G4" s="81">
        <v>36260</v>
      </c>
      <c r="H4" s="105" t="str">
        <f>CHOOSE(MONTH(G4),"January","February","March","April","May","June","July","August","September","October","November","December")</f>
        <v>April</v>
      </c>
      <c r="I4" s="51">
        <f ca="1">DATEDIF(G4,TODAY(),"Y")</f>
        <v>17</v>
      </c>
      <c r="J4" s="52" t="s">
        <v>257</v>
      </c>
      <c r="K4" s="53">
        <v>75150</v>
      </c>
      <c r="L4" s="54">
        <v>1</v>
      </c>
    </row>
    <row r="5" spans="1:12" ht="15">
      <c r="A5" s="39" t="s">
        <v>421</v>
      </c>
      <c r="B5" s="46" t="s">
        <v>251</v>
      </c>
      <c r="C5" s="45" t="s">
        <v>272</v>
      </c>
      <c r="D5" s="47">
        <v>356110882</v>
      </c>
      <c r="E5" s="48">
        <v>2527936742</v>
      </c>
      <c r="F5" s="45" t="s">
        <v>261</v>
      </c>
      <c r="G5" s="105">
        <v>36217</v>
      </c>
      <c r="H5" s="105" t="str">
        <f>CHOOSE(MONTH(G5),"January","February","March","April","May","June","July","August","September","October","November","December")</f>
        <v>February</v>
      </c>
      <c r="I5" s="51">
        <f ca="1">DATEDIF(G5,TODAY(),"Y")</f>
        <v>17</v>
      </c>
      <c r="J5" s="52" t="s">
        <v>257</v>
      </c>
      <c r="K5" s="53">
        <v>15240</v>
      </c>
      <c r="L5" s="54">
        <v>1</v>
      </c>
    </row>
    <row r="6" spans="1:12" ht="15">
      <c r="A6" s="39" t="s">
        <v>571</v>
      </c>
      <c r="B6" s="46" t="s">
        <v>251</v>
      </c>
      <c r="C6" s="39" t="s">
        <v>296</v>
      </c>
      <c r="D6" s="72">
        <v>764375259</v>
      </c>
      <c r="E6" s="73">
        <v>2527515181</v>
      </c>
      <c r="F6" s="39" t="s">
        <v>256</v>
      </c>
      <c r="G6" s="81">
        <v>38051</v>
      </c>
      <c r="H6" s="105" t="str">
        <f>CHOOSE(MONTH(G6),"January","February","March","April","May","June","July","August","September","October","November","December")</f>
        <v>March</v>
      </c>
      <c r="I6" s="51">
        <f ca="1">DATEDIF(G6,TODAY(),"Y")</f>
        <v>12</v>
      </c>
      <c r="J6" s="52" t="s">
        <v>257</v>
      </c>
      <c r="K6" s="53">
        <v>30350</v>
      </c>
      <c r="L6" s="54">
        <v>1</v>
      </c>
    </row>
    <row r="7" spans="1:12" ht="15">
      <c r="A7" s="39" t="s">
        <v>959</v>
      </c>
      <c r="B7" s="46" t="s">
        <v>285</v>
      </c>
      <c r="C7" s="39" t="s">
        <v>296</v>
      </c>
      <c r="D7" s="72">
        <v>237359447</v>
      </c>
      <c r="E7" s="73">
        <v>9195882405</v>
      </c>
      <c r="F7" s="39" t="s">
        <v>256</v>
      </c>
      <c r="G7" s="81">
        <v>34301</v>
      </c>
      <c r="H7" s="105" t="str">
        <f>CHOOSE(MONTH(G7),"January","February","March","April","May","June","July","August","September","October","November","December")</f>
        <v>November</v>
      </c>
      <c r="I7" s="51">
        <f ca="1">DATEDIF(G7,TODAY(),"Y")</f>
        <v>22</v>
      </c>
      <c r="J7" s="52" t="s">
        <v>257</v>
      </c>
      <c r="K7" s="53">
        <v>73440</v>
      </c>
      <c r="L7" s="54">
        <v>1</v>
      </c>
    </row>
    <row r="8" spans="1:12" ht="15">
      <c r="A8" s="39" t="s">
        <v>843</v>
      </c>
      <c r="B8" s="46" t="s">
        <v>245</v>
      </c>
      <c r="C8" s="39" t="s">
        <v>296</v>
      </c>
      <c r="D8" s="72">
        <v>796079833</v>
      </c>
      <c r="E8" s="73">
        <v>2525327906</v>
      </c>
      <c r="F8" s="39" t="s">
        <v>261</v>
      </c>
      <c r="G8" s="81">
        <v>35564</v>
      </c>
      <c r="H8" s="105" t="str">
        <f>CHOOSE(MONTH(G8),"January","February","March","April","May","June","July","August","September","October","November","December")</f>
        <v>May</v>
      </c>
      <c r="I8" s="51">
        <f ca="1">DATEDIF(G8,TODAY(),"Y")</f>
        <v>19</v>
      </c>
      <c r="J8" s="52" t="s">
        <v>257</v>
      </c>
      <c r="K8" s="53">
        <v>11025</v>
      </c>
      <c r="L8" s="54">
        <v>1</v>
      </c>
    </row>
    <row r="9" spans="1:12" ht="15">
      <c r="A9" s="39" t="s">
        <v>389</v>
      </c>
      <c r="B9" s="46" t="s">
        <v>245</v>
      </c>
      <c r="C9" s="39" t="s">
        <v>296</v>
      </c>
      <c r="D9" s="72">
        <v>515543972</v>
      </c>
      <c r="E9" s="73">
        <v>9193539483</v>
      </c>
      <c r="F9" s="39" t="s">
        <v>256</v>
      </c>
      <c r="G9" s="81">
        <v>36619</v>
      </c>
      <c r="H9" s="105" t="str">
        <f>CHOOSE(MONTH(G9),"January","February","March","April","May","June","July","August","September","October","November","December")</f>
        <v>April</v>
      </c>
      <c r="I9" s="51">
        <f ca="1">DATEDIF(G9,TODAY(),"Y")</f>
        <v>16</v>
      </c>
      <c r="J9" s="52" t="s">
        <v>267</v>
      </c>
      <c r="K9" s="53">
        <v>56440</v>
      </c>
      <c r="L9" s="54">
        <v>1</v>
      </c>
    </row>
    <row r="10" spans="1:12" ht="15">
      <c r="A10" s="39" t="s">
        <v>620</v>
      </c>
      <c r="B10" s="46" t="s">
        <v>285</v>
      </c>
      <c r="C10" s="39" t="s">
        <v>296</v>
      </c>
      <c r="D10" s="72">
        <v>533976888</v>
      </c>
      <c r="E10" s="73">
        <v>9192572783</v>
      </c>
      <c r="F10" s="39" t="s">
        <v>256</v>
      </c>
      <c r="G10" s="81">
        <v>36214</v>
      </c>
      <c r="H10" s="105" t="str">
        <f>CHOOSE(MONTH(G10),"January","February","March","April","May","June","July","August","September","October","November","December")</f>
        <v>February</v>
      </c>
      <c r="I10" s="51">
        <f ca="1">DATEDIF(G10,TODAY(),"Y")</f>
        <v>17</v>
      </c>
      <c r="J10" s="52" t="s">
        <v>276</v>
      </c>
      <c r="K10" s="53">
        <v>47850</v>
      </c>
      <c r="L10" s="54">
        <v>1</v>
      </c>
    </row>
    <row r="11" spans="1:12" ht="15">
      <c r="A11" s="39" t="s">
        <v>1006</v>
      </c>
      <c r="B11" s="46" t="s">
        <v>271</v>
      </c>
      <c r="C11" s="39" t="s">
        <v>307</v>
      </c>
      <c r="D11" s="72">
        <v>601942708</v>
      </c>
      <c r="E11" s="73">
        <v>9198085402</v>
      </c>
      <c r="F11" s="39" t="s">
        <v>261</v>
      </c>
      <c r="G11" s="81">
        <v>40152</v>
      </c>
      <c r="H11" s="105" t="str">
        <f>CHOOSE(MONTH(G11),"January","February","March","April","May","June","July","August","September","October","November","December")</f>
        <v>December</v>
      </c>
      <c r="I11" s="51">
        <f ca="1">DATEDIF(G11,TODAY(),"Y")</f>
        <v>6</v>
      </c>
      <c r="J11" s="52" t="s">
        <v>283</v>
      </c>
      <c r="K11" s="53">
        <v>28680</v>
      </c>
      <c r="L11" s="54">
        <v>1</v>
      </c>
    </row>
    <row r="12" spans="1:12" ht="15">
      <c r="A12" s="39" t="s">
        <v>910</v>
      </c>
      <c r="B12" s="46" t="s">
        <v>285</v>
      </c>
      <c r="C12" s="39" t="s">
        <v>312</v>
      </c>
      <c r="D12" s="72">
        <v>334574480</v>
      </c>
      <c r="E12" s="73">
        <v>2525165289</v>
      </c>
      <c r="F12" s="39" t="s">
        <v>256</v>
      </c>
      <c r="G12" s="81">
        <v>36506</v>
      </c>
      <c r="H12" s="105" t="str">
        <f>CHOOSE(MONTH(G12),"January","February","March","April","May","June","July","August","September","October","November","December")</f>
        <v>December</v>
      </c>
      <c r="I12" s="51">
        <f ca="1">DATEDIF(G12,TODAY(),"Y")</f>
        <v>16</v>
      </c>
      <c r="J12" s="52" t="s">
        <v>283</v>
      </c>
      <c r="K12" s="53">
        <v>32100</v>
      </c>
      <c r="L12" s="54">
        <v>1</v>
      </c>
    </row>
    <row r="13" spans="1:12" ht="15">
      <c r="A13" s="39" t="s">
        <v>599</v>
      </c>
      <c r="B13" s="46" t="s">
        <v>245</v>
      </c>
      <c r="C13" s="39" t="s">
        <v>312</v>
      </c>
      <c r="D13" s="72">
        <v>474999228</v>
      </c>
      <c r="E13" s="73">
        <v>9193848677</v>
      </c>
      <c r="F13" s="39" t="s">
        <v>247</v>
      </c>
      <c r="G13" s="81">
        <v>36087</v>
      </c>
      <c r="H13" s="105" t="str">
        <f>CHOOSE(MONTH(G13),"January","February","March","April","May","June","July","August","September","October","November","December")</f>
        <v>October</v>
      </c>
      <c r="I13" s="51">
        <f ca="1">DATEDIF(G13,TODAY(),"Y")</f>
        <v>18</v>
      </c>
      <c r="J13" s="52"/>
      <c r="K13" s="53">
        <v>76930</v>
      </c>
      <c r="L13" s="54">
        <v>1</v>
      </c>
    </row>
    <row r="14" spans="1:12" ht="15">
      <c r="A14" s="39" t="s">
        <v>651</v>
      </c>
      <c r="B14" s="46" t="s">
        <v>271</v>
      </c>
      <c r="C14" s="39" t="s">
        <v>312</v>
      </c>
      <c r="D14" s="72">
        <v>513140687</v>
      </c>
      <c r="E14" s="73">
        <v>9192163497</v>
      </c>
      <c r="F14" s="39" t="s">
        <v>247</v>
      </c>
      <c r="G14" s="81">
        <v>33228</v>
      </c>
      <c r="H14" s="105" t="str">
        <f>CHOOSE(MONTH(G14),"January","February","March","April","May","June","July","August","September","October","November","December")</f>
        <v>December</v>
      </c>
      <c r="I14" s="51">
        <f ca="1">DATEDIF(G14,TODAY(),"Y")</f>
        <v>25</v>
      </c>
      <c r="J14" s="52"/>
      <c r="K14" s="53">
        <v>42940</v>
      </c>
      <c r="L14" s="54">
        <v>1</v>
      </c>
    </row>
    <row r="15" spans="1:12" ht="15">
      <c r="A15" s="39" t="s">
        <v>963</v>
      </c>
      <c r="B15" s="46" t="s">
        <v>251</v>
      </c>
      <c r="C15" s="39" t="s">
        <v>312</v>
      </c>
      <c r="D15" s="72">
        <v>403504590</v>
      </c>
      <c r="E15" s="73">
        <v>9192400511</v>
      </c>
      <c r="F15" s="39" t="s">
        <v>247</v>
      </c>
      <c r="G15" s="81">
        <v>33678</v>
      </c>
      <c r="H15" s="105" t="str">
        <f>CHOOSE(MONTH(G15),"January","February","March","April","May","June","July","August","September","October","November","December")</f>
        <v>March</v>
      </c>
      <c r="I15" s="51">
        <f ca="1">DATEDIF(G15,TODAY(),"Y")</f>
        <v>24</v>
      </c>
      <c r="J15" s="52"/>
      <c r="K15" s="53">
        <v>64460</v>
      </c>
      <c r="L15" s="54">
        <v>1</v>
      </c>
    </row>
    <row r="16" spans="1:12" ht="15">
      <c r="A16" s="39" t="s">
        <v>611</v>
      </c>
      <c r="B16" s="46" t="s">
        <v>271</v>
      </c>
      <c r="C16" s="39" t="s">
        <v>312</v>
      </c>
      <c r="D16" s="72">
        <v>721169660</v>
      </c>
      <c r="E16" s="73">
        <v>2526711140</v>
      </c>
      <c r="F16" s="39" t="s">
        <v>256</v>
      </c>
      <c r="G16" s="81">
        <v>40274</v>
      </c>
      <c r="H16" s="105" t="str">
        <f>CHOOSE(MONTH(G16),"January","February","March","April","May","June","July","August","September","October","November","December")</f>
        <v>April</v>
      </c>
      <c r="I16" s="51">
        <f ca="1">DATEDIF(G16,TODAY(),"Y")</f>
        <v>6</v>
      </c>
      <c r="J16" s="52" t="s">
        <v>262</v>
      </c>
      <c r="K16" s="53">
        <v>38730</v>
      </c>
      <c r="L16" s="54">
        <v>1</v>
      </c>
    </row>
    <row r="17" spans="1:12" ht="15">
      <c r="A17" s="39" t="s">
        <v>839</v>
      </c>
      <c r="B17" s="46" t="s">
        <v>245</v>
      </c>
      <c r="C17" s="39" t="s">
        <v>312</v>
      </c>
      <c r="D17" s="72">
        <v>676534152</v>
      </c>
      <c r="E17" s="73">
        <v>9194416232</v>
      </c>
      <c r="F17" s="39" t="s">
        <v>256</v>
      </c>
      <c r="G17" s="103">
        <v>40292</v>
      </c>
      <c r="H17" s="105" t="str">
        <f>CHOOSE(MONTH(G17),"January","February","March","April","May","June","July","August","September","October","November","December")</f>
        <v>April</v>
      </c>
      <c r="I17" s="51">
        <f ca="1">DATEDIF(G17,TODAY(),"Y")</f>
        <v>6</v>
      </c>
      <c r="J17" s="52" t="s">
        <v>257</v>
      </c>
      <c r="K17" s="53">
        <v>23280</v>
      </c>
      <c r="L17" s="54">
        <v>1</v>
      </c>
    </row>
    <row r="18" spans="1:12" ht="15">
      <c r="A18" s="39" t="s">
        <v>429</v>
      </c>
      <c r="B18" s="46" t="s">
        <v>285</v>
      </c>
      <c r="C18" s="39" t="s">
        <v>372</v>
      </c>
      <c r="D18" s="72">
        <v>272036635</v>
      </c>
      <c r="E18" s="73">
        <v>2521656242</v>
      </c>
      <c r="F18" s="39" t="s">
        <v>256</v>
      </c>
      <c r="G18" s="81">
        <v>37883</v>
      </c>
      <c r="H18" s="105" t="str">
        <f>CHOOSE(MONTH(G18),"January","February","March","April","May","June","July","August","September","October","November","December")</f>
        <v>September</v>
      </c>
      <c r="I18" s="51">
        <f ca="1">DATEDIF(G18,TODAY(),"Y")</f>
        <v>13</v>
      </c>
      <c r="J18" s="52" t="s">
        <v>257</v>
      </c>
      <c r="K18" s="53">
        <v>86530</v>
      </c>
      <c r="L18" s="54">
        <v>1</v>
      </c>
    </row>
    <row r="19" spans="1:12" ht="15">
      <c r="A19" s="39" t="s">
        <v>625</v>
      </c>
      <c r="B19" s="46" t="s">
        <v>271</v>
      </c>
      <c r="C19" s="39" t="s">
        <v>381</v>
      </c>
      <c r="D19" s="72">
        <v>324622113</v>
      </c>
      <c r="E19" s="73">
        <v>9198824849</v>
      </c>
      <c r="F19" s="39" t="s">
        <v>261</v>
      </c>
      <c r="G19" s="103">
        <v>40516</v>
      </c>
      <c r="H19" s="105" t="str">
        <f>CHOOSE(MONTH(G19),"January","February","March","April","May","June","July","August","September","October","November","December")</f>
        <v>December</v>
      </c>
      <c r="I19" s="51">
        <f ca="1">DATEDIF(G19,TODAY(),"Y")</f>
        <v>5</v>
      </c>
      <c r="J19" s="52" t="s">
        <v>283</v>
      </c>
      <c r="K19" s="53">
        <v>28625</v>
      </c>
      <c r="L19" s="54">
        <v>1</v>
      </c>
    </row>
    <row r="20" spans="1:12" ht="15">
      <c r="A20" s="39" t="s">
        <v>650</v>
      </c>
      <c r="B20" s="46" t="s">
        <v>285</v>
      </c>
      <c r="C20" s="39" t="s">
        <v>381</v>
      </c>
      <c r="D20" s="72">
        <v>405297884</v>
      </c>
      <c r="E20" s="73">
        <v>2524747044</v>
      </c>
      <c r="F20" s="39" t="s">
        <v>256</v>
      </c>
      <c r="G20" s="81">
        <v>33071</v>
      </c>
      <c r="H20" s="105" t="str">
        <f>CHOOSE(MONTH(G20),"January","February","March","April","May","June","July","August","September","October","November","December")</f>
        <v>July</v>
      </c>
      <c r="I20" s="51">
        <f ca="1">DATEDIF(G20,TODAY(),"Y")</f>
        <v>26</v>
      </c>
      <c r="J20" s="52" t="s">
        <v>283</v>
      </c>
      <c r="K20" s="53">
        <v>69060</v>
      </c>
      <c r="L20" s="54">
        <v>1</v>
      </c>
    </row>
    <row r="21" spans="1:12" ht="15">
      <c r="A21" s="39" t="s">
        <v>924</v>
      </c>
      <c r="B21" s="46" t="s">
        <v>266</v>
      </c>
      <c r="C21" s="39" t="s">
        <v>381</v>
      </c>
      <c r="D21" s="72">
        <v>452692136</v>
      </c>
      <c r="E21" s="73">
        <v>2524106437</v>
      </c>
      <c r="F21" s="39" t="s">
        <v>256</v>
      </c>
      <c r="G21" s="81">
        <v>35514</v>
      </c>
      <c r="H21" s="105" t="str">
        <f>CHOOSE(MONTH(G21),"January","February","March","April","May","June","July","August","September","October","November","December")</f>
        <v>March</v>
      </c>
      <c r="I21" s="51">
        <f ca="1">DATEDIF(G21,TODAY(),"Y")</f>
        <v>19</v>
      </c>
      <c r="J21" s="52" t="s">
        <v>267</v>
      </c>
      <c r="K21" s="53">
        <v>26510</v>
      </c>
      <c r="L21" s="54">
        <v>1</v>
      </c>
    </row>
    <row r="22" spans="1:12" ht="15">
      <c r="A22" s="39" t="s">
        <v>936</v>
      </c>
      <c r="B22" s="46" t="s">
        <v>271</v>
      </c>
      <c r="C22" s="39" t="s">
        <v>391</v>
      </c>
      <c r="D22" s="72">
        <v>907491320</v>
      </c>
      <c r="E22" s="73">
        <v>2525724528</v>
      </c>
      <c r="F22" s="39" t="s">
        <v>261</v>
      </c>
      <c r="G22" s="81">
        <v>36357</v>
      </c>
      <c r="H22" s="105" t="str">
        <f>CHOOSE(MONTH(G22),"January","February","March","April","May","June","July","August","September","October","November","December")</f>
        <v>July</v>
      </c>
      <c r="I22" s="51">
        <f ca="1">DATEDIF(G22,TODAY(),"Y")</f>
        <v>17</v>
      </c>
      <c r="J22" s="52" t="s">
        <v>276</v>
      </c>
      <c r="K22" s="53">
        <v>42905</v>
      </c>
      <c r="L22" s="54">
        <v>1</v>
      </c>
    </row>
    <row r="23" spans="1:12" ht="15">
      <c r="A23" s="39" t="s">
        <v>484</v>
      </c>
      <c r="B23" s="46" t="s">
        <v>271</v>
      </c>
      <c r="C23" s="39" t="s">
        <v>391</v>
      </c>
      <c r="D23" s="72">
        <v>863161920</v>
      </c>
      <c r="E23" s="73">
        <v>2523748373</v>
      </c>
      <c r="F23" s="39" t="s">
        <v>256</v>
      </c>
      <c r="G23" s="81">
        <v>36077</v>
      </c>
      <c r="H23" s="105" t="str">
        <f>CHOOSE(MONTH(G23),"January","February","March","April","May","June","July","August","September","October","November","December")</f>
        <v>October</v>
      </c>
      <c r="I23" s="51">
        <f ca="1">DATEDIF(G23,TODAY(),"Y")</f>
        <v>18</v>
      </c>
      <c r="J23" s="52" t="s">
        <v>283</v>
      </c>
      <c r="K23" s="53">
        <v>50110</v>
      </c>
      <c r="L23" s="54">
        <v>1</v>
      </c>
    </row>
    <row r="24" spans="1:12" ht="15">
      <c r="A24" s="39" t="s">
        <v>1002</v>
      </c>
      <c r="B24" s="46" t="s">
        <v>271</v>
      </c>
      <c r="C24" s="39" t="s">
        <v>391</v>
      </c>
      <c r="D24" s="72">
        <v>197789466</v>
      </c>
      <c r="E24" s="73">
        <v>9191472895</v>
      </c>
      <c r="F24" s="39" t="s">
        <v>247</v>
      </c>
      <c r="G24" s="81">
        <v>35737</v>
      </c>
      <c r="H24" s="105" t="str">
        <f>CHOOSE(MONTH(G24),"January","February","March","April","May","June","July","August","September","October","November","December")</f>
        <v>November</v>
      </c>
      <c r="I24" s="51">
        <f ca="1">DATEDIF(G24,TODAY(),"Y")</f>
        <v>19</v>
      </c>
      <c r="J24" s="52"/>
      <c r="K24" s="53">
        <v>76020</v>
      </c>
      <c r="L24" s="54">
        <v>1</v>
      </c>
    </row>
    <row r="25" spans="1:12" ht="15">
      <c r="A25" s="39" t="s">
        <v>871</v>
      </c>
      <c r="B25" s="46" t="s">
        <v>266</v>
      </c>
      <c r="C25" s="39" t="s">
        <v>391</v>
      </c>
      <c r="D25" s="72">
        <v>434927073</v>
      </c>
      <c r="E25" s="73">
        <v>2528440900</v>
      </c>
      <c r="F25" s="39" t="s">
        <v>256</v>
      </c>
      <c r="G25" s="81">
        <v>37612</v>
      </c>
      <c r="H25" s="105" t="str">
        <f>CHOOSE(MONTH(G25),"January","February","March","April","May","June","July","August","September","October","November","December")</f>
        <v>December</v>
      </c>
      <c r="I25" s="51">
        <f ca="1">DATEDIF(G25,TODAY(),"Y")</f>
        <v>13</v>
      </c>
      <c r="J25" s="52" t="s">
        <v>267</v>
      </c>
      <c r="K25" s="53">
        <v>39740</v>
      </c>
      <c r="L25" s="54">
        <v>1</v>
      </c>
    </row>
    <row r="26" spans="1:12" ht="15">
      <c r="A26" s="39" t="s">
        <v>819</v>
      </c>
      <c r="B26" s="46" t="s">
        <v>285</v>
      </c>
      <c r="C26" s="39" t="s">
        <v>391</v>
      </c>
      <c r="D26" s="72">
        <v>694800128</v>
      </c>
      <c r="E26" s="73">
        <v>9197111802</v>
      </c>
      <c r="F26" s="39" t="s">
        <v>256</v>
      </c>
      <c r="G26" s="81">
        <v>36269</v>
      </c>
      <c r="H26" s="105" t="str">
        <f>CHOOSE(MONTH(G26),"January","February","March","April","May","June","July","August","September","October","November","December")</f>
        <v>April</v>
      </c>
      <c r="I26" s="51">
        <f ca="1">DATEDIF(G26,TODAY(),"Y")</f>
        <v>17</v>
      </c>
      <c r="J26" s="52" t="s">
        <v>283</v>
      </c>
      <c r="K26" s="53">
        <v>61330</v>
      </c>
      <c r="L26" s="54">
        <v>1</v>
      </c>
    </row>
    <row r="27" spans="1:12" ht="15">
      <c r="A27" s="39" t="s">
        <v>923</v>
      </c>
      <c r="B27" s="46" t="s">
        <v>285</v>
      </c>
      <c r="C27" s="39" t="s">
        <v>417</v>
      </c>
      <c r="D27" s="72">
        <v>302598687</v>
      </c>
      <c r="E27" s="73">
        <v>9195394899</v>
      </c>
      <c r="F27" s="39" t="s">
        <v>256</v>
      </c>
      <c r="G27" s="81">
        <v>34086</v>
      </c>
      <c r="H27" s="105" t="str">
        <f>CHOOSE(MONTH(G27),"January","February","March","April","May","June","July","August","September","October","November","December")</f>
        <v>April</v>
      </c>
      <c r="I27" s="51">
        <f ca="1">DATEDIF(G27,TODAY(),"Y")</f>
        <v>23</v>
      </c>
      <c r="J27" s="52" t="s">
        <v>257</v>
      </c>
      <c r="K27" s="53">
        <v>31840</v>
      </c>
      <c r="L27" s="54">
        <v>1</v>
      </c>
    </row>
    <row r="28" spans="1:12" ht="15">
      <c r="A28" s="39" t="s">
        <v>528</v>
      </c>
      <c r="B28" s="46" t="s">
        <v>285</v>
      </c>
      <c r="C28" s="39" t="s">
        <v>417</v>
      </c>
      <c r="D28" s="72">
        <v>541365827</v>
      </c>
      <c r="E28" s="73">
        <v>2525317859</v>
      </c>
      <c r="F28" s="39" t="s">
        <v>256</v>
      </c>
      <c r="G28" s="81">
        <v>38135</v>
      </c>
      <c r="H28" s="105" t="str">
        <f>CHOOSE(MONTH(G28),"January","February","March","April","May","June","July","August","September","October","November","December")</f>
        <v>May</v>
      </c>
      <c r="I28" s="51">
        <f ca="1">DATEDIF(G28,TODAY(),"Y")</f>
        <v>12</v>
      </c>
      <c r="J28" s="52" t="s">
        <v>267</v>
      </c>
      <c r="K28" s="53">
        <v>65560</v>
      </c>
      <c r="L28" s="54">
        <v>1</v>
      </c>
    </row>
    <row r="29" spans="1:12" ht="15">
      <c r="A29" s="39" t="s">
        <v>997</v>
      </c>
      <c r="B29" s="46" t="s">
        <v>271</v>
      </c>
      <c r="C29" s="39" t="s">
        <v>417</v>
      </c>
      <c r="D29" s="72">
        <v>571821715</v>
      </c>
      <c r="E29" s="73">
        <v>2527102355</v>
      </c>
      <c r="F29" s="39" t="s">
        <v>256</v>
      </c>
      <c r="G29" s="81">
        <v>35605</v>
      </c>
      <c r="H29" s="105" t="str">
        <f>CHOOSE(MONTH(G29),"January","February","March","April","May","June","July","August","September","October","November","December")</f>
        <v>June</v>
      </c>
      <c r="I29" s="51">
        <f ca="1">DATEDIF(G29,TODAY(),"Y")</f>
        <v>19</v>
      </c>
      <c r="J29" s="52" t="s">
        <v>283</v>
      </c>
      <c r="K29" s="53">
        <v>56870</v>
      </c>
      <c r="L29" s="54">
        <v>1</v>
      </c>
    </row>
    <row r="30" spans="1:12" ht="15">
      <c r="A30" s="39" t="s">
        <v>495</v>
      </c>
      <c r="B30" s="46" t="s">
        <v>271</v>
      </c>
      <c r="C30" s="39" t="s">
        <v>456</v>
      </c>
      <c r="D30" s="72">
        <v>861884260</v>
      </c>
      <c r="E30" s="73">
        <v>9196632360</v>
      </c>
      <c r="F30" s="39" t="s">
        <v>256</v>
      </c>
      <c r="G30" s="81">
        <v>33385</v>
      </c>
      <c r="H30" s="105" t="str">
        <f>CHOOSE(MONTH(G30),"January","February","March","April","May","June","July","August","September","October","November","December")</f>
        <v>May</v>
      </c>
      <c r="I30" s="51">
        <f ca="1">DATEDIF(G30,TODAY(),"Y")</f>
        <v>25</v>
      </c>
      <c r="J30" s="52" t="s">
        <v>257</v>
      </c>
      <c r="K30" s="53">
        <v>89140</v>
      </c>
      <c r="L30" s="54">
        <v>1</v>
      </c>
    </row>
    <row r="31" spans="1:12" ht="15">
      <c r="A31" s="39" t="s">
        <v>860</v>
      </c>
      <c r="B31" s="46" t="s">
        <v>280</v>
      </c>
      <c r="C31" s="39" t="s">
        <v>456</v>
      </c>
      <c r="D31" s="72">
        <v>477110649</v>
      </c>
      <c r="E31" s="73">
        <v>9191351512</v>
      </c>
      <c r="F31" s="39" t="s">
        <v>256</v>
      </c>
      <c r="G31" s="81">
        <v>37043</v>
      </c>
      <c r="H31" s="105" t="str">
        <f>CHOOSE(MONTH(G31),"January","February","March","April","May","June","July","August","September","October","November","December")</f>
        <v>June</v>
      </c>
      <c r="I31" s="51">
        <f ca="1">DATEDIF(G31,TODAY(),"Y")</f>
        <v>15</v>
      </c>
      <c r="J31" s="52" t="s">
        <v>262</v>
      </c>
      <c r="K31" s="53">
        <v>45150</v>
      </c>
      <c r="L31" s="54">
        <v>1</v>
      </c>
    </row>
    <row r="32" spans="1:12" ht="15">
      <c r="A32" s="39" t="s">
        <v>821</v>
      </c>
      <c r="B32" s="46" t="s">
        <v>285</v>
      </c>
      <c r="C32" s="39" t="s">
        <v>456</v>
      </c>
      <c r="D32" s="72">
        <v>875920441</v>
      </c>
      <c r="E32" s="73">
        <v>9191715499</v>
      </c>
      <c r="F32" s="39" t="s">
        <v>261</v>
      </c>
      <c r="G32" s="81">
        <v>37505</v>
      </c>
      <c r="H32" s="105" t="str">
        <f>CHOOSE(MONTH(G32),"January","February","March","April","May","June","July","August","September","October","November","December")</f>
        <v>September</v>
      </c>
      <c r="I32" s="51">
        <f ca="1">DATEDIF(G32,TODAY(),"Y")</f>
        <v>14</v>
      </c>
      <c r="J32" s="52" t="s">
        <v>276</v>
      </c>
      <c r="K32" s="53">
        <v>51800</v>
      </c>
      <c r="L32" s="54">
        <v>1</v>
      </c>
    </row>
    <row r="33" spans="1:12" ht="15">
      <c r="A33" s="39" t="s">
        <v>320</v>
      </c>
      <c r="B33" s="46" t="s">
        <v>285</v>
      </c>
      <c r="C33" s="39" t="s">
        <v>465</v>
      </c>
      <c r="D33" s="72">
        <v>564908088</v>
      </c>
      <c r="E33" s="73">
        <v>9193386758</v>
      </c>
      <c r="F33" s="39" t="s">
        <v>256</v>
      </c>
      <c r="G33" s="81">
        <v>38377</v>
      </c>
      <c r="H33" s="105" t="str">
        <f>CHOOSE(MONTH(G33),"January","February","March","April","May","June","July","August","September","October","November","December")</f>
        <v>January</v>
      </c>
      <c r="I33" s="51">
        <f ca="1">DATEDIF(G33,TODAY(),"Y")</f>
        <v>11</v>
      </c>
      <c r="J33" s="52" t="s">
        <v>257</v>
      </c>
      <c r="K33" s="53">
        <v>87760</v>
      </c>
      <c r="L33" s="54">
        <v>1</v>
      </c>
    </row>
    <row r="34" spans="1:12" ht="15">
      <c r="A34" s="39" t="s">
        <v>325</v>
      </c>
      <c r="B34" s="46" t="s">
        <v>271</v>
      </c>
      <c r="C34" s="39" t="s">
        <v>465</v>
      </c>
      <c r="D34" s="72">
        <v>984570981</v>
      </c>
      <c r="E34" s="73">
        <v>2528155179</v>
      </c>
      <c r="F34" s="39" t="s">
        <v>261</v>
      </c>
      <c r="G34" s="81">
        <v>36269</v>
      </c>
      <c r="H34" s="105" t="str">
        <f>CHOOSE(MONTH(G34),"January","February","March","April","May","June","July","August","September","October","November","December")</f>
        <v>April</v>
      </c>
      <c r="I34" s="51">
        <f ca="1">DATEDIF(G34,TODAY(),"Y")</f>
        <v>17</v>
      </c>
      <c r="J34" s="52" t="s">
        <v>283</v>
      </c>
      <c r="K34" s="53">
        <v>48190</v>
      </c>
      <c r="L34" s="54">
        <v>1</v>
      </c>
    </row>
    <row r="35" spans="1:12" ht="15">
      <c r="A35" s="39" t="s">
        <v>483</v>
      </c>
      <c r="B35" s="46" t="s">
        <v>251</v>
      </c>
      <c r="C35" s="39" t="s">
        <v>465</v>
      </c>
      <c r="D35" s="72">
        <v>338977629</v>
      </c>
      <c r="E35" s="73">
        <v>2524252315</v>
      </c>
      <c r="F35" s="39" t="s">
        <v>256</v>
      </c>
      <c r="G35" s="81">
        <v>35801</v>
      </c>
      <c r="H35" s="105" t="str">
        <f>CHOOSE(MONTH(G35),"January","February","March","April","May","June","July","August","September","October","November","December")</f>
        <v>January</v>
      </c>
      <c r="I35" s="51">
        <f ca="1">DATEDIF(G35,TODAY(),"Y")</f>
        <v>18</v>
      </c>
      <c r="J35" s="52" t="s">
        <v>257</v>
      </c>
      <c r="K35" s="53">
        <v>78570</v>
      </c>
      <c r="L35" s="54">
        <v>1</v>
      </c>
    </row>
    <row r="36" spans="1:12" ht="15">
      <c r="A36" s="39" t="s">
        <v>854</v>
      </c>
      <c r="B36" s="46" t="s">
        <v>285</v>
      </c>
      <c r="C36" s="39" t="s">
        <v>465</v>
      </c>
      <c r="D36" s="72">
        <v>167058119</v>
      </c>
      <c r="E36" s="73">
        <v>2527237007</v>
      </c>
      <c r="F36" s="39" t="s">
        <v>252</v>
      </c>
      <c r="G36" s="81">
        <v>37730</v>
      </c>
      <c r="H36" s="105" t="str">
        <f>CHOOSE(MONTH(G36),"January","February","March","April","May","June","July","August","September","October","November","December")</f>
        <v>April</v>
      </c>
      <c r="I36" s="51">
        <f ca="1">DATEDIF(G36,TODAY(),"Y")</f>
        <v>13</v>
      </c>
      <c r="J36" s="52"/>
      <c r="K36" s="53">
        <v>8892</v>
      </c>
      <c r="L36" s="54">
        <v>1</v>
      </c>
    </row>
    <row r="37" spans="1:12" ht="15">
      <c r="A37" s="39" t="s">
        <v>724</v>
      </c>
      <c r="B37" s="46" t="s">
        <v>245</v>
      </c>
      <c r="C37" s="39" t="s">
        <v>465</v>
      </c>
      <c r="D37" s="72">
        <v>353414196</v>
      </c>
      <c r="E37" s="73">
        <v>2528159919</v>
      </c>
      <c r="F37" s="39" t="s">
        <v>256</v>
      </c>
      <c r="G37" s="81">
        <v>36698</v>
      </c>
      <c r="H37" s="105" t="str">
        <f>CHOOSE(MONTH(G37),"January","February","March","April","May","June","July","August","September","October","November","December")</f>
        <v>June</v>
      </c>
      <c r="I37" s="51">
        <f ca="1">DATEDIF(G37,TODAY(),"Y")</f>
        <v>16</v>
      </c>
      <c r="J37" s="52" t="s">
        <v>267</v>
      </c>
      <c r="K37" s="53">
        <v>23650</v>
      </c>
      <c r="L37" s="54">
        <v>1</v>
      </c>
    </row>
    <row r="38" spans="1:12" ht="15">
      <c r="A38" s="39" t="s">
        <v>478</v>
      </c>
      <c r="B38" s="46" t="s">
        <v>251</v>
      </c>
      <c r="C38" s="39" t="s">
        <v>465</v>
      </c>
      <c r="D38" s="72">
        <v>317844971</v>
      </c>
      <c r="E38" s="73">
        <v>9193557946</v>
      </c>
      <c r="F38" s="39" t="s">
        <v>247</v>
      </c>
      <c r="G38" s="81">
        <v>35927</v>
      </c>
      <c r="H38" s="105" t="str">
        <f>CHOOSE(MONTH(G38),"January","February","March","April","May","June","July","August","September","October","November","December")</f>
        <v>May</v>
      </c>
      <c r="I38" s="51">
        <f ca="1">DATEDIF(G38,TODAY(),"Y")</f>
        <v>18</v>
      </c>
      <c r="J38" s="52"/>
      <c r="K38" s="53">
        <v>76910</v>
      </c>
      <c r="L38" s="54">
        <v>1</v>
      </c>
    </row>
    <row r="39" spans="1:12" ht="15">
      <c r="A39" s="39" t="s">
        <v>899</v>
      </c>
      <c r="B39" s="46" t="s">
        <v>271</v>
      </c>
      <c r="C39" s="39" t="s">
        <v>465</v>
      </c>
      <c r="D39" s="72">
        <v>995858336</v>
      </c>
      <c r="E39" s="73">
        <v>2525035104</v>
      </c>
      <c r="F39" s="39" t="s">
        <v>247</v>
      </c>
      <c r="G39" s="81">
        <v>40470</v>
      </c>
      <c r="H39" s="105" t="str">
        <f>CHOOSE(MONTH(G39),"January","February","March","April","May","June","July","August","September","October","November","December")</f>
        <v>October</v>
      </c>
      <c r="I39" s="51">
        <f ca="1">DATEDIF(G39,TODAY(),"Y")</f>
        <v>6</v>
      </c>
      <c r="J39" s="52"/>
      <c r="K39" s="53">
        <v>37840</v>
      </c>
      <c r="L39" s="54">
        <v>1</v>
      </c>
    </row>
    <row r="40" spans="1:12" ht="15">
      <c r="A40" s="39" t="s">
        <v>507</v>
      </c>
      <c r="B40" s="46" t="s">
        <v>245</v>
      </c>
      <c r="C40" s="39" t="s">
        <v>465</v>
      </c>
      <c r="D40" s="72">
        <v>561968668</v>
      </c>
      <c r="E40" s="73">
        <v>2522433774</v>
      </c>
      <c r="F40" s="39" t="s">
        <v>256</v>
      </c>
      <c r="G40" s="81">
        <v>38809</v>
      </c>
      <c r="H40" s="105" t="str">
        <f>CHOOSE(MONTH(G40),"January","February","March","April","May","June","July","August","September","October","November","December")</f>
        <v>April</v>
      </c>
      <c r="I40" s="51">
        <f ca="1">DATEDIF(G40,TODAY(),"Y")</f>
        <v>10</v>
      </c>
      <c r="J40" s="52" t="s">
        <v>262</v>
      </c>
      <c r="K40" s="53">
        <v>76584</v>
      </c>
      <c r="L40" s="54">
        <v>1</v>
      </c>
    </row>
    <row r="41" spans="1:12" ht="15">
      <c r="A41" s="39" t="s">
        <v>878</v>
      </c>
      <c r="B41" s="46" t="s">
        <v>266</v>
      </c>
      <c r="C41" s="39" t="s">
        <v>465</v>
      </c>
      <c r="D41" s="72">
        <v>143534593</v>
      </c>
      <c r="E41" s="73">
        <v>2527172882</v>
      </c>
      <c r="F41" s="39" t="s">
        <v>247</v>
      </c>
      <c r="G41" s="81">
        <v>37820</v>
      </c>
      <c r="H41" s="105" t="str">
        <f>CHOOSE(MONTH(G41),"January","February","March","April","May","June","July","August","September","October","November","December")</f>
        <v>July</v>
      </c>
      <c r="I41" s="51">
        <f ca="1">DATEDIF(G41,TODAY(),"Y")</f>
        <v>13</v>
      </c>
      <c r="J41" s="52"/>
      <c r="K41" s="53">
        <v>75420</v>
      </c>
      <c r="L41" s="54">
        <v>1</v>
      </c>
    </row>
    <row r="42" spans="1:12" ht="15">
      <c r="A42" s="39" t="s">
        <v>862</v>
      </c>
      <c r="B42" s="46" t="s">
        <v>285</v>
      </c>
      <c r="C42" s="39" t="s">
        <v>465</v>
      </c>
      <c r="D42" s="72">
        <v>377194926</v>
      </c>
      <c r="E42" s="73">
        <v>9197362525</v>
      </c>
      <c r="F42" s="39" t="s">
        <v>256</v>
      </c>
      <c r="G42" s="103">
        <v>40603</v>
      </c>
      <c r="H42" s="105" t="str">
        <f>CHOOSE(MONTH(G42),"January","February","March","April","May","June","July","August","September","October","November","December")</f>
        <v>March</v>
      </c>
      <c r="I42" s="51">
        <f ca="1">DATEDIF(G42,TODAY(),"Y")</f>
        <v>5</v>
      </c>
      <c r="J42" s="52" t="s">
        <v>267</v>
      </c>
      <c r="K42" s="53">
        <v>44260</v>
      </c>
      <c r="L42" s="54">
        <v>1</v>
      </c>
    </row>
    <row r="43" spans="1:12" ht="15">
      <c r="A43" s="39" t="s">
        <v>652</v>
      </c>
      <c r="B43" s="46" t="s">
        <v>245</v>
      </c>
      <c r="C43" s="39" t="s">
        <v>465</v>
      </c>
      <c r="D43" s="72">
        <v>488831244</v>
      </c>
      <c r="E43" s="73">
        <v>9198979762</v>
      </c>
      <c r="F43" s="39" t="s">
        <v>261</v>
      </c>
      <c r="G43" s="81">
        <v>37620</v>
      </c>
      <c r="H43" s="105" t="str">
        <f>CHOOSE(MONTH(G43),"January","February","March","April","May","June","July","August","September","October","November","December")</f>
        <v>December</v>
      </c>
      <c r="I43" s="51">
        <f ca="1">DATEDIF(G43,TODAY(),"Y")</f>
        <v>13</v>
      </c>
      <c r="J43" s="52" t="s">
        <v>257</v>
      </c>
      <c r="K43" s="53">
        <v>24460</v>
      </c>
      <c r="L43" s="54">
        <v>1</v>
      </c>
    </row>
    <row r="44" spans="1:12" ht="15">
      <c r="A44" s="39" t="s">
        <v>304</v>
      </c>
      <c r="B44" s="46" t="s">
        <v>280</v>
      </c>
      <c r="C44" s="39" t="s">
        <v>465</v>
      </c>
      <c r="D44" s="72">
        <v>366740174</v>
      </c>
      <c r="E44" s="73">
        <v>2521549933</v>
      </c>
      <c r="F44" s="39" t="s">
        <v>252</v>
      </c>
      <c r="G44" s="81">
        <v>34165</v>
      </c>
      <c r="H44" s="105" t="str">
        <f>CHOOSE(MONTH(G44),"January","February","March","April","May","June","July","August","September","October","November","December")</f>
        <v>July</v>
      </c>
      <c r="I44" s="51">
        <f ca="1">DATEDIF(G44,TODAY(),"Y")</f>
        <v>23</v>
      </c>
      <c r="J44" s="52"/>
      <c r="K44" s="53">
        <v>30416</v>
      </c>
      <c r="L44" s="54">
        <v>1</v>
      </c>
    </row>
    <row r="45" spans="1:12" ht="15">
      <c r="A45" s="39" t="s">
        <v>510</v>
      </c>
      <c r="B45" s="46" t="s">
        <v>266</v>
      </c>
      <c r="C45" s="39" t="s">
        <v>465</v>
      </c>
      <c r="D45" s="72">
        <v>590896401</v>
      </c>
      <c r="E45" s="73">
        <v>2523122603</v>
      </c>
      <c r="F45" s="39" t="s">
        <v>256</v>
      </c>
      <c r="G45" s="81">
        <v>38321</v>
      </c>
      <c r="H45" s="105" t="str">
        <f>CHOOSE(MONTH(G45),"January","February","March","April","May","June","July","August","September","October","November","December")</f>
        <v>November</v>
      </c>
      <c r="I45" s="51">
        <f ca="1">DATEDIF(G45,TODAY(),"Y")</f>
        <v>11</v>
      </c>
      <c r="J45" s="52" t="s">
        <v>262</v>
      </c>
      <c r="K45" s="53">
        <v>70760</v>
      </c>
      <c r="L45" s="54">
        <v>1</v>
      </c>
    </row>
    <row r="46" spans="1:12" ht="15">
      <c r="A46" s="39" t="s">
        <v>885</v>
      </c>
      <c r="B46" s="46" t="s">
        <v>285</v>
      </c>
      <c r="C46" s="39" t="s">
        <v>465</v>
      </c>
      <c r="D46" s="72">
        <v>475517002</v>
      </c>
      <c r="E46" s="73">
        <v>2523909820</v>
      </c>
      <c r="F46" s="39" t="s">
        <v>256</v>
      </c>
      <c r="G46" s="81">
        <v>36318</v>
      </c>
      <c r="H46" s="105" t="str">
        <f>CHOOSE(MONTH(G46),"January","February","March","April","May","June","July","August","September","October","November","December")</f>
        <v>June</v>
      </c>
      <c r="I46" s="51">
        <f ca="1">DATEDIF(G46,TODAY(),"Y")</f>
        <v>17</v>
      </c>
      <c r="J46" s="52" t="s">
        <v>283</v>
      </c>
      <c r="K46" s="53">
        <v>68750</v>
      </c>
      <c r="L46" s="54">
        <v>1</v>
      </c>
    </row>
    <row r="47" spans="1:12" ht="15">
      <c r="A47" s="39" t="s">
        <v>401</v>
      </c>
      <c r="B47" s="46" t="s">
        <v>285</v>
      </c>
      <c r="C47" s="39" t="s">
        <v>465</v>
      </c>
      <c r="D47" s="72">
        <v>914330398</v>
      </c>
      <c r="E47" s="73">
        <v>9193498222</v>
      </c>
      <c r="F47" s="39" t="s">
        <v>256</v>
      </c>
      <c r="G47" s="81">
        <v>38821</v>
      </c>
      <c r="H47" s="105" t="str">
        <f>CHOOSE(MONTH(G47),"January","February","March","April","May","June","July","August","September","October","November","December")</f>
        <v>April</v>
      </c>
      <c r="I47" s="51">
        <f ca="1">DATEDIF(G47,TODAY(),"Y")</f>
        <v>10</v>
      </c>
      <c r="J47" s="52" t="s">
        <v>283</v>
      </c>
      <c r="K47" s="53">
        <v>65720</v>
      </c>
      <c r="L47" s="54">
        <v>1</v>
      </c>
    </row>
    <row r="48" spans="1:12" ht="15">
      <c r="A48" s="39" t="s">
        <v>608</v>
      </c>
      <c r="B48" s="46" t="s">
        <v>271</v>
      </c>
      <c r="C48" s="39" t="s">
        <v>465</v>
      </c>
      <c r="D48" s="72">
        <v>512405919</v>
      </c>
      <c r="E48" s="73">
        <v>9195858234</v>
      </c>
      <c r="F48" s="39" t="s">
        <v>256</v>
      </c>
      <c r="G48" s="81">
        <v>37436</v>
      </c>
      <c r="H48" s="105" t="str">
        <f>CHOOSE(MONTH(G48),"January","February","March","April","May","June","July","August","September","October","November","December")</f>
        <v>June</v>
      </c>
      <c r="I48" s="51">
        <f ca="1">DATEDIF(G48,TODAY(),"Y")</f>
        <v>14</v>
      </c>
      <c r="J48" s="52" t="s">
        <v>267</v>
      </c>
      <c r="K48" s="53">
        <v>64130</v>
      </c>
      <c r="L48" s="54">
        <v>1</v>
      </c>
    </row>
    <row r="49" spans="1:12" ht="15">
      <c r="A49" s="39" t="s">
        <v>604</v>
      </c>
      <c r="B49" s="46" t="s">
        <v>271</v>
      </c>
      <c r="C49" s="39" t="s">
        <v>465</v>
      </c>
      <c r="D49" s="72">
        <v>698869555</v>
      </c>
      <c r="E49" s="73">
        <v>2526052545</v>
      </c>
      <c r="F49" s="39" t="s">
        <v>261</v>
      </c>
      <c r="G49" s="81">
        <v>36503</v>
      </c>
      <c r="H49" s="105" t="str">
        <f>CHOOSE(MONTH(G49),"January","February","March","April","May","June","July","August","September","October","November","December")</f>
        <v>December</v>
      </c>
      <c r="I49" s="51">
        <f ca="1">DATEDIF(G49,TODAY(),"Y")</f>
        <v>16</v>
      </c>
      <c r="J49" s="52" t="s">
        <v>267</v>
      </c>
      <c r="K49" s="53">
        <v>41615</v>
      </c>
      <c r="L49" s="54">
        <v>1</v>
      </c>
    </row>
    <row r="50" spans="1:12" ht="15">
      <c r="A50" s="39" t="s">
        <v>772</v>
      </c>
      <c r="B50" s="46" t="s">
        <v>285</v>
      </c>
      <c r="C50" s="39" t="s">
        <v>465</v>
      </c>
      <c r="D50" s="72">
        <v>251824309</v>
      </c>
      <c r="E50" s="73">
        <v>9197950668</v>
      </c>
      <c r="F50" s="39" t="s">
        <v>247</v>
      </c>
      <c r="G50" s="81">
        <v>36729</v>
      </c>
      <c r="H50" s="105" t="str">
        <f>CHOOSE(MONTH(G50),"January","February","March","April","May","June","July","August","September","October","November","December")</f>
        <v>July</v>
      </c>
      <c r="I50" s="51">
        <f ca="1">DATEDIF(G50,TODAY(),"Y")</f>
        <v>16</v>
      </c>
      <c r="J50" s="52"/>
      <c r="K50" s="53">
        <v>45420</v>
      </c>
      <c r="L50" s="54">
        <v>1</v>
      </c>
    </row>
    <row r="51" spans="1:12" ht="15">
      <c r="A51" s="39" t="s">
        <v>785</v>
      </c>
      <c r="B51" s="46" t="s">
        <v>285</v>
      </c>
      <c r="C51" s="39" t="s">
        <v>465</v>
      </c>
      <c r="D51" s="72">
        <v>682500261</v>
      </c>
      <c r="E51" s="73">
        <v>9191163627</v>
      </c>
      <c r="F51" s="39" t="s">
        <v>256</v>
      </c>
      <c r="G51" s="81">
        <v>34881</v>
      </c>
      <c r="H51" s="105" t="str">
        <f>CHOOSE(MONTH(G51),"January","February","March","April","May","June","July","August","September","October","November","December")</f>
        <v>July</v>
      </c>
      <c r="I51" s="51">
        <f ca="1">DATEDIF(G51,TODAY(),"Y")</f>
        <v>21</v>
      </c>
      <c r="J51" s="52" t="s">
        <v>262</v>
      </c>
      <c r="K51" s="53">
        <v>63070</v>
      </c>
      <c r="L51" s="54">
        <v>1</v>
      </c>
    </row>
    <row r="52" spans="1:12" ht="15">
      <c r="A52" s="39" t="s">
        <v>845</v>
      </c>
      <c r="B52" s="46" t="s">
        <v>280</v>
      </c>
      <c r="C52" s="39" t="s">
        <v>465</v>
      </c>
      <c r="D52" s="72">
        <v>596008829</v>
      </c>
      <c r="E52" s="73">
        <v>9198721709</v>
      </c>
      <c r="F52" s="39" t="s">
        <v>247</v>
      </c>
      <c r="G52" s="81">
        <v>36011</v>
      </c>
      <c r="H52" s="105" t="str">
        <f>CHOOSE(MONTH(G52),"January","February","March","April","May","June","July","August","September","October","November","December")</f>
        <v>August</v>
      </c>
      <c r="I52" s="51">
        <f ca="1">DATEDIF(G52,TODAY(),"Y")</f>
        <v>18</v>
      </c>
      <c r="J52" s="52"/>
      <c r="K52" s="53">
        <v>45050</v>
      </c>
      <c r="L52" s="54">
        <v>1</v>
      </c>
    </row>
    <row r="53" spans="1:12" ht="15">
      <c r="A53" s="39" t="s">
        <v>792</v>
      </c>
      <c r="B53" s="46" t="s">
        <v>285</v>
      </c>
      <c r="C53" s="39" t="s">
        <v>465</v>
      </c>
      <c r="D53" s="72">
        <v>110547055</v>
      </c>
      <c r="E53" s="73">
        <v>2526966637</v>
      </c>
      <c r="F53" s="39" t="s">
        <v>261</v>
      </c>
      <c r="G53" s="81">
        <v>36360</v>
      </c>
      <c r="H53" s="105" t="str">
        <f>CHOOSE(MONTH(G53),"January","February","March","April","May","June","July","August","September","October","November","December")</f>
        <v>July</v>
      </c>
      <c r="I53" s="51">
        <f ca="1">DATEDIF(G53,TODAY(),"Y")</f>
        <v>17</v>
      </c>
      <c r="J53" s="52" t="s">
        <v>283</v>
      </c>
      <c r="K53" s="53">
        <v>11065</v>
      </c>
      <c r="L53" s="54">
        <v>1</v>
      </c>
    </row>
    <row r="54" spans="1:12" ht="15">
      <c r="A54" s="39" t="s">
        <v>775</v>
      </c>
      <c r="B54" s="46" t="s">
        <v>280</v>
      </c>
      <c r="C54" s="39" t="s">
        <v>465</v>
      </c>
      <c r="D54" s="72">
        <v>350104448</v>
      </c>
      <c r="E54" s="73">
        <v>9193883356</v>
      </c>
      <c r="F54" s="39" t="s">
        <v>256</v>
      </c>
      <c r="G54" s="81">
        <v>35529</v>
      </c>
      <c r="H54" s="105" t="str">
        <f>CHOOSE(MONTH(G54),"January","February","March","April","May","June","July","August","September","October","November","December")</f>
        <v>April</v>
      </c>
      <c r="I54" s="51">
        <f ca="1">DATEDIF(G54,TODAY(),"Y")</f>
        <v>19</v>
      </c>
      <c r="J54" s="52" t="s">
        <v>267</v>
      </c>
      <c r="K54" s="53">
        <v>44920</v>
      </c>
      <c r="L54" s="54">
        <v>1</v>
      </c>
    </row>
    <row r="55" spans="1:12" ht="15">
      <c r="A55" s="39" t="s">
        <v>710</v>
      </c>
      <c r="B55" s="46" t="s">
        <v>271</v>
      </c>
      <c r="C55" s="39" t="s">
        <v>465</v>
      </c>
      <c r="D55" s="72">
        <v>853268713</v>
      </c>
      <c r="E55" s="73">
        <v>9192712826</v>
      </c>
      <c r="F55" s="39" t="s">
        <v>256</v>
      </c>
      <c r="G55" s="81">
        <v>35589</v>
      </c>
      <c r="H55" s="105" t="str">
        <f>CHOOSE(MONTH(G55),"January","February","March","April","May","June","July","August","September","October","November","December")</f>
        <v>June</v>
      </c>
      <c r="I55" s="51">
        <f ca="1">DATEDIF(G55,TODAY(),"Y")</f>
        <v>19</v>
      </c>
      <c r="J55" s="52" t="s">
        <v>257</v>
      </c>
      <c r="K55" s="53">
        <v>60280</v>
      </c>
      <c r="L55" s="54">
        <v>1</v>
      </c>
    </row>
    <row r="56" spans="1:12" ht="15">
      <c r="A56" s="39" t="s">
        <v>756</v>
      </c>
      <c r="B56" s="46" t="s">
        <v>271</v>
      </c>
      <c r="C56" s="39" t="s">
        <v>465</v>
      </c>
      <c r="D56" s="72">
        <v>676030562</v>
      </c>
      <c r="E56" s="73">
        <v>9198253211</v>
      </c>
      <c r="F56" s="39" t="s">
        <v>256</v>
      </c>
      <c r="G56" s="81">
        <v>35695</v>
      </c>
      <c r="H56" s="105" t="str">
        <f>CHOOSE(MONTH(G56),"January","February","March","April","May","June","July","August","September","October","November","December")</f>
        <v>September</v>
      </c>
      <c r="I56" s="51">
        <f ca="1">DATEDIF(G56,TODAY(),"Y")</f>
        <v>19</v>
      </c>
      <c r="J56" s="52" t="s">
        <v>257</v>
      </c>
      <c r="K56" s="53">
        <v>60100</v>
      </c>
      <c r="L56" s="54">
        <v>1</v>
      </c>
    </row>
    <row r="57" spans="1:12" ht="15">
      <c r="A57" s="39" t="s">
        <v>697</v>
      </c>
      <c r="B57" s="46" t="s">
        <v>245</v>
      </c>
      <c r="C57" s="39" t="s">
        <v>465</v>
      </c>
      <c r="D57" s="72">
        <v>467030396</v>
      </c>
      <c r="E57" s="73">
        <v>2526213620</v>
      </c>
      <c r="F57" s="39" t="s">
        <v>256</v>
      </c>
      <c r="G57" s="81">
        <v>33720</v>
      </c>
      <c r="H57" s="105" t="str">
        <f>CHOOSE(MONTH(G57),"January","February","March","April","May","June","July","August","September","October","November","December")</f>
        <v>April</v>
      </c>
      <c r="I57" s="51">
        <f ca="1">DATEDIF(G57,TODAY(),"Y")</f>
        <v>24</v>
      </c>
      <c r="J57" s="52" t="s">
        <v>283</v>
      </c>
      <c r="K57" s="53">
        <v>58910</v>
      </c>
      <c r="L57" s="54">
        <v>1</v>
      </c>
    </row>
    <row r="58" spans="1:12" ht="15">
      <c r="A58" s="39" t="s">
        <v>760</v>
      </c>
      <c r="B58" s="46" t="s">
        <v>245</v>
      </c>
      <c r="C58" s="39" t="s">
        <v>465</v>
      </c>
      <c r="D58" s="72">
        <v>470935648</v>
      </c>
      <c r="E58" s="73">
        <v>9192053579</v>
      </c>
      <c r="F58" s="39" t="s">
        <v>247</v>
      </c>
      <c r="G58" s="81">
        <v>38537</v>
      </c>
      <c r="H58" s="105" t="str">
        <f>CHOOSE(MONTH(G58),"January","February","March","April","May","June","July","August","September","October","November","December")</f>
        <v>July</v>
      </c>
      <c r="I58" s="51">
        <f ca="1">DATEDIF(G58,TODAY(),"Y")</f>
        <v>11</v>
      </c>
      <c r="J58" s="52"/>
      <c r="K58" s="53">
        <v>39680</v>
      </c>
      <c r="L58" s="54">
        <v>1</v>
      </c>
    </row>
    <row r="59" spans="1:12" ht="15">
      <c r="A59" s="39" t="s">
        <v>423</v>
      </c>
      <c r="B59" s="46" t="s">
        <v>245</v>
      </c>
      <c r="C59" s="39" t="s">
        <v>465</v>
      </c>
      <c r="D59" s="72">
        <v>313128501</v>
      </c>
      <c r="E59" s="73">
        <v>9193184277</v>
      </c>
      <c r="F59" s="39" t="s">
        <v>252</v>
      </c>
      <c r="G59" s="81">
        <v>35490</v>
      </c>
      <c r="H59" s="105" t="str">
        <f>CHOOSE(MONTH(G59),"January","February","March","April","May","June","July","August","September","October","November","December")</f>
        <v>March</v>
      </c>
      <c r="I59" s="51">
        <f ca="1">DATEDIF(G59,TODAY(),"Y")</f>
        <v>19</v>
      </c>
      <c r="J59" s="52"/>
      <c r="K59" s="53">
        <v>22472</v>
      </c>
      <c r="L59" s="54">
        <v>1</v>
      </c>
    </row>
    <row r="60" spans="1:12" ht="15">
      <c r="A60" s="39" t="s">
        <v>842</v>
      </c>
      <c r="B60" s="46" t="s">
        <v>285</v>
      </c>
      <c r="C60" s="39" t="s">
        <v>626</v>
      </c>
      <c r="D60" s="72">
        <v>567266382</v>
      </c>
      <c r="E60" s="73">
        <v>2521683770</v>
      </c>
      <c r="F60" s="39" t="s">
        <v>256</v>
      </c>
      <c r="G60" s="81">
        <v>36116</v>
      </c>
      <c r="H60" s="105" t="str">
        <f>CHOOSE(MONTH(G60),"January","February","March","April","May","June","July","August","September","October","November","December")</f>
        <v>November</v>
      </c>
      <c r="I60" s="51">
        <f ca="1">DATEDIF(G60,TODAY(),"Y")</f>
        <v>17</v>
      </c>
      <c r="J60" s="52" t="s">
        <v>276</v>
      </c>
      <c r="K60" s="53">
        <v>49770</v>
      </c>
      <c r="L60" s="54">
        <v>1</v>
      </c>
    </row>
    <row r="61" spans="1:12" ht="15">
      <c r="A61" s="39" t="s">
        <v>712</v>
      </c>
      <c r="B61" s="46" t="s">
        <v>251</v>
      </c>
      <c r="C61" s="39" t="s">
        <v>626</v>
      </c>
      <c r="D61" s="72">
        <v>159415552</v>
      </c>
      <c r="E61" s="73">
        <v>9194221208</v>
      </c>
      <c r="F61" s="39" t="s">
        <v>256</v>
      </c>
      <c r="G61" s="81">
        <v>33765</v>
      </c>
      <c r="H61" s="105" t="str">
        <f>CHOOSE(MONTH(G61),"January","February","March","April","May","June","July","August","September","October","November","December")</f>
        <v>June</v>
      </c>
      <c r="I61" s="51">
        <f ca="1">DATEDIF(G61,TODAY(),"Y")</f>
        <v>24</v>
      </c>
      <c r="J61" s="52" t="s">
        <v>262</v>
      </c>
      <c r="K61" s="53">
        <v>73930</v>
      </c>
      <c r="L61" s="54">
        <v>1</v>
      </c>
    </row>
    <row r="62" spans="1:12" ht="15">
      <c r="A62" s="39" t="s">
        <v>794</v>
      </c>
      <c r="B62" s="46" t="s">
        <v>251</v>
      </c>
      <c r="C62" s="39" t="s">
        <v>626</v>
      </c>
      <c r="D62" s="72">
        <v>154984918</v>
      </c>
      <c r="E62" s="73">
        <v>2521575684</v>
      </c>
      <c r="F62" s="39" t="s">
        <v>256</v>
      </c>
      <c r="G62" s="81">
        <v>33407</v>
      </c>
      <c r="H62" s="105" t="str">
        <f>CHOOSE(MONTH(G62),"January","February","March","April","May","June","July","August","September","October","November","December")</f>
        <v>June</v>
      </c>
      <c r="I62" s="51">
        <f ca="1">DATEDIF(G62,TODAY(),"Y")</f>
        <v>25</v>
      </c>
      <c r="J62" s="52" t="s">
        <v>257</v>
      </c>
      <c r="K62" s="53">
        <v>22900</v>
      </c>
      <c r="L62" s="54">
        <v>1</v>
      </c>
    </row>
    <row r="63" spans="1:12" ht="15">
      <c r="A63" s="39" t="s">
        <v>683</v>
      </c>
      <c r="B63" s="46" t="s">
        <v>285</v>
      </c>
      <c r="C63" s="39" t="s">
        <v>626</v>
      </c>
      <c r="D63" s="72">
        <v>294161481</v>
      </c>
      <c r="E63" s="73">
        <v>2521201242</v>
      </c>
      <c r="F63" s="39" t="s">
        <v>261</v>
      </c>
      <c r="G63" s="81">
        <v>36094</v>
      </c>
      <c r="H63" s="105" t="str">
        <f>CHOOSE(MONTH(G63),"January","February","March","April","May","June","July","August","September","October","November","December")</f>
        <v>October</v>
      </c>
      <c r="I63" s="51">
        <f ca="1">DATEDIF(G63,TODAY(),"Y")</f>
        <v>18</v>
      </c>
      <c r="J63" s="52" t="s">
        <v>257</v>
      </c>
      <c r="K63" s="53">
        <v>47885</v>
      </c>
      <c r="L63" s="54">
        <v>1</v>
      </c>
    </row>
    <row r="64" spans="1:12" ht="15">
      <c r="A64" s="39" t="s">
        <v>485</v>
      </c>
      <c r="B64" s="46" t="s">
        <v>245</v>
      </c>
      <c r="C64" s="39" t="s">
        <v>626</v>
      </c>
      <c r="D64" s="72">
        <v>372693786</v>
      </c>
      <c r="E64" s="73">
        <v>9198211050</v>
      </c>
      <c r="F64" s="39" t="s">
        <v>261</v>
      </c>
      <c r="G64" s="81">
        <v>37138</v>
      </c>
      <c r="H64" s="105" t="str">
        <f>CHOOSE(MONTH(G64),"January","February","March","April","May","June","July","August","September","October","November","December")</f>
        <v>September</v>
      </c>
      <c r="I64" s="51">
        <f ca="1">DATEDIF(G64,TODAY(),"Y")</f>
        <v>15</v>
      </c>
      <c r="J64" s="52" t="s">
        <v>262</v>
      </c>
      <c r="K64" s="53">
        <v>31110</v>
      </c>
      <c r="L64" s="54">
        <v>1</v>
      </c>
    </row>
    <row r="65" spans="1:12" ht="15">
      <c r="A65" s="39" t="s">
        <v>922</v>
      </c>
      <c r="B65" s="46" t="s">
        <v>285</v>
      </c>
      <c r="C65" s="39" t="s">
        <v>678</v>
      </c>
      <c r="D65" s="72">
        <v>802700229</v>
      </c>
      <c r="E65" s="73">
        <v>2524264889</v>
      </c>
      <c r="F65" s="39" t="s">
        <v>256</v>
      </c>
      <c r="G65" s="81">
        <v>33904</v>
      </c>
      <c r="H65" s="105" t="str">
        <f>CHOOSE(MONTH(G65),"January","February","March","April","May","June","July","August","September","October","November","December")</f>
        <v>October</v>
      </c>
      <c r="I65" s="51">
        <f ca="1">DATEDIF(G65,TODAY(),"Y")</f>
        <v>24</v>
      </c>
      <c r="J65" s="52" t="s">
        <v>262</v>
      </c>
      <c r="K65" s="53">
        <v>87980</v>
      </c>
      <c r="L65" s="54">
        <v>1</v>
      </c>
    </row>
    <row r="66" spans="1:12" ht="15">
      <c r="A66" s="39" t="s">
        <v>291</v>
      </c>
      <c r="B66" s="46" t="s">
        <v>285</v>
      </c>
      <c r="C66" s="39" t="s">
        <v>700</v>
      </c>
      <c r="D66" s="72">
        <v>974912089</v>
      </c>
      <c r="E66" s="73">
        <v>9192601200</v>
      </c>
      <c r="F66" s="39" t="s">
        <v>256</v>
      </c>
      <c r="G66" s="81">
        <v>34814</v>
      </c>
      <c r="H66" s="105" t="str">
        <f>CHOOSE(MONTH(G66),"January","February","March","April","May","June","July","August","September","October","November","December")</f>
        <v>April</v>
      </c>
      <c r="I66" s="51">
        <f ca="1">DATEDIF(G66,TODAY(),"Y")</f>
        <v>21</v>
      </c>
      <c r="J66" s="52" t="s">
        <v>257</v>
      </c>
      <c r="K66" s="53">
        <v>63190</v>
      </c>
      <c r="L66" s="54">
        <v>1</v>
      </c>
    </row>
    <row r="67" spans="1:12" ht="15">
      <c r="A67" s="39" t="s">
        <v>928</v>
      </c>
      <c r="B67" s="46" t="s">
        <v>271</v>
      </c>
      <c r="C67" s="39" t="s">
        <v>705</v>
      </c>
      <c r="D67" s="72">
        <v>948252103</v>
      </c>
      <c r="E67" s="73">
        <v>9197430732</v>
      </c>
      <c r="F67" s="39" t="s">
        <v>252</v>
      </c>
      <c r="G67" s="81">
        <v>36329</v>
      </c>
      <c r="H67" s="105" t="str">
        <f>CHOOSE(MONTH(G67),"January","February","March","April","May","June","July","August","September","October","November","December")</f>
        <v>June</v>
      </c>
      <c r="I67" s="51">
        <f ca="1">DATEDIF(G67,TODAY(),"Y")</f>
        <v>17</v>
      </c>
      <c r="J67" s="52"/>
      <c r="K67" s="53">
        <v>39764</v>
      </c>
      <c r="L67" s="54">
        <v>1</v>
      </c>
    </row>
    <row r="68" spans="1:12" ht="15">
      <c r="A68" s="39" t="s">
        <v>991</v>
      </c>
      <c r="B68" s="46" t="s">
        <v>251</v>
      </c>
      <c r="C68" s="39" t="s">
        <v>705</v>
      </c>
      <c r="D68" s="72">
        <v>711445298</v>
      </c>
      <c r="E68" s="73">
        <v>2528359862</v>
      </c>
      <c r="F68" s="39" t="s">
        <v>247</v>
      </c>
      <c r="G68" s="109">
        <v>40620</v>
      </c>
      <c r="H68" s="105" t="str">
        <f>CHOOSE(MONTH(G68),"January","February","March","April","May","June","July","August","September","October","November","December")</f>
        <v>March</v>
      </c>
      <c r="I68" s="51">
        <f ca="1">DATEDIF(G68,TODAY(),"Y")</f>
        <v>5</v>
      </c>
      <c r="J68" s="52"/>
      <c r="K68" s="53">
        <v>84300</v>
      </c>
      <c r="L68" s="54">
        <v>1</v>
      </c>
    </row>
    <row r="69" spans="1:12" ht="15">
      <c r="A69" s="39" t="s">
        <v>600</v>
      </c>
      <c r="B69" s="46" t="s">
        <v>245</v>
      </c>
      <c r="C69" s="39" t="s">
        <v>705</v>
      </c>
      <c r="D69" s="72">
        <v>847051774</v>
      </c>
      <c r="E69" s="73">
        <v>2522881600</v>
      </c>
      <c r="F69" s="39" t="s">
        <v>256</v>
      </c>
      <c r="G69" s="81">
        <v>39657</v>
      </c>
      <c r="H69" s="105" t="str">
        <f>CHOOSE(MONTH(G69),"January","February","March","April","May","June","July","August","September","October","November","December")</f>
        <v>July</v>
      </c>
      <c r="I69" s="51">
        <f ca="1">DATEDIF(G69,TODAY(),"Y")</f>
        <v>8</v>
      </c>
      <c r="J69" s="52" t="s">
        <v>276</v>
      </c>
      <c r="K69" s="53">
        <v>80880</v>
      </c>
      <c r="L69" s="54">
        <v>1</v>
      </c>
    </row>
    <row r="70" spans="1:12" ht="15">
      <c r="A70" s="39" t="s">
        <v>1001</v>
      </c>
      <c r="B70" s="46" t="s">
        <v>251</v>
      </c>
      <c r="C70" s="39" t="s">
        <v>705</v>
      </c>
      <c r="D70" s="72">
        <v>302854692</v>
      </c>
      <c r="E70" s="73">
        <v>2528651774</v>
      </c>
      <c r="F70" s="39" t="s">
        <v>261</v>
      </c>
      <c r="G70" s="81">
        <v>34617</v>
      </c>
      <c r="H70" s="105" t="str">
        <f>CHOOSE(MONTH(G70),"January","February","March","April","May","June","July","August","September","October","November","December")</f>
        <v>October</v>
      </c>
      <c r="I70" s="51">
        <f ca="1">DATEDIF(G70,TODAY(),"Y")</f>
        <v>22</v>
      </c>
      <c r="J70" s="52" t="s">
        <v>257</v>
      </c>
      <c r="K70" s="53">
        <v>13435</v>
      </c>
      <c r="L70" s="54">
        <v>1</v>
      </c>
    </row>
    <row r="71" spans="1:12" ht="15">
      <c r="A71" s="39" t="s">
        <v>791</v>
      </c>
      <c r="B71" s="46" t="s">
        <v>245</v>
      </c>
      <c r="C71" s="39" t="s">
        <v>705</v>
      </c>
      <c r="D71" s="72">
        <v>294130565</v>
      </c>
      <c r="E71" s="73">
        <v>9193744359</v>
      </c>
      <c r="F71" s="39" t="s">
        <v>256</v>
      </c>
      <c r="G71" s="81">
        <v>33636</v>
      </c>
      <c r="H71" s="105" t="str">
        <f>CHOOSE(MONTH(G71),"January","February","March","April","May","June","July","August","September","October","November","December")</f>
        <v>February</v>
      </c>
      <c r="I71" s="51">
        <f ca="1">DATEDIF(G71,TODAY(),"Y")</f>
        <v>24</v>
      </c>
      <c r="J71" s="52" t="s">
        <v>257</v>
      </c>
      <c r="K71" s="53">
        <v>26360</v>
      </c>
      <c r="L71" s="54">
        <v>1</v>
      </c>
    </row>
    <row r="72" spans="1:12" ht="15">
      <c r="A72" s="39" t="s">
        <v>606</v>
      </c>
      <c r="B72" s="46" t="s">
        <v>285</v>
      </c>
      <c r="C72" s="39" t="s">
        <v>705</v>
      </c>
      <c r="D72" s="72">
        <v>210173249</v>
      </c>
      <c r="E72" s="73">
        <v>2525780571</v>
      </c>
      <c r="F72" s="39" t="s">
        <v>247</v>
      </c>
      <c r="G72" s="81">
        <v>33811</v>
      </c>
      <c r="H72" s="105" t="str">
        <f>CHOOSE(MONTH(G72),"January","February","March","April","May","June","July","August","September","October","November","December")</f>
        <v>July</v>
      </c>
      <c r="I72" s="51">
        <f ca="1">DATEDIF(G72,TODAY(),"Y")</f>
        <v>24</v>
      </c>
      <c r="J72" s="52"/>
      <c r="K72" s="53">
        <v>32650</v>
      </c>
      <c r="L72" s="54">
        <v>1</v>
      </c>
    </row>
    <row r="73" spans="1:12" ht="15">
      <c r="A73" s="39" t="s">
        <v>476</v>
      </c>
      <c r="B73" s="46" t="s">
        <v>271</v>
      </c>
      <c r="C73" s="39" t="s">
        <v>705</v>
      </c>
      <c r="D73" s="72">
        <v>960967007</v>
      </c>
      <c r="E73" s="73">
        <v>9194694995</v>
      </c>
      <c r="F73" s="39" t="s">
        <v>247</v>
      </c>
      <c r="G73" s="81">
        <v>36623</v>
      </c>
      <c r="H73" s="105" t="str">
        <f>CHOOSE(MONTH(G73),"January","February","March","April","May","June","July","August","September","October","November","December")</f>
        <v>April</v>
      </c>
      <c r="I73" s="51">
        <f ca="1">DATEDIF(G73,TODAY(),"Y")</f>
        <v>16</v>
      </c>
      <c r="J73" s="52"/>
      <c r="K73" s="53">
        <v>30300</v>
      </c>
      <c r="L73" s="54">
        <v>1</v>
      </c>
    </row>
    <row r="74" spans="1:12" ht="15">
      <c r="A74" s="39" t="s">
        <v>830</v>
      </c>
      <c r="B74" s="46" t="s">
        <v>285</v>
      </c>
      <c r="C74" s="39" t="s">
        <v>705</v>
      </c>
      <c r="D74" s="72">
        <v>881242432</v>
      </c>
      <c r="E74" s="73">
        <v>9193957018</v>
      </c>
      <c r="F74" s="39" t="s">
        <v>256</v>
      </c>
      <c r="G74" s="81">
        <v>33928</v>
      </c>
      <c r="H74" s="105" t="str">
        <f>CHOOSE(MONTH(G74),"January","February","March","April","May","June","July","August","September","October","November","December")</f>
        <v>November</v>
      </c>
      <c r="I74" s="51">
        <f ca="1">DATEDIF(G74,TODAY(),"Y")</f>
        <v>23</v>
      </c>
      <c r="J74" s="52" t="s">
        <v>262</v>
      </c>
      <c r="K74" s="53">
        <v>68010</v>
      </c>
      <c r="L74" s="54">
        <v>1</v>
      </c>
    </row>
    <row r="75" spans="1:12" ht="15">
      <c r="A75" s="39" t="s">
        <v>914</v>
      </c>
      <c r="B75" s="46" t="s">
        <v>245</v>
      </c>
      <c r="C75" s="39" t="s">
        <v>705</v>
      </c>
      <c r="D75" s="72">
        <v>869524136</v>
      </c>
      <c r="E75" s="73">
        <v>9193640748</v>
      </c>
      <c r="F75" s="39" t="s">
        <v>256</v>
      </c>
      <c r="G75" s="81">
        <v>35339</v>
      </c>
      <c r="H75" s="105" t="str">
        <f>CHOOSE(MONTH(G75),"January","February","March","April","May","June","July","August","September","October","November","December")</f>
        <v>October</v>
      </c>
      <c r="I75" s="51">
        <f ca="1">DATEDIF(G75,TODAY(),"Y")</f>
        <v>20</v>
      </c>
      <c r="J75" s="52" t="s">
        <v>283</v>
      </c>
      <c r="K75" s="53">
        <v>43410</v>
      </c>
      <c r="L75" s="54">
        <v>1</v>
      </c>
    </row>
    <row r="76" spans="1:12" ht="15">
      <c r="A76" s="39" t="s">
        <v>846</v>
      </c>
      <c r="B76" s="46" t="s">
        <v>266</v>
      </c>
      <c r="C76" s="39" t="s">
        <v>705</v>
      </c>
      <c r="D76" s="72">
        <v>851400058</v>
      </c>
      <c r="E76" s="73">
        <v>9196012031</v>
      </c>
      <c r="F76" s="39" t="s">
        <v>261</v>
      </c>
      <c r="G76" s="103">
        <v>40393</v>
      </c>
      <c r="H76" s="105" t="str">
        <f>CHOOSE(MONTH(G76),"January","February","March","April","May","June","July","August","September","October","November","December")</f>
        <v>August</v>
      </c>
      <c r="I76" s="51">
        <f ca="1">DATEDIF(G76,TODAY(),"Y")</f>
        <v>6</v>
      </c>
      <c r="J76" s="52" t="s">
        <v>257</v>
      </c>
      <c r="K76" s="53">
        <v>16925</v>
      </c>
      <c r="L76" s="54">
        <v>1</v>
      </c>
    </row>
    <row r="77" spans="1:12" ht="15">
      <c r="A77" s="39" t="s">
        <v>806</v>
      </c>
      <c r="B77" s="46" t="s">
        <v>285</v>
      </c>
      <c r="C77" s="39" t="s">
        <v>705</v>
      </c>
      <c r="D77" s="72">
        <v>489013842</v>
      </c>
      <c r="E77" s="73">
        <v>2521658481</v>
      </c>
      <c r="F77" s="39" t="s">
        <v>261</v>
      </c>
      <c r="G77" s="81">
        <v>36695</v>
      </c>
      <c r="H77" s="105" t="str">
        <f>CHOOSE(MONTH(G77),"January","February","March","April","May","June","July","August","September","October","November","December")</f>
        <v>June</v>
      </c>
      <c r="I77" s="51">
        <f ca="1">DATEDIF(G77,TODAY(),"Y")</f>
        <v>16</v>
      </c>
      <c r="J77" s="52" t="s">
        <v>283</v>
      </c>
      <c r="K77" s="53">
        <v>29005</v>
      </c>
      <c r="L77" s="54">
        <v>1</v>
      </c>
    </row>
    <row r="78" spans="1:12" ht="15">
      <c r="A78" s="39" t="s">
        <v>956</v>
      </c>
      <c r="B78" s="46" t="s">
        <v>285</v>
      </c>
      <c r="C78" s="39" t="s">
        <v>750</v>
      </c>
      <c r="D78" s="72">
        <v>852430023</v>
      </c>
      <c r="E78" s="73">
        <v>9195506190</v>
      </c>
      <c r="F78" s="39" t="s">
        <v>261</v>
      </c>
      <c r="G78" s="81">
        <v>33112</v>
      </c>
      <c r="H78" s="105" t="str">
        <f>CHOOSE(MONTH(G78),"January","February","March","April","May","June","July","August","September","October","November","December")</f>
        <v>August</v>
      </c>
      <c r="I78" s="51">
        <f ca="1">DATEDIF(G78,TODAY(),"Y")</f>
        <v>26</v>
      </c>
      <c r="J78" s="52" t="s">
        <v>267</v>
      </c>
      <c r="K78" s="53">
        <v>24815</v>
      </c>
      <c r="L78" s="54">
        <v>1</v>
      </c>
    </row>
    <row r="79" spans="1:12" ht="15">
      <c r="A79" s="39" t="s">
        <v>765</v>
      </c>
      <c r="B79" s="46" t="s">
        <v>285</v>
      </c>
      <c r="C79" s="39" t="s">
        <v>750</v>
      </c>
      <c r="D79" s="72">
        <v>198564686</v>
      </c>
      <c r="E79" s="78">
        <v>2523355100</v>
      </c>
      <c r="F79" s="39" t="s">
        <v>256</v>
      </c>
      <c r="G79" s="81">
        <v>33246</v>
      </c>
      <c r="H79" s="105" t="str">
        <f>CHOOSE(MONTH(G79),"January","February","March","April","May","June","July","August","September","October","November","December")</f>
        <v>January</v>
      </c>
      <c r="I79" s="51">
        <f ca="1">DATEDIF(G79,TODAY(),"Y")</f>
        <v>25</v>
      </c>
      <c r="J79" s="52" t="s">
        <v>257</v>
      </c>
      <c r="K79" s="53">
        <v>71730</v>
      </c>
      <c r="L79" s="54">
        <v>1</v>
      </c>
    </row>
    <row r="80" spans="1:12" ht="15">
      <c r="A80" s="39" t="s">
        <v>984</v>
      </c>
      <c r="B80" s="46" t="s">
        <v>271</v>
      </c>
      <c r="C80" s="39" t="s">
        <v>767</v>
      </c>
      <c r="D80" s="72">
        <v>737152868</v>
      </c>
      <c r="E80" s="73">
        <v>9191124357</v>
      </c>
      <c r="F80" s="39" t="s">
        <v>256</v>
      </c>
      <c r="G80" s="81">
        <v>36673</v>
      </c>
      <c r="H80" s="105" t="str">
        <f>CHOOSE(MONTH(G80),"January","February","March","April","May","June","July","August","September","October","November","December")</f>
        <v>May</v>
      </c>
      <c r="I80" s="51">
        <f ca="1">DATEDIF(G80,TODAY(),"Y")</f>
        <v>16</v>
      </c>
      <c r="J80" s="52" t="s">
        <v>276</v>
      </c>
      <c r="K80" s="53">
        <v>48330</v>
      </c>
      <c r="L80" s="54">
        <v>1</v>
      </c>
    </row>
    <row r="81" spans="1:12" ht="15">
      <c r="A81" s="39" t="s">
        <v>364</v>
      </c>
      <c r="B81" s="46" t="s">
        <v>271</v>
      </c>
      <c r="C81" s="39" t="s">
        <v>767</v>
      </c>
      <c r="D81" s="72">
        <v>505680981</v>
      </c>
      <c r="E81" s="73">
        <v>2527557761</v>
      </c>
      <c r="F81" s="39" t="s">
        <v>256</v>
      </c>
      <c r="G81" s="81">
        <v>37138</v>
      </c>
      <c r="H81" s="105" t="str">
        <f>CHOOSE(MONTH(G81),"January","February","March","April","May","June","July","August","September","October","November","December")</f>
        <v>September</v>
      </c>
      <c r="I81" s="51">
        <f ca="1">DATEDIF(G81,TODAY(),"Y")</f>
        <v>15</v>
      </c>
      <c r="J81" s="52" t="s">
        <v>257</v>
      </c>
      <c r="K81" s="53">
        <v>29130</v>
      </c>
      <c r="L81" s="54">
        <v>1</v>
      </c>
    </row>
    <row r="82" spans="1:12" ht="15">
      <c r="A82" s="39" t="s">
        <v>352</v>
      </c>
      <c r="B82" s="46" t="s">
        <v>271</v>
      </c>
      <c r="C82" s="39" t="s">
        <v>767</v>
      </c>
      <c r="D82" s="72">
        <v>728567428</v>
      </c>
      <c r="E82" s="73">
        <v>2521957923</v>
      </c>
      <c r="F82" s="39" t="s">
        <v>256</v>
      </c>
      <c r="G82" s="81">
        <v>40624</v>
      </c>
      <c r="H82" s="105" t="str">
        <f>CHOOSE(MONTH(G82),"January","February","March","April","May","June","July","August","September","October","November","December")</f>
        <v>March</v>
      </c>
      <c r="I82" s="51">
        <f ca="1">DATEDIF(G82,TODAY(),"Y")</f>
        <v>5</v>
      </c>
      <c r="J82" s="52" t="s">
        <v>276</v>
      </c>
      <c r="K82" s="53">
        <v>86500</v>
      </c>
      <c r="L82" s="54">
        <v>1</v>
      </c>
    </row>
    <row r="83" spans="1:12" ht="15">
      <c r="A83" s="39" t="s">
        <v>557</v>
      </c>
      <c r="B83" s="46" t="s">
        <v>271</v>
      </c>
      <c r="C83" s="39" t="s">
        <v>767</v>
      </c>
      <c r="D83" s="72">
        <v>462650472</v>
      </c>
      <c r="E83" s="73">
        <v>2521276517</v>
      </c>
      <c r="F83" s="39" t="s">
        <v>247</v>
      </c>
      <c r="G83" s="81">
        <v>33402</v>
      </c>
      <c r="H83" s="105" t="str">
        <f>CHOOSE(MONTH(G83),"January","February","March","April","May","June","July","August","September","October","November","December")</f>
        <v>June</v>
      </c>
      <c r="I83" s="51">
        <f ca="1">DATEDIF(G83,TODAY(),"Y")</f>
        <v>25</v>
      </c>
      <c r="J83" s="52"/>
      <c r="K83" s="53">
        <v>79380</v>
      </c>
      <c r="L83" s="54">
        <v>1</v>
      </c>
    </row>
    <row r="84" spans="1:12" ht="15">
      <c r="A84" s="39" t="s">
        <v>995</v>
      </c>
      <c r="B84" s="46" t="s">
        <v>245</v>
      </c>
      <c r="C84" s="39" t="s">
        <v>767</v>
      </c>
      <c r="D84" s="72">
        <v>106686151</v>
      </c>
      <c r="E84" s="73">
        <v>2521246633</v>
      </c>
      <c r="F84" s="39" t="s">
        <v>247</v>
      </c>
      <c r="G84" s="81">
        <v>36086</v>
      </c>
      <c r="H84" s="105" t="str">
        <f>CHOOSE(MONTH(G84),"January","February","March","April","May","June","July","August","September","October","November","December")</f>
        <v>October</v>
      </c>
      <c r="I84" s="51">
        <f ca="1">DATEDIF(G84,TODAY(),"Y")</f>
        <v>18</v>
      </c>
      <c r="J84" s="52"/>
      <c r="K84" s="53">
        <v>47520</v>
      </c>
      <c r="L84" s="54">
        <v>1</v>
      </c>
    </row>
    <row r="85" spans="1:12" ht="15">
      <c r="A85" s="39" t="s">
        <v>584</v>
      </c>
      <c r="B85" s="46" t="s">
        <v>271</v>
      </c>
      <c r="C85" s="39" t="s">
        <v>767</v>
      </c>
      <c r="D85" s="72">
        <v>503036433</v>
      </c>
      <c r="E85" s="73">
        <v>9192453666</v>
      </c>
      <c r="F85" s="39" t="s">
        <v>256</v>
      </c>
      <c r="G85" s="81">
        <v>33460</v>
      </c>
      <c r="H85" s="105" t="str">
        <f>CHOOSE(MONTH(G85),"January","February","March","April","May","June","July","August","September","October","November","December")</f>
        <v>August</v>
      </c>
      <c r="I85" s="51">
        <f ca="1">DATEDIF(G85,TODAY(),"Y")</f>
        <v>25</v>
      </c>
      <c r="J85" s="52" t="s">
        <v>267</v>
      </c>
      <c r="K85" s="53">
        <v>77740</v>
      </c>
      <c r="L85" s="54">
        <v>1</v>
      </c>
    </row>
    <row r="86" spans="1:12" ht="15">
      <c r="A86" s="39" t="s">
        <v>426</v>
      </c>
      <c r="B86" s="46" t="s">
        <v>285</v>
      </c>
      <c r="C86" s="39" t="s">
        <v>767</v>
      </c>
      <c r="D86" s="72">
        <v>592519945</v>
      </c>
      <c r="E86" s="73">
        <v>9195990200</v>
      </c>
      <c r="F86" s="39" t="s">
        <v>256</v>
      </c>
      <c r="G86" s="81">
        <v>39446</v>
      </c>
      <c r="H86" s="105" t="str">
        <f>CHOOSE(MONTH(G86),"January","February","March","April","May","June","July","August","September","October","November","December")</f>
        <v>December</v>
      </c>
      <c r="I86" s="51">
        <f ca="1">DATEDIF(G86,TODAY(),"Y")</f>
        <v>8</v>
      </c>
      <c r="J86" s="52" t="s">
        <v>257</v>
      </c>
      <c r="K86" s="53">
        <v>44650</v>
      </c>
      <c r="L86" s="54">
        <v>1</v>
      </c>
    </row>
    <row r="87" spans="1:12" ht="15">
      <c r="A87" s="39" t="s">
        <v>670</v>
      </c>
      <c r="B87" s="46" t="s">
        <v>285</v>
      </c>
      <c r="C87" s="39" t="s">
        <v>767</v>
      </c>
      <c r="D87" s="72">
        <v>963000861</v>
      </c>
      <c r="E87" s="73">
        <v>2522792063</v>
      </c>
      <c r="F87" s="39" t="s">
        <v>247</v>
      </c>
      <c r="G87" s="81">
        <v>35146</v>
      </c>
      <c r="H87" s="105" t="str">
        <f>CHOOSE(MONTH(G87),"January","February","March","April","May","June","July","August","September","October","November","December")</f>
        <v>March</v>
      </c>
      <c r="I87" s="51">
        <f ca="1">DATEDIF(G87,TODAY(),"Y")</f>
        <v>20</v>
      </c>
      <c r="J87" s="52"/>
      <c r="K87" s="53">
        <v>73190</v>
      </c>
      <c r="L87" s="54">
        <v>1</v>
      </c>
    </row>
    <row r="88" spans="1:12" ht="15">
      <c r="A88" s="39" t="s">
        <v>757</v>
      </c>
      <c r="B88" s="46" t="s">
        <v>280</v>
      </c>
      <c r="C88" s="39" t="s">
        <v>767</v>
      </c>
      <c r="D88" s="72">
        <v>486016972</v>
      </c>
      <c r="E88" s="73">
        <v>9194532398</v>
      </c>
      <c r="F88" s="39" t="s">
        <v>261</v>
      </c>
      <c r="G88" s="81">
        <v>39728</v>
      </c>
      <c r="H88" s="105" t="str">
        <f>CHOOSE(MONTH(G88),"January","February","March","April","May","June","July","August","September","October","November","December")</f>
        <v>October</v>
      </c>
      <c r="I88" s="51">
        <f ca="1">DATEDIF(G88,TODAY(),"Y")</f>
        <v>8</v>
      </c>
      <c r="J88" s="52" t="s">
        <v>257</v>
      </c>
      <c r="K88" s="53">
        <v>45565</v>
      </c>
      <c r="L88" s="54">
        <v>1</v>
      </c>
    </row>
    <row r="89" spans="1:12" ht="15">
      <c r="A89" s="39" t="s">
        <v>974</v>
      </c>
      <c r="B89" s="46" t="s">
        <v>266</v>
      </c>
      <c r="C89" s="39" t="s">
        <v>767</v>
      </c>
      <c r="D89" s="72">
        <v>868364739</v>
      </c>
      <c r="E89" s="73">
        <v>9195255121</v>
      </c>
      <c r="F89" s="39" t="s">
        <v>261</v>
      </c>
      <c r="G89" s="81">
        <v>40293</v>
      </c>
      <c r="H89" s="105" t="str">
        <f>CHOOSE(MONTH(G89),"January","February","March","April","May","June","July","August","September","October","November","December")</f>
        <v>April</v>
      </c>
      <c r="I89" s="51">
        <f ca="1">DATEDIF(G89,TODAY(),"Y")</f>
        <v>6</v>
      </c>
      <c r="J89" s="52" t="s">
        <v>257</v>
      </c>
      <c r="K89" s="53">
        <v>11810</v>
      </c>
      <c r="L89" s="54">
        <v>1</v>
      </c>
    </row>
    <row r="90" spans="1:12" ht="15">
      <c r="A90" s="39" t="s">
        <v>434</v>
      </c>
      <c r="B90" s="46" t="s">
        <v>285</v>
      </c>
      <c r="C90" s="39" t="s">
        <v>767</v>
      </c>
      <c r="D90" s="72">
        <v>302170290</v>
      </c>
      <c r="E90" s="73">
        <v>9191971988</v>
      </c>
      <c r="F90" s="39" t="s">
        <v>256</v>
      </c>
      <c r="G90" s="81">
        <v>35528</v>
      </c>
      <c r="H90" s="105" t="str">
        <f>CHOOSE(MONTH(G90),"January","February","March","April","May","June","July","August","September","October","November","December")</f>
        <v>April</v>
      </c>
      <c r="I90" s="51">
        <f ca="1">DATEDIF(G90,TODAY(),"Y")</f>
        <v>19</v>
      </c>
      <c r="J90" s="52" t="s">
        <v>257</v>
      </c>
      <c r="K90" s="53">
        <v>63270</v>
      </c>
      <c r="L90" s="54">
        <v>1</v>
      </c>
    </row>
    <row r="91" spans="1:12" ht="15">
      <c r="A91" s="39" t="s">
        <v>642</v>
      </c>
      <c r="B91" s="46" t="s">
        <v>285</v>
      </c>
      <c r="C91" s="39" t="s">
        <v>767</v>
      </c>
      <c r="D91" s="72">
        <v>449987941</v>
      </c>
      <c r="E91" s="73">
        <v>2528742282</v>
      </c>
      <c r="F91" s="39" t="s">
        <v>256</v>
      </c>
      <c r="G91" s="81">
        <v>40477</v>
      </c>
      <c r="H91" s="105" t="str">
        <f>CHOOSE(MONTH(G91),"January","February","March","April","May","June","July","August","September","October","November","December")</f>
        <v>October</v>
      </c>
      <c r="I91" s="51">
        <f ca="1">DATEDIF(G91,TODAY(),"Y")</f>
        <v>6</v>
      </c>
      <c r="J91" s="52" t="s">
        <v>267</v>
      </c>
      <c r="K91" s="53">
        <v>63206</v>
      </c>
      <c r="L91" s="54">
        <v>1</v>
      </c>
    </row>
    <row r="92" spans="1:12" ht="15">
      <c r="A92" s="39" t="s">
        <v>437</v>
      </c>
      <c r="B92" s="46" t="s">
        <v>271</v>
      </c>
      <c r="C92" s="39" t="s">
        <v>767</v>
      </c>
      <c r="D92" s="72">
        <v>379340654</v>
      </c>
      <c r="E92" s="73">
        <v>9198642893</v>
      </c>
      <c r="F92" s="39" t="s">
        <v>256</v>
      </c>
      <c r="G92" s="81">
        <v>35990</v>
      </c>
      <c r="H92" s="105" t="str">
        <f>CHOOSE(MONTH(G92),"January","February","March","April","May","June","July","August","September","October","November","December")</f>
        <v>July</v>
      </c>
      <c r="I92" s="51">
        <f ca="1">DATEDIF(G92,TODAY(),"Y")</f>
        <v>18</v>
      </c>
      <c r="J92" s="52" t="s">
        <v>276</v>
      </c>
      <c r="K92" s="53">
        <v>36890</v>
      </c>
      <c r="L92" s="54">
        <v>1</v>
      </c>
    </row>
    <row r="93" spans="1:12" ht="15">
      <c r="A93" s="39" t="s">
        <v>905</v>
      </c>
      <c r="B93" s="46" t="s">
        <v>271</v>
      </c>
      <c r="C93" s="39" t="s">
        <v>767</v>
      </c>
      <c r="D93" s="72">
        <v>336025451</v>
      </c>
      <c r="E93" s="73">
        <v>2522344526</v>
      </c>
      <c r="F93" s="39" t="s">
        <v>247</v>
      </c>
      <c r="G93" s="81">
        <v>34478</v>
      </c>
      <c r="H93" s="105" t="str">
        <f>CHOOSE(MONTH(G93),"January","February","March","April","May","June","July","August","September","October","November","December")</f>
        <v>May</v>
      </c>
      <c r="I93" s="51">
        <f ca="1">DATEDIF(G93,TODAY(),"Y")</f>
        <v>22</v>
      </c>
      <c r="J93" s="52"/>
      <c r="K93" s="53">
        <v>56650</v>
      </c>
      <c r="L93" s="54">
        <v>1</v>
      </c>
    </row>
    <row r="94" spans="1:12" ht="15">
      <c r="A94" s="39" t="s">
        <v>575</v>
      </c>
      <c r="B94" s="46" t="s">
        <v>271</v>
      </c>
      <c r="C94" s="39" t="s">
        <v>767</v>
      </c>
      <c r="D94" s="72">
        <v>387131597</v>
      </c>
      <c r="E94" s="73">
        <v>9191963194</v>
      </c>
      <c r="F94" s="39" t="s">
        <v>247</v>
      </c>
      <c r="G94" s="81">
        <v>33515</v>
      </c>
      <c r="H94" s="105" t="str">
        <f>CHOOSE(MONTH(G94),"January","February","March","April","May","June","July","August","September","October","November","December")</f>
        <v>October</v>
      </c>
      <c r="I94" s="51">
        <f ca="1">DATEDIF(G94,TODAY(),"Y")</f>
        <v>25</v>
      </c>
      <c r="J94" s="52"/>
      <c r="K94" s="53">
        <v>52750</v>
      </c>
      <c r="L94" s="54">
        <v>1</v>
      </c>
    </row>
    <row r="95" spans="1:12" ht="15">
      <c r="A95" s="39" t="s">
        <v>641</v>
      </c>
      <c r="B95" s="46" t="s">
        <v>271</v>
      </c>
      <c r="C95" s="39" t="s">
        <v>856</v>
      </c>
      <c r="D95" s="72">
        <v>627977314</v>
      </c>
      <c r="E95" s="73">
        <v>2521525844</v>
      </c>
      <c r="F95" s="39" t="s">
        <v>256</v>
      </c>
      <c r="G95" s="81">
        <v>33852</v>
      </c>
      <c r="H95" s="105" t="str">
        <f>CHOOSE(MONTH(G95),"January","February","March","April","May","June","July","August","September","October","November","December")</f>
        <v>September</v>
      </c>
      <c r="I95" s="51">
        <f ca="1">DATEDIF(G95,TODAY(),"Y")</f>
        <v>24</v>
      </c>
      <c r="J95" s="52" t="s">
        <v>276</v>
      </c>
      <c r="K95" s="53">
        <v>86240</v>
      </c>
      <c r="L95" s="54">
        <v>1</v>
      </c>
    </row>
    <row r="96" spans="1:12" ht="15">
      <c r="A96" s="39" t="s">
        <v>848</v>
      </c>
      <c r="B96" s="46" t="s">
        <v>271</v>
      </c>
      <c r="C96" s="39" t="s">
        <v>856</v>
      </c>
      <c r="D96" s="72">
        <v>644489557</v>
      </c>
      <c r="E96" s="73">
        <v>2526532463</v>
      </c>
      <c r="F96" s="39" t="s">
        <v>256</v>
      </c>
      <c r="G96" s="81">
        <v>36012</v>
      </c>
      <c r="H96" s="105" t="str">
        <f>CHOOSE(MONTH(G96),"January","February","March","April","May","June","July","August","September","October","November","December")</f>
        <v>August</v>
      </c>
      <c r="I96" s="51">
        <f ca="1">DATEDIF(G96,TODAY(),"Y")</f>
        <v>18</v>
      </c>
      <c r="J96" s="52" t="s">
        <v>262</v>
      </c>
      <c r="K96" s="53">
        <v>78950</v>
      </c>
      <c r="L96" s="54">
        <v>1</v>
      </c>
    </row>
    <row r="97" spans="1:12" ht="15">
      <c r="A97" s="39" t="s">
        <v>359</v>
      </c>
      <c r="B97" s="46" t="s">
        <v>280</v>
      </c>
      <c r="C97" s="39" t="s">
        <v>856</v>
      </c>
      <c r="D97" s="72">
        <v>614562070</v>
      </c>
      <c r="E97" s="73">
        <v>9192485673</v>
      </c>
      <c r="F97" s="39" t="s">
        <v>261</v>
      </c>
      <c r="G97" s="81">
        <v>37815</v>
      </c>
      <c r="H97" s="105" t="str">
        <f>CHOOSE(MONTH(G97),"January","February","March","April","May","June","July","August","September","October","November","December")</f>
        <v>July</v>
      </c>
      <c r="I97" s="51">
        <f ca="1">DATEDIF(G97,TODAY(),"Y")</f>
        <v>13</v>
      </c>
      <c r="J97" s="52" t="s">
        <v>257</v>
      </c>
      <c r="K97" s="53">
        <v>48740</v>
      </c>
      <c r="L97" s="54">
        <v>1</v>
      </c>
    </row>
    <row r="98" spans="1:12" ht="15">
      <c r="A98" s="39" t="s">
        <v>420</v>
      </c>
      <c r="B98" s="46" t="s">
        <v>280</v>
      </c>
      <c r="C98" s="39" t="s">
        <v>856</v>
      </c>
      <c r="D98" s="72">
        <v>269873478</v>
      </c>
      <c r="E98" s="73">
        <v>9198244224</v>
      </c>
      <c r="F98" s="39" t="s">
        <v>256</v>
      </c>
      <c r="G98" s="81">
        <v>35715</v>
      </c>
      <c r="H98" s="105" t="str">
        <f>CHOOSE(MONTH(G98),"January","February","March","April","May","June","July","August","September","October","November","December")</f>
        <v>October</v>
      </c>
      <c r="I98" s="51">
        <f ca="1">DATEDIF(G98,TODAY(),"Y")</f>
        <v>19</v>
      </c>
      <c r="J98" s="52" t="s">
        <v>283</v>
      </c>
      <c r="K98" s="53">
        <v>32120</v>
      </c>
      <c r="L98" s="54">
        <v>1</v>
      </c>
    </row>
    <row r="99" spans="1:12" ht="15">
      <c r="A99" s="39" t="s">
        <v>1017</v>
      </c>
      <c r="B99" s="46" t="s">
        <v>245</v>
      </c>
      <c r="C99" s="39" t="s">
        <v>856</v>
      </c>
      <c r="D99" s="72">
        <v>288741910</v>
      </c>
      <c r="E99" s="73">
        <v>2522842668</v>
      </c>
      <c r="F99" s="39" t="s">
        <v>256</v>
      </c>
      <c r="G99" s="81">
        <v>36360</v>
      </c>
      <c r="H99" s="105" t="str">
        <f>CHOOSE(MONTH(G99),"January","February","March","April","May","June","July","August","September","October","November","December")</f>
        <v>July</v>
      </c>
      <c r="I99" s="51">
        <f ca="1">DATEDIF(G99,TODAY(),"Y")</f>
        <v>17</v>
      </c>
      <c r="J99" s="52" t="s">
        <v>283</v>
      </c>
      <c r="K99" s="53">
        <v>67020</v>
      </c>
      <c r="L99" s="54">
        <v>1</v>
      </c>
    </row>
    <row r="100" spans="1:12" ht="15">
      <c r="A100" s="39" t="s">
        <v>499</v>
      </c>
      <c r="B100" s="46" t="s">
        <v>251</v>
      </c>
      <c r="C100" s="39" t="s">
        <v>856</v>
      </c>
      <c r="D100" s="72">
        <v>626501093</v>
      </c>
      <c r="E100" s="73">
        <v>9192822520</v>
      </c>
      <c r="F100" s="39" t="s">
        <v>247</v>
      </c>
      <c r="G100" s="81">
        <v>38027</v>
      </c>
      <c r="H100" s="105" t="str">
        <f>CHOOSE(MONTH(G100),"January","February","March","April","May","June","July","August","September","October","November","December")</f>
        <v>February</v>
      </c>
      <c r="I100" s="51">
        <f ca="1">DATEDIF(G100,TODAY(),"Y")</f>
        <v>12</v>
      </c>
      <c r="J100" s="52"/>
      <c r="K100" s="53">
        <v>64590</v>
      </c>
      <c r="L100" s="54">
        <v>1</v>
      </c>
    </row>
    <row r="101" spans="1:12" ht="15">
      <c r="A101" s="39" t="s">
        <v>438</v>
      </c>
      <c r="B101" s="46" t="s">
        <v>285</v>
      </c>
      <c r="C101" s="39" t="s">
        <v>856</v>
      </c>
      <c r="D101" s="72">
        <v>420739404</v>
      </c>
      <c r="E101" s="73">
        <v>9197785583</v>
      </c>
      <c r="F101" s="39" t="s">
        <v>256</v>
      </c>
      <c r="G101" s="81">
        <v>33269</v>
      </c>
      <c r="H101" s="105" t="str">
        <f>CHOOSE(MONTH(G101),"January","February","March","April","May","June","July","August","September","October","November","December")</f>
        <v>January</v>
      </c>
      <c r="I101" s="51">
        <f ca="1">DATEDIF(G101,TODAY(),"Y")</f>
        <v>25</v>
      </c>
      <c r="J101" s="52" t="s">
        <v>283</v>
      </c>
      <c r="K101" s="53">
        <v>24840</v>
      </c>
      <c r="L101" s="54">
        <v>1</v>
      </c>
    </row>
    <row r="102" spans="1:12" ht="15">
      <c r="A102" s="39" t="s">
        <v>949</v>
      </c>
      <c r="B102" s="46" t="s">
        <v>271</v>
      </c>
      <c r="C102" s="39" t="s">
        <v>856</v>
      </c>
      <c r="D102" s="72">
        <v>562497973</v>
      </c>
      <c r="E102" s="73">
        <v>2524111882</v>
      </c>
      <c r="F102" s="39" t="s">
        <v>256</v>
      </c>
      <c r="G102" s="81">
        <v>35356</v>
      </c>
      <c r="H102" s="105" t="str">
        <f>CHOOSE(MONTH(G102),"January","February","March","April","May","June","July","August","September","October","November","December")</f>
        <v>October</v>
      </c>
      <c r="I102" s="51">
        <f ca="1">DATEDIF(G102,TODAY(),"Y")</f>
        <v>20</v>
      </c>
      <c r="J102" s="52" t="s">
        <v>262</v>
      </c>
      <c r="K102" s="53">
        <v>63030</v>
      </c>
      <c r="L102" s="54">
        <v>1</v>
      </c>
    </row>
    <row r="103" spans="1:12" ht="15">
      <c r="A103" s="39" t="s">
        <v>971</v>
      </c>
      <c r="B103" s="46" t="s">
        <v>245</v>
      </c>
      <c r="C103" s="39" t="s">
        <v>856</v>
      </c>
      <c r="D103" s="72">
        <v>426014550</v>
      </c>
      <c r="E103" s="73">
        <v>2522889182</v>
      </c>
      <c r="F103" s="39" t="s">
        <v>256</v>
      </c>
      <c r="G103" s="81">
        <v>35451</v>
      </c>
      <c r="H103" s="105" t="str">
        <f>CHOOSE(MONTH(G103),"January","February","March","April","May","June","July","August","September","October","November","December")</f>
        <v>January</v>
      </c>
      <c r="I103" s="51">
        <f ca="1">DATEDIF(G103,TODAY(),"Y")</f>
        <v>19</v>
      </c>
      <c r="J103" s="52" t="s">
        <v>276</v>
      </c>
      <c r="K103" s="53">
        <v>62965</v>
      </c>
      <c r="L103" s="54">
        <v>1</v>
      </c>
    </row>
    <row r="104" spans="1:12" ht="15">
      <c r="A104" s="45" t="s">
        <v>282</v>
      </c>
      <c r="B104" s="46" t="s">
        <v>285</v>
      </c>
      <c r="C104" s="39" t="s">
        <v>856</v>
      </c>
      <c r="D104" s="72">
        <v>393973492</v>
      </c>
      <c r="E104" s="73">
        <v>2522869792</v>
      </c>
      <c r="F104" s="39" t="s">
        <v>261</v>
      </c>
      <c r="G104" s="81">
        <v>36423</v>
      </c>
      <c r="H104" s="105" t="str">
        <f>CHOOSE(MONTH(G104),"January","February","March","April","May","June","July","August","September","October","November","December")</f>
        <v>September</v>
      </c>
      <c r="I104" s="51">
        <f ca="1">DATEDIF(G104,TODAY(),"Y")</f>
        <v>17</v>
      </c>
      <c r="J104" s="52" t="s">
        <v>276</v>
      </c>
      <c r="K104" s="53">
        <v>47350</v>
      </c>
      <c r="L104" s="54">
        <v>1</v>
      </c>
    </row>
    <row r="105" spans="1:12" ht="15">
      <c r="A105" s="39" t="s">
        <v>867</v>
      </c>
      <c r="B105" s="46" t="s">
        <v>285</v>
      </c>
      <c r="C105" s="39" t="s">
        <v>856</v>
      </c>
      <c r="D105" s="72">
        <v>784064156</v>
      </c>
      <c r="E105" s="78">
        <v>9193355152</v>
      </c>
      <c r="F105" s="39" t="s">
        <v>256</v>
      </c>
      <c r="G105" s="81">
        <v>33604</v>
      </c>
      <c r="H105" s="105" t="str">
        <f>CHOOSE(MONTH(G105),"January","February","March","April","May","June","July","August","September","October","November","December")</f>
        <v>January</v>
      </c>
      <c r="I105" s="51">
        <f ca="1">DATEDIF(G105,TODAY(),"Y")</f>
        <v>24</v>
      </c>
      <c r="J105" s="52" t="s">
        <v>257</v>
      </c>
      <c r="K105" s="53">
        <v>54830</v>
      </c>
      <c r="L105" s="54">
        <v>1</v>
      </c>
    </row>
    <row r="106" spans="1:12" ht="15">
      <c r="A106" s="39" t="s">
        <v>815</v>
      </c>
      <c r="B106" s="46" t="s">
        <v>285</v>
      </c>
      <c r="C106" s="39" t="s">
        <v>930</v>
      </c>
      <c r="D106" s="72">
        <v>892040187</v>
      </c>
      <c r="E106" s="73">
        <v>2524877123</v>
      </c>
      <c r="F106" s="39" t="s">
        <v>256</v>
      </c>
      <c r="G106" s="81">
        <v>34286</v>
      </c>
      <c r="H106" s="105" t="str">
        <f>CHOOSE(MONTH(G106),"January","February","March","April","May","June","July","August","September","October","November","December")</f>
        <v>November</v>
      </c>
      <c r="I106" s="51">
        <f ca="1">DATEDIF(G106,TODAY(),"Y")</f>
        <v>22</v>
      </c>
      <c r="J106" s="52" t="s">
        <v>283</v>
      </c>
      <c r="K106" s="53">
        <v>87220</v>
      </c>
      <c r="L106" s="54">
        <v>1</v>
      </c>
    </row>
    <row r="107" spans="1:12" ht="15">
      <c r="A107" s="39" t="s">
        <v>520</v>
      </c>
      <c r="B107" s="46" t="s">
        <v>285</v>
      </c>
      <c r="C107" s="39" t="s">
        <v>930</v>
      </c>
      <c r="D107" s="72">
        <v>324069262</v>
      </c>
      <c r="E107" s="73">
        <v>2525459665</v>
      </c>
      <c r="F107" s="39" t="s">
        <v>247</v>
      </c>
      <c r="G107" s="81">
        <v>34534</v>
      </c>
      <c r="H107" s="105" t="str">
        <f>CHOOSE(MONTH(G107),"January","February","March","April","May","June","July","August","September","October","November","December")</f>
        <v>July</v>
      </c>
      <c r="I107" s="51">
        <f ca="1">DATEDIF(G107,TODAY(),"Y")</f>
        <v>22</v>
      </c>
      <c r="J107" s="52"/>
      <c r="K107" s="53">
        <v>45105</v>
      </c>
      <c r="L107" s="54">
        <v>1</v>
      </c>
    </row>
    <row r="108" spans="1:12" ht="15">
      <c r="A108" s="39" t="s">
        <v>1059</v>
      </c>
      <c r="B108" s="46" t="s">
        <v>280</v>
      </c>
      <c r="C108" s="39" t="s">
        <v>930</v>
      </c>
      <c r="D108" s="72">
        <v>641962645</v>
      </c>
      <c r="E108" s="73">
        <v>9196965088</v>
      </c>
      <c r="F108" s="39" t="s">
        <v>247</v>
      </c>
      <c r="G108" s="81">
        <v>34135</v>
      </c>
      <c r="H108" s="105" t="str">
        <f>CHOOSE(MONTH(G108),"January","February","March","April","May","June","July","August","September","October","November","December")</f>
        <v>June</v>
      </c>
      <c r="I108" s="51">
        <f ca="1">DATEDIF(G108,TODAY(),"Y")</f>
        <v>23</v>
      </c>
      <c r="J108" s="52"/>
      <c r="K108" s="53">
        <v>78590</v>
      </c>
      <c r="L108" s="54">
        <v>1</v>
      </c>
    </row>
    <row r="109" spans="1:12" ht="15">
      <c r="A109" s="39" t="s">
        <v>746</v>
      </c>
      <c r="B109" s="46" t="s">
        <v>266</v>
      </c>
      <c r="C109" s="39" t="s">
        <v>930</v>
      </c>
      <c r="D109" s="72">
        <v>147683641</v>
      </c>
      <c r="E109" s="73">
        <v>9191657646</v>
      </c>
      <c r="F109" s="39" t="s">
        <v>247</v>
      </c>
      <c r="G109" s="109">
        <v>40334</v>
      </c>
      <c r="H109" s="105" t="str">
        <f>CHOOSE(MONTH(G109),"January","February","March","April","May","June","July","August","September","October","November","December")</f>
        <v>June</v>
      </c>
      <c r="I109" s="51">
        <f ca="1">DATEDIF(G109,TODAY(),"Y")</f>
        <v>6</v>
      </c>
      <c r="J109" s="52"/>
      <c r="K109" s="53">
        <v>47280</v>
      </c>
      <c r="L109" s="54">
        <v>1</v>
      </c>
    </row>
    <row r="110" spans="1:12" ht="15">
      <c r="A110" s="39" t="s">
        <v>487</v>
      </c>
      <c r="B110" s="46" t="s">
        <v>266</v>
      </c>
      <c r="C110" s="39" t="s">
        <v>930</v>
      </c>
      <c r="D110" s="72">
        <v>929694686</v>
      </c>
      <c r="E110" s="73">
        <v>9194483888</v>
      </c>
      <c r="F110" s="39" t="s">
        <v>256</v>
      </c>
      <c r="G110" s="103">
        <v>40536</v>
      </c>
      <c r="H110" s="105" t="str">
        <f>CHOOSE(MONTH(G110),"January","February","March","April","May","June","July","August","September","October","November","December")</f>
        <v>December</v>
      </c>
      <c r="I110" s="51">
        <f ca="1">DATEDIF(G110,TODAY(),"Y")</f>
        <v>5</v>
      </c>
      <c r="J110" s="52" t="s">
        <v>283</v>
      </c>
      <c r="K110" s="53">
        <v>70730</v>
      </c>
      <c r="L110" s="54">
        <v>1</v>
      </c>
    </row>
    <row r="111" spans="1:12" ht="15">
      <c r="A111" s="39" t="s">
        <v>339</v>
      </c>
      <c r="B111" s="46" t="s">
        <v>285</v>
      </c>
      <c r="C111" s="39" t="s">
        <v>930</v>
      </c>
      <c r="D111" s="72">
        <v>800685434</v>
      </c>
      <c r="E111" s="73">
        <v>2525821616</v>
      </c>
      <c r="F111" s="39" t="s">
        <v>256</v>
      </c>
      <c r="G111" s="81">
        <v>36956</v>
      </c>
      <c r="H111" s="105" t="str">
        <f>CHOOSE(MONTH(G111),"January","February","March","April","May","June","July","August","September","October","November","December")</f>
        <v>March</v>
      </c>
      <c r="I111" s="51">
        <f ca="1">DATEDIF(G111,TODAY(),"Y")</f>
        <v>15</v>
      </c>
      <c r="J111" s="52" t="s">
        <v>276</v>
      </c>
      <c r="K111" s="53">
        <v>49930</v>
      </c>
      <c r="L111" s="54">
        <v>1</v>
      </c>
    </row>
    <row r="112" spans="1:12" ht="15">
      <c r="A112" s="39" t="s">
        <v>901</v>
      </c>
      <c r="B112" s="46" t="s">
        <v>285</v>
      </c>
      <c r="C112" s="39" t="s">
        <v>930</v>
      </c>
      <c r="D112" s="72">
        <v>380304349</v>
      </c>
      <c r="E112" s="73">
        <v>2526129939</v>
      </c>
      <c r="F112" s="39" t="s">
        <v>256</v>
      </c>
      <c r="G112" s="81">
        <v>36549</v>
      </c>
      <c r="H112" s="105" t="str">
        <f>CHOOSE(MONTH(G112),"January","February","March","April","May","June","July","August","September","October","November","December")</f>
        <v>January</v>
      </c>
      <c r="I112" s="51">
        <f ca="1">DATEDIF(G112,TODAY(),"Y")</f>
        <v>16</v>
      </c>
      <c r="J112" s="52" t="s">
        <v>283</v>
      </c>
      <c r="K112" s="53">
        <v>35460</v>
      </c>
      <c r="L112" s="54">
        <v>1</v>
      </c>
    </row>
    <row r="113" spans="1:12" ht="15">
      <c r="A113" s="39" t="s">
        <v>754</v>
      </c>
      <c r="B113" s="46" t="s">
        <v>285</v>
      </c>
      <c r="C113" s="39" t="s">
        <v>930</v>
      </c>
      <c r="D113" s="72">
        <v>287476507</v>
      </c>
      <c r="E113" s="73">
        <v>9191509619</v>
      </c>
      <c r="F113" s="39" t="s">
        <v>261</v>
      </c>
      <c r="G113" s="81">
        <v>34005</v>
      </c>
      <c r="H113" s="105" t="str">
        <f>CHOOSE(MONTH(G113),"January","February","March","April","May","June","July","August","September","October","November","December")</f>
        <v>February</v>
      </c>
      <c r="I113" s="51">
        <f ca="1">DATEDIF(G113,TODAY(),"Y")</f>
        <v>23</v>
      </c>
      <c r="J113" s="52" t="s">
        <v>257</v>
      </c>
      <c r="K113" s="53">
        <v>19935</v>
      </c>
      <c r="L113" s="54">
        <v>1</v>
      </c>
    </row>
    <row r="114" spans="1:12" ht="15">
      <c r="A114" s="39" t="s">
        <v>361</v>
      </c>
      <c r="B114" s="46" t="s">
        <v>285</v>
      </c>
      <c r="C114" s="39" t="s">
        <v>930</v>
      </c>
      <c r="D114" s="72">
        <v>144722757</v>
      </c>
      <c r="E114" s="73">
        <v>9196060038</v>
      </c>
      <c r="F114" s="39" t="s">
        <v>247</v>
      </c>
      <c r="G114" s="81">
        <v>33562</v>
      </c>
      <c r="H114" s="105" t="str">
        <f>CHOOSE(MONTH(G114),"January","February","March","April","May","June","July","August","September","October","November","December")</f>
        <v>November</v>
      </c>
      <c r="I114" s="51">
        <f ca="1">DATEDIF(G114,TODAY(),"Y")</f>
        <v>24</v>
      </c>
      <c r="J114" s="52"/>
      <c r="K114" s="53">
        <v>57500</v>
      </c>
      <c r="L114" s="54">
        <v>1</v>
      </c>
    </row>
    <row r="115" spans="1:12" ht="15">
      <c r="A115" s="39" t="s">
        <v>405</v>
      </c>
      <c r="B115" s="46" t="s">
        <v>266</v>
      </c>
      <c r="C115" s="39" t="s">
        <v>1031</v>
      </c>
      <c r="D115" s="72">
        <v>827277063</v>
      </c>
      <c r="E115" s="73">
        <v>2528873234</v>
      </c>
      <c r="F115" s="39" t="s">
        <v>252</v>
      </c>
      <c r="G115" s="81">
        <v>40543</v>
      </c>
      <c r="H115" s="105" t="str">
        <f>CHOOSE(MONTH(G115),"January","February","March","April","May","June","July","August","September","October","November","December")</f>
        <v>December</v>
      </c>
      <c r="I115" s="51">
        <f ca="1">DATEDIF(G115,TODAY(),"Y")</f>
        <v>5</v>
      </c>
      <c r="J115" s="52"/>
      <c r="K115" s="53">
        <v>19044</v>
      </c>
      <c r="L115" s="54">
        <v>1</v>
      </c>
    </row>
    <row r="116" spans="1:12" ht="15">
      <c r="A116" s="39" t="s">
        <v>737</v>
      </c>
      <c r="B116" s="46" t="s">
        <v>251</v>
      </c>
      <c r="C116" s="39" t="s">
        <v>1031</v>
      </c>
      <c r="D116" s="72">
        <v>383616821</v>
      </c>
      <c r="E116" s="73">
        <v>2524989537</v>
      </c>
      <c r="F116" s="39" t="s">
        <v>256</v>
      </c>
      <c r="G116" s="81">
        <v>40384</v>
      </c>
      <c r="H116" s="105" t="str">
        <f>CHOOSE(MONTH(G116),"January","February","March","April","May","June","July","August","September","October","November","December")</f>
        <v>July</v>
      </c>
      <c r="I116" s="51">
        <f ca="1">DATEDIF(G116,TODAY(),"Y")</f>
        <v>6</v>
      </c>
      <c r="J116" s="52" t="s">
        <v>257</v>
      </c>
      <c r="K116" s="53">
        <v>46680</v>
      </c>
      <c r="L116" s="54">
        <v>1</v>
      </c>
    </row>
    <row r="117" spans="1:12" ht="15">
      <c r="A117" s="39" t="s">
        <v>863</v>
      </c>
      <c r="B117" s="46" t="s">
        <v>251</v>
      </c>
      <c r="C117" s="45" t="s">
        <v>246</v>
      </c>
      <c r="D117" s="47">
        <v>411526157</v>
      </c>
      <c r="E117" s="48">
        <v>9195818082</v>
      </c>
      <c r="F117" s="45" t="s">
        <v>252</v>
      </c>
      <c r="G117" s="105">
        <v>33846</v>
      </c>
      <c r="H117" s="105" t="str">
        <f>CHOOSE(MONTH(G117),"January","February","March","April","May","June","July","August","September","October","November","December")</f>
        <v>August</v>
      </c>
      <c r="I117" s="51">
        <f ca="1">DATEDIF(G117,TODAY(),"Y")</f>
        <v>24</v>
      </c>
      <c r="J117" s="52"/>
      <c r="K117" s="53">
        <v>35680</v>
      </c>
      <c r="L117" s="54">
        <v>2</v>
      </c>
    </row>
    <row r="118" spans="1:12" ht="15">
      <c r="A118" s="39" t="s">
        <v>740</v>
      </c>
      <c r="B118" s="46" t="s">
        <v>266</v>
      </c>
      <c r="C118" s="45" t="s">
        <v>246</v>
      </c>
      <c r="D118" s="47">
        <v>991656720</v>
      </c>
      <c r="E118" s="48">
        <v>2528138394</v>
      </c>
      <c r="F118" s="45" t="s">
        <v>256</v>
      </c>
      <c r="G118" s="105">
        <v>39447</v>
      </c>
      <c r="H118" s="105" t="str">
        <f>CHOOSE(MONTH(G118),"January","February","March","April","May","June","July","August","September","October","November","December")</f>
        <v>December</v>
      </c>
      <c r="I118" s="51">
        <f ca="1">DATEDIF(G118,TODAY(),"Y")</f>
        <v>8</v>
      </c>
      <c r="J118" s="52" t="s">
        <v>267</v>
      </c>
      <c r="K118" s="53">
        <v>72830</v>
      </c>
      <c r="L118" s="54">
        <v>2</v>
      </c>
    </row>
    <row r="119" spans="1:12" ht="15">
      <c r="A119" s="39" t="s">
        <v>946</v>
      </c>
      <c r="B119" s="46" t="s">
        <v>280</v>
      </c>
      <c r="C119" s="45" t="s">
        <v>272</v>
      </c>
      <c r="D119" s="47">
        <v>475256935</v>
      </c>
      <c r="E119" s="48">
        <v>2527852326</v>
      </c>
      <c r="F119" s="45" t="s">
        <v>256</v>
      </c>
      <c r="G119" s="105">
        <v>35742</v>
      </c>
      <c r="H119" s="105" t="str">
        <f>CHOOSE(MONTH(G119),"January","February","March","April","May","June","July","August","September","October","November","December")</f>
        <v>November</v>
      </c>
      <c r="I119" s="51">
        <f ca="1">DATEDIF(G119,TODAY(),"Y")</f>
        <v>19</v>
      </c>
      <c r="J119" s="52" t="s">
        <v>283</v>
      </c>
      <c r="K119" s="53">
        <v>85300</v>
      </c>
      <c r="L119" s="54">
        <v>2</v>
      </c>
    </row>
    <row r="120" spans="1:12" ht="15">
      <c r="A120" s="39" t="s">
        <v>335</v>
      </c>
      <c r="B120" s="46" t="s">
        <v>285</v>
      </c>
      <c r="C120" s="39" t="s">
        <v>272</v>
      </c>
      <c r="D120" s="72">
        <v>768681542</v>
      </c>
      <c r="E120" s="73">
        <v>8021673267</v>
      </c>
      <c r="F120" s="39" t="s">
        <v>256</v>
      </c>
      <c r="G120" s="81">
        <v>35464</v>
      </c>
      <c r="H120" s="105" t="str">
        <f>CHOOSE(MONTH(G120),"January","February","March","April","May","June","July","August","September","October","November","December")</f>
        <v>February</v>
      </c>
      <c r="I120" s="51">
        <f ca="1">DATEDIF(G120,TODAY(),"Y")</f>
        <v>19</v>
      </c>
      <c r="J120" s="52" t="s">
        <v>257</v>
      </c>
      <c r="K120" s="53">
        <v>60830</v>
      </c>
      <c r="L120" s="54">
        <v>2</v>
      </c>
    </row>
    <row r="121" spans="1:12" ht="15">
      <c r="A121" s="39" t="s">
        <v>343</v>
      </c>
      <c r="B121" s="46" t="s">
        <v>271</v>
      </c>
      <c r="C121" s="39" t="s">
        <v>296</v>
      </c>
      <c r="D121" s="72">
        <v>216607562</v>
      </c>
      <c r="E121" s="73">
        <v>2521593705</v>
      </c>
      <c r="F121" s="39" t="s">
        <v>256</v>
      </c>
      <c r="G121" s="81">
        <v>35459</v>
      </c>
      <c r="H121" s="105" t="str">
        <f>CHOOSE(MONTH(G121),"January","February","March","April","May","June","July","August","September","October","November","December")</f>
        <v>January</v>
      </c>
      <c r="I121" s="51">
        <f ca="1">DATEDIF(G121,TODAY(),"Y")</f>
        <v>19</v>
      </c>
      <c r="J121" s="52" t="s">
        <v>283</v>
      </c>
      <c r="K121" s="53">
        <v>49360</v>
      </c>
      <c r="L121" s="54">
        <v>2</v>
      </c>
    </row>
    <row r="122" spans="1:12" ht="15">
      <c r="A122" s="39" t="s">
        <v>858</v>
      </c>
      <c r="B122" s="46" t="s">
        <v>245</v>
      </c>
      <c r="C122" s="39" t="s">
        <v>296</v>
      </c>
      <c r="D122" s="72">
        <v>963028490</v>
      </c>
      <c r="E122" s="73">
        <v>2524383168</v>
      </c>
      <c r="F122" s="39" t="s">
        <v>256</v>
      </c>
      <c r="G122" s="81">
        <v>33551</v>
      </c>
      <c r="H122" s="105" t="str">
        <f>CHOOSE(MONTH(G122),"January","February","March","April","May","June","July","August","September","October","November","December")</f>
        <v>November</v>
      </c>
      <c r="I122" s="51">
        <f ca="1">DATEDIF(G122,TODAY(),"Y")</f>
        <v>25</v>
      </c>
      <c r="J122" s="52" t="s">
        <v>262</v>
      </c>
      <c r="K122" s="53">
        <v>41350</v>
      </c>
      <c r="L122" s="54">
        <v>2</v>
      </c>
    </row>
    <row r="123" spans="1:12" ht="15">
      <c r="A123" s="39" t="s">
        <v>850</v>
      </c>
      <c r="B123" s="46" t="s">
        <v>280</v>
      </c>
      <c r="C123" s="39" t="s">
        <v>307</v>
      </c>
      <c r="D123" s="72">
        <v>529609767</v>
      </c>
      <c r="E123" s="73">
        <v>2528006736</v>
      </c>
      <c r="F123" s="39" t="s">
        <v>247</v>
      </c>
      <c r="G123" s="81">
        <v>35395</v>
      </c>
      <c r="H123" s="105" t="str">
        <f>CHOOSE(MONTH(G123),"January","February","March","April","May","June","July","August","September","October","November","December")</f>
        <v>November</v>
      </c>
      <c r="I123" s="51">
        <f ca="1">DATEDIF(G123,TODAY(),"Y")</f>
        <v>19</v>
      </c>
      <c r="J123" s="52"/>
      <c r="K123" s="53">
        <v>58130</v>
      </c>
      <c r="L123" s="54">
        <v>2</v>
      </c>
    </row>
    <row r="124" spans="1:12" ht="15">
      <c r="A124" s="39" t="s">
        <v>496</v>
      </c>
      <c r="B124" s="46" t="s">
        <v>285</v>
      </c>
      <c r="C124" s="39" t="s">
        <v>312</v>
      </c>
      <c r="D124" s="72">
        <v>164904130</v>
      </c>
      <c r="E124" s="73">
        <v>2528046670</v>
      </c>
      <c r="F124" s="39" t="s">
        <v>247</v>
      </c>
      <c r="G124" s="81">
        <v>35569</v>
      </c>
      <c r="H124" s="105" t="str">
        <f>CHOOSE(MONTH(G124),"January","February","March","April","May","June","July","August","September","October","November","December")</f>
        <v>May</v>
      </c>
      <c r="I124" s="51">
        <f ca="1">DATEDIF(G124,TODAY(),"Y")</f>
        <v>19</v>
      </c>
      <c r="J124" s="52"/>
      <c r="K124" s="53">
        <v>84200</v>
      </c>
      <c r="L124" s="54">
        <v>2</v>
      </c>
    </row>
    <row r="125" spans="1:12" ht="15">
      <c r="A125" s="39" t="s">
        <v>866</v>
      </c>
      <c r="B125" s="46" t="s">
        <v>245</v>
      </c>
      <c r="C125" s="39" t="s">
        <v>312</v>
      </c>
      <c r="D125" s="72">
        <v>787156286</v>
      </c>
      <c r="E125" s="73">
        <v>2524588703</v>
      </c>
      <c r="F125" s="39" t="s">
        <v>256</v>
      </c>
      <c r="G125" s="81">
        <v>33348</v>
      </c>
      <c r="H125" s="105" t="str">
        <f>CHOOSE(MONTH(G125),"January","February","March","April","May","June","July","August","September","October","November","December")</f>
        <v>April</v>
      </c>
      <c r="I125" s="51">
        <f ca="1">DATEDIF(G125,TODAY(),"Y")</f>
        <v>25</v>
      </c>
      <c r="J125" s="52" t="s">
        <v>276</v>
      </c>
      <c r="K125" s="53">
        <v>49810</v>
      </c>
      <c r="L125" s="54">
        <v>2</v>
      </c>
    </row>
    <row r="126" spans="1:12" ht="15">
      <c r="A126" s="39" t="s">
        <v>861</v>
      </c>
      <c r="B126" s="46" t="s">
        <v>251</v>
      </c>
      <c r="C126" s="39" t="s">
        <v>312</v>
      </c>
      <c r="D126" s="72">
        <v>877122222</v>
      </c>
      <c r="E126" s="73">
        <v>9195511103</v>
      </c>
      <c r="F126" s="39" t="s">
        <v>256</v>
      </c>
      <c r="G126" s="81">
        <v>40575</v>
      </c>
      <c r="H126" s="105" t="str">
        <f>CHOOSE(MONTH(G126),"January","February","March","April","May","June","July","August","September","October","November","December")</f>
        <v>February</v>
      </c>
      <c r="I126" s="51">
        <f ca="1">DATEDIF(G126,TODAY(),"Y")</f>
        <v>5</v>
      </c>
      <c r="J126" s="52" t="s">
        <v>276</v>
      </c>
      <c r="K126" s="53">
        <v>74710</v>
      </c>
      <c r="L126" s="54">
        <v>2</v>
      </c>
    </row>
    <row r="127" spans="1:12" ht="15">
      <c r="A127" s="39" t="s">
        <v>961</v>
      </c>
      <c r="B127" s="46" t="s">
        <v>245</v>
      </c>
      <c r="C127" s="39" t="s">
        <v>312</v>
      </c>
      <c r="D127" s="72">
        <v>721173550</v>
      </c>
      <c r="E127" s="73">
        <v>2528356334</v>
      </c>
      <c r="F127" s="39" t="s">
        <v>256</v>
      </c>
      <c r="G127" s="81">
        <v>33786</v>
      </c>
      <c r="H127" s="105" t="str">
        <f>CHOOSE(MONTH(G127),"January","February","March","April","May","June","July","August","September","October","November","December")</f>
        <v>July</v>
      </c>
      <c r="I127" s="51">
        <f ca="1">DATEDIF(G127,TODAY(),"Y")</f>
        <v>24</v>
      </c>
      <c r="J127" s="52" t="s">
        <v>257</v>
      </c>
      <c r="K127" s="53">
        <v>71150</v>
      </c>
      <c r="L127" s="54">
        <v>2</v>
      </c>
    </row>
    <row r="128" spans="1:12" ht="15">
      <c r="A128" s="39" t="s">
        <v>290</v>
      </c>
      <c r="B128" s="46" t="s">
        <v>280</v>
      </c>
      <c r="C128" s="39" t="s">
        <v>312</v>
      </c>
      <c r="D128" s="72">
        <v>247276092</v>
      </c>
      <c r="E128" s="73">
        <v>2522636516</v>
      </c>
      <c r="F128" s="39" t="s">
        <v>247</v>
      </c>
      <c r="G128" s="81">
        <v>35119</v>
      </c>
      <c r="H128" s="105" t="str">
        <f>CHOOSE(MONTH(G128),"January","February","March","April","May","June","July","August","September","October","November","December")</f>
        <v>February</v>
      </c>
      <c r="I128" s="51">
        <f ca="1">DATEDIF(G128,TODAY(),"Y")</f>
        <v>20</v>
      </c>
      <c r="J128" s="52"/>
      <c r="K128" s="53">
        <v>64390</v>
      </c>
      <c r="L128" s="54">
        <v>2</v>
      </c>
    </row>
    <row r="129" spans="1:12" ht="15">
      <c r="A129" s="39" t="s">
        <v>682</v>
      </c>
      <c r="B129" s="46" t="s">
        <v>271</v>
      </c>
      <c r="C129" s="39" t="s">
        <v>312</v>
      </c>
      <c r="D129" s="72">
        <v>436693732</v>
      </c>
      <c r="E129" s="73">
        <v>2524077699</v>
      </c>
      <c r="F129" s="39" t="s">
        <v>256</v>
      </c>
      <c r="G129" s="81">
        <v>37176</v>
      </c>
      <c r="H129" s="105" t="str">
        <f>CHOOSE(MONTH(G129),"January","February","March","April","May","June","July","August","September","October","November","December")</f>
        <v>October</v>
      </c>
      <c r="I129" s="51">
        <f ca="1">DATEDIF(G129,TODAY(),"Y")</f>
        <v>15</v>
      </c>
      <c r="J129" s="52" t="s">
        <v>267</v>
      </c>
      <c r="K129" s="53">
        <v>62790</v>
      </c>
      <c r="L129" s="54">
        <v>2</v>
      </c>
    </row>
    <row r="130" spans="1:12" ht="15">
      <c r="A130" s="39" t="s">
        <v>619</v>
      </c>
      <c r="B130" s="46" t="s">
        <v>245</v>
      </c>
      <c r="C130" s="39" t="s">
        <v>312</v>
      </c>
      <c r="D130" s="72">
        <v>841913875</v>
      </c>
      <c r="E130" s="73">
        <v>2522511732</v>
      </c>
      <c r="F130" s="39" t="s">
        <v>247</v>
      </c>
      <c r="G130" s="81">
        <v>35160</v>
      </c>
      <c r="H130" s="105" t="str">
        <f>CHOOSE(MONTH(G130),"January","February","March","April","May","June","July","August","September","October","November","December")</f>
        <v>April</v>
      </c>
      <c r="I130" s="51">
        <f ca="1">DATEDIF(G130,TODAY(),"Y")</f>
        <v>20</v>
      </c>
      <c r="J130" s="52"/>
      <c r="K130" s="53">
        <v>50550</v>
      </c>
      <c r="L130" s="54">
        <v>2</v>
      </c>
    </row>
    <row r="131" spans="1:12" ht="15">
      <c r="A131" s="39" t="s">
        <v>817</v>
      </c>
      <c r="B131" s="46" t="s">
        <v>285</v>
      </c>
      <c r="C131" s="39" t="s">
        <v>372</v>
      </c>
      <c r="D131" s="72">
        <v>920505896</v>
      </c>
      <c r="E131" s="73">
        <v>2523173691</v>
      </c>
      <c r="F131" s="39" t="s">
        <v>247</v>
      </c>
      <c r="G131" s="81">
        <v>38755</v>
      </c>
      <c r="H131" s="105" t="str">
        <f>CHOOSE(MONTH(G131),"January","February","March","April","May","June","July","August","September","October","November","December")</f>
        <v>February</v>
      </c>
      <c r="I131" s="51">
        <f ca="1">DATEDIF(G131,TODAY(),"Y")</f>
        <v>10</v>
      </c>
      <c r="J131" s="52"/>
      <c r="K131" s="53">
        <v>78860</v>
      </c>
      <c r="L131" s="54">
        <v>2</v>
      </c>
    </row>
    <row r="132" spans="1:12" ht="15">
      <c r="A132" s="39" t="s">
        <v>388</v>
      </c>
      <c r="B132" s="46" t="s">
        <v>251</v>
      </c>
      <c r="C132" s="39" t="s">
        <v>372</v>
      </c>
      <c r="D132" s="72">
        <v>640301378</v>
      </c>
      <c r="E132" s="73">
        <v>2524663056</v>
      </c>
      <c r="F132" s="39" t="s">
        <v>261</v>
      </c>
      <c r="G132" s="103">
        <v>40505</v>
      </c>
      <c r="H132" s="105" t="str">
        <f>CHOOSE(MONTH(G132),"January","February","March","April","May","June","July","August","September","October","November","December")</f>
        <v>November</v>
      </c>
      <c r="I132" s="51">
        <f ca="1">DATEDIF(G132,TODAY(),"Y")</f>
        <v>5</v>
      </c>
      <c r="J132" s="52" t="s">
        <v>283</v>
      </c>
      <c r="K132" s="53">
        <v>46230</v>
      </c>
      <c r="L132" s="54">
        <v>2</v>
      </c>
    </row>
    <row r="133" spans="1:12" ht="15">
      <c r="A133" s="39" t="s">
        <v>504</v>
      </c>
      <c r="B133" s="46" t="s">
        <v>271</v>
      </c>
      <c r="C133" s="39" t="s">
        <v>381</v>
      </c>
      <c r="D133" s="72">
        <v>925049144</v>
      </c>
      <c r="E133" s="73">
        <v>2524752921</v>
      </c>
      <c r="F133" s="39" t="s">
        <v>256</v>
      </c>
      <c r="G133" s="81">
        <v>36249</v>
      </c>
      <c r="H133" s="105" t="str">
        <f>CHOOSE(MONTH(G133),"January","February","March","April","May","June","July","August","September","October","November","December")</f>
        <v>March</v>
      </c>
      <c r="I133" s="51">
        <f ca="1">DATEDIF(G133,TODAY(),"Y")</f>
        <v>17</v>
      </c>
      <c r="J133" s="52" t="s">
        <v>257</v>
      </c>
      <c r="K133" s="53">
        <v>49860</v>
      </c>
      <c r="L133" s="54">
        <v>2</v>
      </c>
    </row>
    <row r="134" spans="1:12" ht="15">
      <c r="A134" s="39" t="s">
        <v>975</v>
      </c>
      <c r="B134" s="46" t="s">
        <v>251</v>
      </c>
      <c r="C134" s="39" t="s">
        <v>391</v>
      </c>
      <c r="D134" s="72">
        <v>938508346</v>
      </c>
      <c r="E134" s="78">
        <v>2526738901</v>
      </c>
      <c r="F134" s="39" t="s">
        <v>247</v>
      </c>
      <c r="G134" s="81">
        <v>33245</v>
      </c>
      <c r="H134" s="105" t="str">
        <f>CHOOSE(MONTH(G134),"January","February","March","April","May","June","July","August","September","October","November","December")</f>
        <v>January</v>
      </c>
      <c r="I134" s="51">
        <f ca="1">DATEDIF(G134,TODAY(),"Y")</f>
        <v>25</v>
      </c>
      <c r="J134" s="52"/>
      <c r="K134" s="53">
        <v>80050</v>
      </c>
      <c r="L134" s="54">
        <v>2</v>
      </c>
    </row>
    <row r="135" spans="1:12" ht="15">
      <c r="A135" s="39" t="s">
        <v>458</v>
      </c>
      <c r="B135" s="46" t="s">
        <v>285</v>
      </c>
      <c r="C135" s="39" t="s">
        <v>391</v>
      </c>
      <c r="D135" s="72">
        <v>195245117</v>
      </c>
      <c r="E135" s="73">
        <v>9193451072</v>
      </c>
      <c r="F135" s="39" t="s">
        <v>252</v>
      </c>
      <c r="G135" s="81">
        <v>35673</v>
      </c>
      <c r="H135" s="105" t="str">
        <f>CHOOSE(MONTH(G135),"January","February","March","April","May","June","July","August","September","October","November","December")</f>
        <v>August</v>
      </c>
      <c r="I135" s="51">
        <f ca="1">DATEDIF(G135,TODAY(),"Y")</f>
        <v>19</v>
      </c>
      <c r="J135" s="52"/>
      <c r="K135" s="53">
        <v>12676</v>
      </c>
      <c r="L135" s="54">
        <v>2</v>
      </c>
    </row>
    <row r="136" spans="1:12" ht="15">
      <c r="A136" s="39" t="s">
        <v>539</v>
      </c>
      <c r="B136" s="46" t="s">
        <v>280</v>
      </c>
      <c r="C136" s="39" t="s">
        <v>391</v>
      </c>
      <c r="D136" s="72">
        <v>581823751</v>
      </c>
      <c r="E136" s="73">
        <v>2528577225</v>
      </c>
      <c r="F136" s="39" t="s">
        <v>247</v>
      </c>
      <c r="G136" s="81">
        <v>37667</v>
      </c>
      <c r="H136" s="105" t="str">
        <f>CHOOSE(MONTH(G136),"January","February","March","April","May","June","July","August","September","October","November","December")</f>
        <v>February</v>
      </c>
      <c r="I136" s="51">
        <f ca="1">DATEDIF(G136,TODAY(),"Y")</f>
        <v>13</v>
      </c>
      <c r="J136" s="52"/>
      <c r="K136" s="53">
        <v>73390</v>
      </c>
      <c r="L136" s="54">
        <v>2</v>
      </c>
    </row>
    <row r="137" spans="1:12" ht="15">
      <c r="A137" s="39" t="s">
        <v>816</v>
      </c>
      <c r="B137" s="46" t="s">
        <v>245</v>
      </c>
      <c r="C137" s="39" t="s">
        <v>391</v>
      </c>
      <c r="D137" s="72">
        <v>681596577</v>
      </c>
      <c r="E137" s="73">
        <v>9192387348</v>
      </c>
      <c r="F137" s="39" t="s">
        <v>247</v>
      </c>
      <c r="G137" s="81">
        <v>35150</v>
      </c>
      <c r="H137" s="105" t="str">
        <f>CHOOSE(MONTH(G137),"January","February","March","April","May","June","July","August","September","October","November","December")</f>
        <v>March</v>
      </c>
      <c r="I137" s="51">
        <f ca="1">DATEDIF(G137,TODAY(),"Y")</f>
        <v>20</v>
      </c>
      <c r="J137" s="52"/>
      <c r="K137" s="53">
        <v>35260</v>
      </c>
      <c r="L137" s="54">
        <v>2</v>
      </c>
    </row>
    <row r="138" spans="1:12" ht="15">
      <c r="A138" s="39" t="s">
        <v>474</v>
      </c>
      <c r="B138" s="46" t="s">
        <v>245</v>
      </c>
      <c r="C138" s="39" t="s">
        <v>411</v>
      </c>
      <c r="D138" s="72">
        <v>914041569</v>
      </c>
      <c r="E138" s="73">
        <v>9196082608</v>
      </c>
      <c r="F138" s="39" t="s">
        <v>256</v>
      </c>
      <c r="G138" s="103">
        <v>40400</v>
      </c>
      <c r="H138" s="105" t="str">
        <f>CHOOSE(MONTH(G138),"January","February","March","April","May","June","July","August","September","October","November","December")</f>
        <v>August</v>
      </c>
      <c r="I138" s="51">
        <f ca="1">DATEDIF(G138,TODAY(),"Y")</f>
        <v>6</v>
      </c>
      <c r="J138" s="52" t="s">
        <v>283</v>
      </c>
      <c r="K138" s="53">
        <v>79150</v>
      </c>
      <c r="L138" s="54">
        <v>2</v>
      </c>
    </row>
    <row r="139" spans="1:12" ht="15">
      <c r="A139" s="39" t="s">
        <v>394</v>
      </c>
      <c r="B139" s="46" t="s">
        <v>271</v>
      </c>
      <c r="C139" s="39" t="s">
        <v>411</v>
      </c>
      <c r="D139" s="72">
        <v>999789446</v>
      </c>
      <c r="E139" s="73">
        <v>2521696804</v>
      </c>
      <c r="F139" s="39" t="s">
        <v>256</v>
      </c>
      <c r="G139" s="81">
        <v>35329</v>
      </c>
      <c r="H139" s="105" t="str">
        <f>CHOOSE(MONTH(G139),"January","February","March","April","May","June","July","August","September","October","November","December")</f>
        <v>September</v>
      </c>
      <c r="I139" s="51">
        <f ca="1">DATEDIF(G139,TODAY(),"Y")</f>
        <v>20</v>
      </c>
      <c r="J139" s="52" t="s">
        <v>257</v>
      </c>
      <c r="K139" s="53">
        <v>66740</v>
      </c>
      <c r="L139" s="54">
        <v>2</v>
      </c>
    </row>
    <row r="140" spans="1:12" ht="15">
      <c r="A140" s="39" t="s">
        <v>480</v>
      </c>
      <c r="B140" s="46" t="s">
        <v>285</v>
      </c>
      <c r="C140" s="39" t="s">
        <v>411</v>
      </c>
      <c r="D140" s="72">
        <v>699053064</v>
      </c>
      <c r="E140" s="73">
        <v>9191299076</v>
      </c>
      <c r="F140" s="39" t="s">
        <v>247</v>
      </c>
      <c r="G140" s="81">
        <v>38527</v>
      </c>
      <c r="H140" s="105" t="str">
        <f>CHOOSE(MONTH(G140),"January","February","March","April","May","June","July","August","September","October","November","December")</f>
        <v>June</v>
      </c>
      <c r="I140" s="51">
        <f ca="1">DATEDIF(G140,TODAY(),"Y")</f>
        <v>11</v>
      </c>
      <c r="J140" s="52"/>
      <c r="K140" s="53">
        <v>60060</v>
      </c>
      <c r="L140" s="54">
        <v>2</v>
      </c>
    </row>
    <row r="141" spans="1:12" ht="15">
      <c r="A141" s="39" t="s">
        <v>840</v>
      </c>
      <c r="B141" s="46" t="s">
        <v>251</v>
      </c>
      <c r="C141" s="39" t="s">
        <v>417</v>
      </c>
      <c r="D141" s="72">
        <v>212136062</v>
      </c>
      <c r="E141" s="73">
        <v>9197226463</v>
      </c>
      <c r="F141" s="39" t="s">
        <v>256</v>
      </c>
      <c r="G141" s="81">
        <v>36082</v>
      </c>
      <c r="H141" s="105" t="str">
        <f>CHOOSE(MONTH(G141),"January","February","March","April","May","June","July","August","September","October","November","December")</f>
        <v>October</v>
      </c>
      <c r="I141" s="51">
        <f ca="1">DATEDIF(G141,TODAY(),"Y")</f>
        <v>18</v>
      </c>
      <c r="J141" s="52" t="s">
        <v>283</v>
      </c>
      <c r="K141" s="53">
        <v>82400</v>
      </c>
      <c r="L141" s="54">
        <v>2</v>
      </c>
    </row>
    <row r="142" spans="1:12" ht="15">
      <c r="A142" s="39" t="s">
        <v>831</v>
      </c>
      <c r="B142" s="46" t="s">
        <v>285</v>
      </c>
      <c r="C142" s="39" t="s">
        <v>417</v>
      </c>
      <c r="D142" s="72">
        <v>927043360</v>
      </c>
      <c r="E142" s="73">
        <v>2526053287</v>
      </c>
      <c r="F142" s="39" t="s">
        <v>247</v>
      </c>
      <c r="G142" s="81">
        <v>33424</v>
      </c>
      <c r="H142" s="105" t="str">
        <f>CHOOSE(MONTH(G142),"January","February","March","April","May","June","July","August","September","October","November","December")</f>
        <v>July</v>
      </c>
      <c r="I142" s="51">
        <f ca="1">DATEDIF(G142,TODAY(),"Y")</f>
        <v>25</v>
      </c>
      <c r="J142" s="52"/>
      <c r="K142" s="53">
        <v>22320</v>
      </c>
      <c r="L142" s="54">
        <v>2</v>
      </c>
    </row>
    <row r="143" spans="1:12" ht="15">
      <c r="A143" s="39" t="s">
        <v>659</v>
      </c>
      <c r="B143" s="46" t="s">
        <v>245</v>
      </c>
      <c r="C143" s="39" t="s">
        <v>417</v>
      </c>
      <c r="D143" s="72">
        <v>429283827</v>
      </c>
      <c r="E143" s="73">
        <v>9195508095</v>
      </c>
      <c r="F143" s="39" t="s">
        <v>256</v>
      </c>
      <c r="G143" s="81">
        <v>36643</v>
      </c>
      <c r="H143" s="105" t="str">
        <f>CHOOSE(MONTH(G143),"January","February","March","April","May","June","July","August","September","October","November","December")</f>
        <v>April</v>
      </c>
      <c r="I143" s="51">
        <f ca="1">DATEDIF(G143,TODAY(),"Y")</f>
        <v>16</v>
      </c>
      <c r="J143" s="52" t="s">
        <v>283</v>
      </c>
      <c r="K143" s="53">
        <v>71380</v>
      </c>
      <c r="L143" s="54">
        <v>2</v>
      </c>
    </row>
    <row r="144" spans="1:12" ht="15">
      <c r="A144" s="39" t="s">
        <v>516</v>
      </c>
      <c r="B144" s="46" t="s">
        <v>245</v>
      </c>
      <c r="C144" s="39" t="s">
        <v>417</v>
      </c>
      <c r="D144" s="72">
        <v>932787692</v>
      </c>
      <c r="E144" s="73">
        <v>2522612740</v>
      </c>
      <c r="F144" s="39" t="s">
        <v>247</v>
      </c>
      <c r="G144" s="81">
        <v>34161</v>
      </c>
      <c r="H144" s="105" t="str">
        <f>CHOOSE(MONTH(G144),"January","February","March","April","May","June","July","August","September","October","November","December")</f>
        <v>July</v>
      </c>
      <c r="I144" s="51">
        <f ca="1">DATEDIF(G144,TODAY(),"Y")</f>
        <v>23</v>
      </c>
      <c r="J144" s="52"/>
      <c r="K144" s="53">
        <v>64090</v>
      </c>
      <c r="L144" s="54">
        <v>2</v>
      </c>
    </row>
    <row r="145" spans="1:12" ht="15">
      <c r="A145" s="39" t="s">
        <v>543</v>
      </c>
      <c r="B145" s="46" t="s">
        <v>285</v>
      </c>
      <c r="C145" s="39" t="s">
        <v>417</v>
      </c>
      <c r="D145" s="72">
        <v>393051351</v>
      </c>
      <c r="E145" s="73">
        <v>9197508998</v>
      </c>
      <c r="F145" s="39" t="s">
        <v>261</v>
      </c>
      <c r="G145" s="81">
        <v>35186</v>
      </c>
      <c r="H145" s="105" t="str">
        <f>CHOOSE(MONTH(G145),"January","February","March","April","May","June","July","August","September","October","November","December")</f>
        <v>May</v>
      </c>
      <c r="I145" s="51">
        <f ca="1">DATEDIF(G145,TODAY(),"Y")</f>
        <v>20</v>
      </c>
      <c r="J145" s="52" t="s">
        <v>276</v>
      </c>
      <c r="K145" s="53">
        <v>32835</v>
      </c>
      <c r="L145" s="54">
        <v>2</v>
      </c>
    </row>
    <row r="146" spans="1:12" ht="15">
      <c r="A146" s="39" t="s">
        <v>498</v>
      </c>
      <c r="B146" s="46" t="s">
        <v>271</v>
      </c>
      <c r="C146" s="39" t="s">
        <v>417</v>
      </c>
      <c r="D146" s="72">
        <v>503349830</v>
      </c>
      <c r="E146" s="73">
        <v>9191999230</v>
      </c>
      <c r="F146" s="39" t="s">
        <v>256</v>
      </c>
      <c r="G146" s="81">
        <v>33405</v>
      </c>
      <c r="H146" s="105" t="str">
        <f>CHOOSE(MONTH(G146),"January","February","March","April","May","June","July","August","September","October","November","December")</f>
        <v>June</v>
      </c>
      <c r="I146" s="51">
        <f ca="1">DATEDIF(G146,TODAY(),"Y")</f>
        <v>25</v>
      </c>
      <c r="J146" s="52" t="s">
        <v>283</v>
      </c>
      <c r="K146" s="53">
        <v>32140</v>
      </c>
      <c r="L146" s="54">
        <v>2</v>
      </c>
    </row>
    <row r="147" spans="1:12" ht="15">
      <c r="A147" s="39" t="s">
        <v>1014</v>
      </c>
      <c r="B147" s="46" t="s">
        <v>271</v>
      </c>
      <c r="C147" s="39" t="s">
        <v>465</v>
      </c>
      <c r="D147" s="72">
        <v>829216164</v>
      </c>
      <c r="E147" s="73">
        <v>2524982487</v>
      </c>
      <c r="F147" s="39" t="s">
        <v>247</v>
      </c>
      <c r="G147" s="81">
        <v>39545</v>
      </c>
      <c r="H147" s="105" t="str">
        <f>CHOOSE(MONTH(G147),"January","February","March","April","May","June","July","August","September","October","November","December")</f>
        <v>April</v>
      </c>
      <c r="I147" s="51">
        <f ca="1">DATEDIF(G147,TODAY(),"Y")</f>
        <v>8</v>
      </c>
      <c r="J147" s="52"/>
      <c r="K147" s="53">
        <v>84170</v>
      </c>
      <c r="L147" s="54">
        <v>2</v>
      </c>
    </row>
    <row r="148" spans="1:12" ht="15">
      <c r="A148" s="39" t="s">
        <v>396</v>
      </c>
      <c r="B148" s="46" t="s">
        <v>271</v>
      </c>
      <c r="C148" s="39" t="s">
        <v>465</v>
      </c>
      <c r="D148" s="72">
        <v>910964196</v>
      </c>
      <c r="E148" s="73">
        <v>9194361873</v>
      </c>
      <c r="F148" s="39" t="s">
        <v>247</v>
      </c>
      <c r="G148" s="81">
        <v>33819</v>
      </c>
      <c r="H148" s="105" t="str">
        <f>CHOOSE(MONTH(G148),"January","February","March","April","May","June","July","August","September","October","November","December")</f>
        <v>August</v>
      </c>
      <c r="I148" s="51">
        <f ca="1">DATEDIF(G148,TODAY(),"Y")</f>
        <v>24</v>
      </c>
      <c r="J148" s="52"/>
      <c r="K148" s="53">
        <v>49530</v>
      </c>
      <c r="L148" s="54">
        <v>2</v>
      </c>
    </row>
    <row r="149" spans="1:12" ht="15">
      <c r="A149" s="39" t="s">
        <v>685</v>
      </c>
      <c r="B149" s="46" t="s">
        <v>245</v>
      </c>
      <c r="C149" s="39" t="s">
        <v>465</v>
      </c>
      <c r="D149" s="72">
        <v>566726453</v>
      </c>
      <c r="E149" s="73">
        <v>9192168237</v>
      </c>
      <c r="F149" s="39" t="s">
        <v>256</v>
      </c>
      <c r="G149" s="81">
        <v>35020</v>
      </c>
      <c r="H149" s="105" t="str">
        <f>CHOOSE(MONTH(G149),"January","February","March","April","May","June","July","August","September","October","November","December")</f>
        <v>November</v>
      </c>
      <c r="I149" s="51">
        <f ca="1">DATEDIF(G149,TODAY(),"Y")</f>
        <v>20</v>
      </c>
      <c r="J149" s="52" t="s">
        <v>262</v>
      </c>
      <c r="K149" s="53">
        <v>38940</v>
      </c>
      <c r="L149" s="54">
        <v>2</v>
      </c>
    </row>
    <row r="150" spans="1:12" ht="15">
      <c r="A150" s="39" t="s">
        <v>735</v>
      </c>
      <c r="B150" s="46" t="s">
        <v>271</v>
      </c>
      <c r="C150" s="39" t="s">
        <v>465</v>
      </c>
      <c r="D150" s="72">
        <v>380653169</v>
      </c>
      <c r="E150" s="73">
        <v>9194743535</v>
      </c>
      <c r="F150" s="39" t="s">
        <v>256</v>
      </c>
      <c r="G150" s="81">
        <v>34151</v>
      </c>
      <c r="H150" s="105" t="str">
        <f>CHOOSE(MONTH(G150),"January","February","March","April","May","June","July","August","September","October","November","December")</f>
        <v>July</v>
      </c>
      <c r="I150" s="51">
        <f ca="1">DATEDIF(G150,TODAY(),"Y")</f>
        <v>23</v>
      </c>
      <c r="J150" s="52" t="s">
        <v>283</v>
      </c>
      <c r="K150" s="53">
        <v>81980</v>
      </c>
      <c r="L150" s="54">
        <v>2</v>
      </c>
    </row>
    <row r="151" spans="1:12" ht="15">
      <c r="A151" s="39" t="s">
        <v>351</v>
      </c>
      <c r="B151" s="46" t="s">
        <v>251</v>
      </c>
      <c r="C151" s="39" t="s">
        <v>465</v>
      </c>
      <c r="D151" s="72">
        <v>923123594</v>
      </c>
      <c r="E151" s="73">
        <v>2528669137</v>
      </c>
      <c r="F151" s="39" t="s">
        <v>256</v>
      </c>
      <c r="G151" s="81">
        <v>36198</v>
      </c>
      <c r="H151" s="105" t="str">
        <f>CHOOSE(MONTH(G151),"January","February","March","April","May","June","July","August","September","October","November","December")</f>
        <v>February</v>
      </c>
      <c r="I151" s="51">
        <f ca="1">DATEDIF(G151,TODAY(),"Y")</f>
        <v>17</v>
      </c>
      <c r="J151" s="52" t="s">
        <v>276</v>
      </c>
      <c r="K151" s="53">
        <v>81400</v>
      </c>
      <c r="L151" s="54">
        <v>2</v>
      </c>
    </row>
    <row r="152" spans="1:12" ht="15">
      <c r="A152" s="39" t="s">
        <v>493</v>
      </c>
      <c r="B152" s="46" t="s">
        <v>266</v>
      </c>
      <c r="C152" s="39" t="s">
        <v>465</v>
      </c>
      <c r="D152" s="72">
        <v>425634540</v>
      </c>
      <c r="E152" s="73">
        <v>9196969994</v>
      </c>
      <c r="F152" s="39" t="s">
        <v>256</v>
      </c>
      <c r="G152" s="81">
        <v>40175</v>
      </c>
      <c r="H152" s="105" t="str">
        <f>CHOOSE(MONTH(G152),"January","February","March","April","May","June","July","August","September","October","November","December")</f>
        <v>December</v>
      </c>
      <c r="I152" s="51">
        <f ca="1">DATEDIF(G152,TODAY(),"Y")</f>
        <v>6</v>
      </c>
      <c r="J152" s="52" t="s">
        <v>267</v>
      </c>
      <c r="K152" s="53">
        <v>34690</v>
      </c>
      <c r="L152" s="54">
        <v>2</v>
      </c>
    </row>
    <row r="153" spans="1:12" ht="15">
      <c r="A153" s="39" t="s">
        <v>614</v>
      </c>
      <c r="B153" s="46" t="s">
        <v>271</v>
      </c>
      <c r="C153" s="39" t="s">
        <v>465</v>
      </c>
      <c r="D153" s="72">
        <v>501523688</v>
      </c>
      <c r="E153" s="73">
        <v>2528560698</v>
      </c>
      <c r="F153" s="39" t="s">
        <v>256</v>
      </c>
      <c r="G153" s="81">
        <v>35520</v>
      </c>
      <c r="H153" s="105" t="str">
        <f>CHOOSE(MONTH(G153),"January","February","March","April","May","June","July","August","September","October","November","December")</f>
        <v>March</v>
      </c>
      <c r="I153" s="51">
        <f ca="1">DATEDIF(G153,TODAY(),"Y")</f>
        <v>19</v>
      </c>
      <c r="J153" s="52" t="s">
        <v>257</v>
      </c>
      <c r="K153" s="53">
        <v>79730</v>
      </c>
      <c r="L153" s="54">
        <v>2</v>
      </c>
    </row>
    <row r="154" spans="1:12" ht="15">
      <c r="A154" s="39" t="s">
        <v>1028</v>
      </c>
      <c r="B154" s="46" t="s">
        <v>285</v>
      </c>
      <c r="C154" s="39" t="s">
        <v>465</v>
      </c>
      <c r="D154" s="72">
        <v>412611335</v>
      </c>
      <c r="E154" s="73">
        <v>2525998691</v>
      </c>
      <c r="F154" s="39" t="s">
        <v>247</v>
      </c>
      <c r="G154" s="81">
        <v>38507</v>
      </c>
      <c r="H154" s="105" t="str">
        <f>CHOOSE(MONTH(G154),"January","February","March","April","May","June","July","August","September","October","November","December")</f>
        <v>June</v>
      </c>
      <c r="I154" s="51">
        <f ca="1">DATEDIF(G154,TODAY(),"Y")</f>
        <v>11</v>
      </c>
      <c r="J154" s="52"/>
      <c r="K154" s="53">
        <v>40940</v>
      </c>
      <c r="L154" s="54">
        <v>2</v>
      </c>
    </row>
    <row r="155" spans="1:12" ht="15">
      <c r="A155" s="39" t="s">
        <v>886</v>
      </c>
      <c r="B155" s="46" t="s">
        <v>271</v>
      </c>
      <c r="C155" s="39" t="s">
        <v>465</v>
      </c>
      <c r="D155" s="72">
        <v>775217609</v>
      </c>
      <c r="E155" s="73">
        <v>9191591006</v>
      </c>
      <c r="F155" s="39" t="s">
        <v>256</v>
      </c>
      <c r="G155" s="81">
        <v>34404</v>
      </c>
      <c r="H155" s="105" t="str">
        <f>CHOOSE(MONTH(G155),"January","February","March","April","May","June","July","August","September","October","November","December")</f>
        <v>March</v>
      </c>
      <c r="I155" s="51">
        <f ca="1">DATEDIF(G155,TODAY(),"Y")</f>
        <v>22</v>
      </c>
      <c r="J155" s="52" t="s">
        <v>283</v>
      </c>
      <c r="K155" s="53">
        <v>24710</v>
      </c>
      <c r="L155" s="54">
        <v>2</v>
      </c>
    </row>
    <row r="156" spans="1:12" ht="15">
      <c r="A156" s="39" t="s">
        <v>940</v>
      </c>
      <c r="B156" s="46" t="s">
        <v>285</v>
      </c>
      <c r="C156" s="39" t="s">
        <v>465</v>
      </c>
      <c r="D156" s="72">
        <v>482927373</v>
      </c>
      <c r="E156" s="73">
        <v>9198413271</v>
      </c>
      <c r="F156" s="39" t="s">
        <v>256</v>
      </c>
      <c r="G156" s="81">
        <v>35526</v>
      </c>
      <c r="H156" s="105" t="str">
        <f>CHOOSE(MONTH(G156),"January","February","March","April","May","June","July","August","September","October","November","December")</f>
        <v>April</v>
      </c>
      <c r="I156" s="51">
        <f ca="1">DATEDIF(G156,TODAY(),"Y")</f>
        <v>19</v>
      </c>
      <c r="J156" s="52" t="s">
        <v>283</v>
      </c>
      <c r="K156" s="53">
        <v>32390</v>
      </c>
      <c r="L156" s="54">
        <v>2</v>
      </c>
    </row>
    <row r="157" spans="1:12" ht="15">
      <c r="A157" s="39" t="s">
        <v>489</v>
      </c>
      <c r="B157" s="46" t="s">
        <v>285</v>
      </c>
      <c r="C157" s="39" t="s">
        <v>465</v>
      </c>
      <c r="D157" s="72">
        <v>589649495</v>
      </c>
      <c r="E157" s="73">
        <v>2524248455</v>
      </c>
      <c r="F157" s="39" t="s">
        <v>256</v>
      </c>
      <c r="G157" s="81">
        <v>36707</v>
      </c>
      <c r="H157" s="105" t="str">
        <f>CHOOSE(MONTH(G157),"January","February","March","April","May","June","July","August","September","October","November","December")</f>
        <v>June</v>
      </c>
      <c r="I157" s="51">
        <f ca="1">DATEDIF(G157,TODAY(),"Y")</f>
        <v>16</v>
      </c>
      <c r="J157" s="52" t="s">
        <v>276</v>
      </c>
      <c r="K157" s="53">
        <v>38870</v>
      </c>
      <c r="L157" s="54">
        <v>2</v>
      </c>
    </row>
    <row r="158" spans="1:12" ht="15">
      <c r="A158" s="39" t="s">
        <v>623</v>
      </c>
      <c r="B158" s="46" t="s">
        <v>245</v>
      </c>
      <c r="C158" s="39" t="s">
        <v>465</v>
      </c>
      <c r="D158" s="72">
        <v>466947318</v>
      </c>
      <c r="E158" s="73">
        <v>9191765611</v>
      </c>
      <c r="F158" s="39" t="s">
        <v>256</v>
      </c>
      <c r="G158" s="81">
        <v>40578</v>
      </c>
      <c r="H158" s="105" t="str">
        <f>CHOOSE(MONTH(G158),"January","February","March","April","May","June","July","August","September","October","November","December")</f>
        <v>February</v>
      </c>
      <c r="I158" s="51">
        <f ca="1">DATEDIF(G158,TODAY(),"Y")</f>
        <v>5</v>
      </c>
      <c r="J158" s="52" t="s">
        <v>257</v>
      </c>
      <c r="K158" s="53">
        <v>43820</v>
      </c>
      <c r="L158" s="54">
        <v>2</v>
      </c>
    </row>
    <row r="159" spans="1:12" ht="15">
      <c r="A159" s="39" t="s">
        <v>587</v>
      </c>
      <c r="B159" s="46" t="s">
        <v>245</v>
      </c>
      <c r="C159" s="39" t="s">
        <v>465</v>
      </c>
      <c r="D159" s="72">
        <v>354619285</v>
      </c>
      <c r="E159" s="73">
        <v>2526657361</v>
      </c>
      <c r="F159" s="39" t="s">
        <v>256</v>
      </c>
      <c r="G159" s="81">
        <v>36122</v>
      </c>
      <c r="H159" s="105" t="str">
        <f>CHOOSE(MONTH(G159),"January","February","March","April","May","June","July","August","September","October","November","December")</f>
        <v>November</v>
      </c>
      <c r="I159" s="51">
        <f ca="1">DATEDIF(G159,TODAY(),"Y")</f>
        <v>17</v>
      </c>
      <c r="J159" s="52" t="s">
        <v>262</v>
      </c>
      <c r="K159" s="53">
        <v>22660</v>
      </c>
      <c r="L159" s="54">
        <v>2</v>
      </c>
    </row>
    <row r="160" spans="1:12" ht="15">
      <c r="A160" s="39" t="s">
        <v>1029</v>
      </c>
      <c r="B160" s="46" t="s">
        <v>285</v>
      </c>
      <c r="C160" s="39" t="s">
        <v>465</v>
      </c>
      <c r="D160" s="72">
        <v>378281658</v>
      </c>
      <c r="E160" s="73">
        <v>9196705508</v>
      </c>
      <c r="F160" s="39" t="s">
        <v>247</v>
      </c>
      <c r="G160" s="81">
        <v>38073</v>
      </c>
      <c r="H160" s="105" t="str">
        <f>CHOOSE(MONTH(G160),"January","February","March","April","May","June","July","August","September","October","November","December")</f>
        <v>March</v>
      </c>
      <c r="I160" s="51">
        <f ca="1">DATEDIF(G160,TODAY(),"Y")</f>
        <v>12</v>
      </c>
      <c r="J160" s="52"/>
      <c r="K160" s="53">
        <v>39300</v>
      </c>
      <c r="L160" s="54">
        <v>2</v>
      </c>
    </row>
    <row r="161" spans="1:12" ht="15">
      <c r="A161" s="45" t="s">
        <v>279</v>
      </c>
      <c r="B161" s="46" t="s">
        <v>285</v>
      </c>
      <c r="C161" s="39" t="s">
        <v>465</v>
      </c>
      <c r="D161" s="72">
        <v>597131266</v>
      </c>
      <c r="E161" s="73">
        <v>9195043141</v>
      </c>
      <c r="F161" s="39" t="s">
        <v>256</v>
      </c>
      <c r="G161" s="81">
        <v>35703</v>
      </c>
      <c r="H161" s="105" t="str">
        <f>CHOOSE(MONTH(G161),"January","February","March","April","May","June","July","August","September","October","November","December")</f>
        <v>September</v>
      </c>
      <c r="I161" s="51">
        <f ca="1">DATEDIF(G161,TODAY(),"Y")</f>
        <v>19</v>
      </c>
      <c r="J161" s="52" t="s">
        <v>262</v>
      </c>
      <c r="K161" s="53">
        <v>66430</v>
      </c>
      <c r="L161" s="54">
        <v>2</v>
      </c>
    </row>
    <row r="162" spans="1:12" ht="15">
      <c r="A162" s="39" t="s">
        <v>628</v>
      </c>
      <c r="B162" s="46" t="s">
        <v>271</v>
      </c>
      <c r="C162" s="39" t="s">
        <v>465</v>
      </c>
      <c r="D162" s="72">
        <v>687006783</v>
      </c>
      <c r="E162" s="73">
        <v>2524919418</v>
      </c>
      <c r="F162" s="39" t="s">
        <v>247</v>
      </c>
      <c r="G162" s="81">
        <v>35379</v>
      </c>
      <c r="H162" s="105" t="str">
        <f>CHOOSE(MONTH(G162),"January","February","March","April","May","June","July","August","September","October","November","December")</f>
        <v>November</v>
      </c>
      <c r="I162" s="51">
        <f ca="1">DATEDIF(G162,TODAY(),"Y")</f>
        <v>20</v>
      </c>
      <c r="J162" s="52"/>
      <c r="K162" s="53">
        <v>66010</v>
      </c>
      <c r="L162" s="54">
        <v>2</v>
      </c>
    </row>
    <row r="163" spans="1:12" ht="15">
      <c r="A163" s="39" t="s">
        <v>410</v>
      </c>
      <c r="B163" s="46" t="s">
        <v>271</v>
      </c>
      <c r="C163" s="39" t="s">
        <v>465</v>
      </c>
      <c r="D163" s="72">
        <v>147724014</v>
      </c>
      <c r="E163" s="73">
        <v>9192212512</v>
      </c>
      <c r="F163" s="39" t="s">
        <v>256</v>
      </c>
      <c r="G163" s="81">
        <v>35188</v>
      </c>
      <c r="H163" s="105" t="str">
        <f>CHOOSE(MONTH(G163),"January","February","March","April","May","June","July","August","September","October","November","December")</f>
        <v>May</v>
      </c>
      <c r="I163" s="51">
        <f ca="1">DATEDIF(G163,TODAY(),"Y")</f>
        <v>20</v>
      </c>
      <c r="J163" s="52" t="s">
        <v>283</v>
      </c>
      <c r="K163" s="53">
        <v>44270</v>
      </c>
      <c r="L163" s="54">
        <v>2</v>
      </c>
    </row>
    <row r="164" spans="1:12" ht="15">
      <c r="A164" s="39" t="s">
        <v>1018</v>
      </c>
      <c r="B164" s="46" t="s">
        <v>285</v>
      </c>
      <c r="C164" s="39" t="s">
        <v>465</v>
      </c>
      <c r="D164" s="72">
        <v>114005397</v>
      </c>
      <c r="E164" s="73">
        <v>2524694617</v>
      </c>
      <c r="F164" s="39" t="s">
        <v>247</v>
      </c>
      <c r="G164" s="81">
        <v>39189</v>
      </c>
      <c r="H164" s="105" t="str">
        <f>CHOOSE(MONTH(G164),"January","February","March","April","May","June","July","August","September","October","November","December")</f>
        <v>April</v>
      </c>
      <c r="I164" s="51">
        <f ca="1">DATEDIF(G164,TODAY(),"Y")</f>
        <v>9</v>
      </c>
      <c r="J164" s="52"/>
      <c r="K164" s="53">
        <v>63850</v>
      </c>
      <c r="L164" s="54">
        <v>2</v>
      </c>
    </row>
    <row r="165" spans="1:12" ht="15">
      <c r="A165" s="39" t="s">
        <v>592</v>
      </c>
      <c r="B165" s="46" t="s">
        <v>280</v>
      </c>
      <c r="C165" s="39" t="s">
        <v>465</v>
      </c>
      <c r="D165" s="72">
        <v>396727504</v>
      </c>
      <c r="E165" s="73">
        <v>9193204992</v>
      </c>
      <c r="F165" s="39" t="s">
        <v>247</v>
      </c>
      <c r="G165" s="81">
        <v>36600</v>
      </c>
      <c r="H165" s="105" t="str">
        <f>CHOOSE(MONTH(G165),"January","February","March","April","May","June","July","August","September","October","November","December")</f>
        <v>March</v>
      </c>
      <c r="I165" s="51">
        <f ca="1">DATEDIF(G165,TODAY(),"Y")</f>
        <v>16</v>
      </c>
      <c r="J165" s="52"/>
      <c r="K165" s="53">
        <v>41840</v>
      </c>
      <c r="L165" s="54">
        <v>2</v>
      </c>
    </row>
    <row r="166" spans="1:12" ht="15">
      <c r="A166" s="39" t="s">
        <v>882</v>
      </c>
      <c r="B166" s="46" t="s">
        <v>271</v>
      </c>
      <c r="C166" s="39" t="s">
        <v>465</v>
      </c>
      <c r="D166" s="72">
        <v>280304785</v>
      </c>
      <c r="E166" s="73">
        <v>2525918708</v>
      </c>
      <c r="F166" s="39" t="s">
        <v>256</v>
      </c>
      <c r="G166" s="81">
        <v>35996</v>
      </c>
      <c r="H166" s="105" t="str">
        <f>CHOOSE(MONTH(G166),"January","February","March","April","May","June","July","August","September","October","November","December")</f>
        <v>July</v>
      </c>
      <c r="I166" s="51">
        <f ca="1">DATEDIF(G166,TODAY(),"Y")</f>
        <v>18</v>
      </c>
      <c r="J166" s="52" t="s">
        <v>257</v>
      </c>
      <c r="K166" s="53">
        <v>40340</v>
      </c>
      <c r="L166" s="54">
        <v>2</v>
      </c>
    </row>
    <row r="167" spans="1:12" ht="15">
      <c r="A167" s="39" t="s">
        <v>294</v>
      </c>
      <c r="B167" s="46" t="s">
        <v>245</v>
      </c>
      <c r="C167" s="39" t="s">
        <v>465</v>
      </c>
      <c r="D167" s="72">
        <v>684054281</v>
      </c>
      <c r="E167" s="73">
        <v>2522888726</v>
      </c>
      <c r="F167" s="39" t="s">
        <v>256</v>
      </c>
      <c r="G167" s="81">
        <v>38146</v>
      </c>
      <c r="H167" s="105" t="str">
        <f>CHOOSE(MONTH(G167),"January","February","March","April","May","June","July","August","September","October","November","December")</f>
        <v>June</v>
      </c>
      <c r="I167" s="51">
        <f ca="1">DATEDIF(G167,TODAY(),"Y")</f>
        <v>12</v>
      </c>
      <c r="J167" s="52" t="s">
        <v>257</v>
      </c>
      <c r="K167" s="53">
        <v>47340</v>
      </c>
      <c r="L167" s="54">
        <v>2</v>
      </c>
    </row>
    <row r="168" spans="1:12" ht="15">
      <c r="A168" s="39" t="s">
        <v>515</v>
      </c>
      <c r="B168" s="46" t="s">
        <v>251</v>
      </c>
      <c r="C168" s="39" t="s">
        <v>465</v>
      </c>
      <c r="D168" s="72">
        <v>696435191</v>
      </c>
      <c r="E168" s="73">
        <v>2527710498</v>
      </c>
      <c r="F168" s="39" t="s">
        <v>256</v>
      </c>
      <c r="G168" s="81">
        <v>35591</v>
      </c>
      <c r="H168" s="105" t="str">
        <f>CHOOSE(MONTH(G168),"January","February","March","April","May","June","July","August","September","October","November","December")</f>
        <v>June</v>
      </c>
      <c r="I168" s="51">
        <f ca="1">DATEDIF(G168,TODAY(),"Y")</f>
        <v>19</v>
      </c>
      <c r="J168" s="52" t="s">
        <v>283</v>
      </c>
      <c r="K168" s="53">
        <v>61150</v>
      </c>
      <c r="L168" s="54">
        <v>2</v>
      </c>
    </row>
    <row r="169" spans="1:12" ht="15">
      <c r="A169" s="39" t="s">
        <v>799</v>
      </c>
      <c r="B169" s="46" t="s">
        <v>285</v>
      </c>
      <c r="C169" s="39" t="s">
        <v>465</v>
      </c>
      <c r="D169" s="72">
        <v>559376297</v>
      </c>
      <c r="E169" s="73">
        <v>9194888110</v>
      </c>
      <c r="F169" s="39" t="s">
        <v>256</v>
      </c>
      <c r="G169" s="81">
        <v>36431</v>
      </c>
      <c r="H169" s="105" t="str">
        <f>CHOOSE(MONTH(G169),"January","February","March","April","May","June","July","August","September","October","November","December")</f>
        <v>September</v>
      </c>
      <c r="I169" s="51">
        <f ca="1">DATEDIF(G169,TODAY(),"Y")</f>
        <v>17</v>
      </c>
      <c r="J169" s="52" t="s">
        <v>257</v>
      </c>
      <c r="K169" s="53">
        <v>35820</v>
      </c>
      <c r="L169" s="54">
        <v>2</v>
      </c>
    </row>
    <row r="170" spans="1:12" ht="15">
      <c r="A170" s="39" t="s">
        <v>731</v>
      </c>
      <c r="B170" s="46" t="s">
        <v>285</v>
      </c>
      <c r="C170" s="39" t="s">
        <v>465</v>
      </c>
      <c r="D170" s="72">
        <v>319449613</v>
      </c>
      <c r="E170" s="73">
        <v>2523454032</v>
      </c>
      <c r="F170" s="39" t="s">
        <v>256</v>
      </c>
      <c r="G170" s="81">
        <v>36332</v>
      </c>
      <c r="H170" s="105" t="str">
        <f>CHOOSE(MONTH(G170),"January","February","March","April","May","June","July","August","September","October","November","December")</f>
        <v>June</v>
      </c>
      <c r="I170" s="51">
        <f ca="1">DATEDIF(G170,TODAY(),"Y")</f>
        <v>17</v>
      </c>
      <c r="J170" s="52" t="s">
        <v>267</v>
      </c>
      <c r="K170" s="53">
        <v>37760</v>
      </c>
      <c r="L170" s="54">
        <v>2</v>
      </c>
    </row>
    <row r="171" spans="1:12" ht="15">
      <c r="A171" s="39" t="s">
        <v>553</v>
      </c>
      <c r="B171" s="46" t="s">
        <v>285</v>
      </c>
      <c r="C171" s="39" t="s">
        <v>465</v>
      </c>
      <c r="D171" s="72">
        <v>337370590</v>
      </c>
      <c r="E171" s="73">
        <v>9197046530</v>
      </c>
      <c r="F171" s="39" t="s">
        <v>247</v>
      </c>
      <c r="G171" s="81">
        <v>38044</v>
      </c>
      <c r="H171" s="105" t="str">
        <f>CHOOSE(MONTH(G171),"January","February","March","April","May","June","July","August","September","October","November","December")</f>
        <v>February</v>
      </c>
      <c r="I171" s="51">
        <f ca="1">DATEDIF(G171,TODAY(),"Y")</f>
        <v>12</v>
      </c>
      <c r="J171" s="52"/>
      <c r="K171" s="53">
        <v>57410</v>
      </c>
      <c r="L171" s="54">
        <v>2</v>
      </c>
    </row>
    <row r="172" spans="1:12" ht="15">
      <c r="A172" s="39" t="s">
        <v>313</v>
      </c>
      <c r="B172" s="46" t="s">
        <v>251</v>
      </c>
      <c r="C172" s="39" t="s">
        <v>465</v>
      </c>
      <c r="D172" s="72">
        <v>783624212</v>
      </c>
      <c r="E172" s="73">
        <v>9193164024</v>
      </c>
      <c r="F172" s="39" t="s">
        <v>261</v>
      </c>
      <c r="G172" s="81">
        <v>34583</v>
      </c>
      <c r="H172" s="105" t="str">
        <f>CHOOSE(MONTH(G172),"January","February","March","April","May","June","July","August","September","October","November","December")</f>
        <v>September</v>
      </c>
      <c r="I172" s="51">
        <f ca="1">DATEDIF(G172,TODAY(),"Y")</f>
        <v>22</v>
      </c>
      <c r="J172" s="52" t="s">
        <v>262</v>
      </c>
      <c r="K172" s="53">
        <v>15260</v>
      </c>
      <c r="L172" s="54">
        <v>2</v>
      </c>
    </row>
    <row r="173" spans="1:12" ht="15">
      <c r="A173" s="39" t="s">
        <v>911</v>
      </c>
      <c r="B173" s="46" t="s">
        <v>280</v>
      </c>
      <c r="C173" s="39" t="s">
        <v>465</v>
      </c>
      <c r="D173" s="72">
        <v>575270646</v>
      </c>
      <c r="E173" s="73">
        <v>9197819805</v>
      </c>
      <c r="F173" s="39" t="s">
        <v>256</v>
      </c>
      <c r="G173" s="81">
        <v>39348</v>
      </c>
      <c r="H173" s="105" t="str">
        <f>CHOOSE(MONTH(G173),"January","February","March","April","May","June","July","August","September","October","November","December")</f>
        <v>September</v>
      </c>
      <c r="I173" s="51">
        <f ca="1">DATEDIF(G173,TODAY(),"Y")</f>
        <v>9</v>
      </c>
      <c r="J173" s="52" t="s">
        <v>257</v>
      </c>
      <c r="K173" s="53">
        <v>46220</v>
      </c>
      <c r="L173" s="54">
        <v>2</v>
      </c>
    </row>
    <row r="174" spans="1:12" ht="15">
      <c r="A174" s="39" t="s">
        <v>680</v>
      </c>
      <c r="B174" s="46" t="s">
        <v>251</v>
      </c>
      <c r="C174" s="39" t="s">
        <v>465</v>
      </c>
      <c r="D174" s="72">
        <v>311883362</v>
      </c>
      <c r="E174" s="73">
        <v>2526505454</v>
      </c>
      <c r="F174" s="39" t="s">
        <v>247</v>
      </c>
      <c r="G174" s="81">
        <v>37326</v>
      </c>
      <c r="H174" s="105" t="str">
        <f>CHOOSE(MONTH(G174),"January","February","March","April","May","June","July","August","September","October","November","December")</f>
        <v>March</v>
      </c>
      <c r="I174" s="51">
        <f ca="1">DATEDIF(G174,TODAY(),"Y")</f>
        <v>14</v>
      </c>
      <c r="J174" s="52"/>
      <c r="K174" s="53">
        <v>52770</v>
      </c>
      <c r="L174" s="54">
        <v>2</v>
      </c>
    </row>
    <row r="175" spans="1:12" ht="15">
      <c r="A175" s="39" t="s">
        <v>593</v>
      </c>
      <c r="B175" s="46" t="s">
        <v>271</v>
      </c>
      <c r="C175" s="39" t="s">
        <v>465</v>
      </c>
      <c r="D175" s="72">
        <v>569701716</v>
      </c>
      <c r="E175" s="73">
        <v>2527461285</v>
      </c>
      <c r="F175" s="39" t="s">
        <v>261</v>
      </c>
      <c r="G175" s="81">
        <v>36177</v>
      </c>
      <c r="H175" s="105" t="str">
        <f>CHOOSE(MONTH(G175),"January","February","March","April","May","June","July","August","September","October","November","December")</f>
        <v>January</v>
      </c>
      <c r="I175" s="51">
        <f ca="1">DATEDIF(G175,TODAY(),"Y")</f>
        <v>17</v>
      </c>
      <c r="J175" s="52" t="s">
        <v>267</v>
      </c>
      <c r="K175" s="53">
        <v>21670</v>
      </c>
      <c r="L175" s="54">
        <v>2</v>
      </c>
    </row>
    <row r="176" spans="1:12" ht="15">
      <c r="A176" s="39" t="s">
        <v>368</v>
      </c>
      <c r="B176" s="46" t="s">
        <v>266</v>
      </c>
      <c r="C176" s="39" t="s">
        <v>618</v>
      </c>
      <c r="D176" s="72">
        <v>380343690</v>
      </c>
      <c r="E176" s="73">
        <v>2523906310</v>
      </c>
      <c r="F176" s="39" t="s">
        <v>247</v>
      </c>
      <c r="G176" s="103">
        <v>40292</v>
      </c>
      <c r="H176" s="105" t="str">
        <f>CHOOSE(MONTH(G176),"January","February","March","April","May","June","July","August","September","October","November","December")</f>
        <v>April</v>
      </c>
      <c r="I176" s="51">
        <f ca="1">DATEDIF(G176,TODAY(),"Y")</f>
        <v>6</v>
      </c>
      <c r="J176" s="52"/>
      <c r="K176" s="53">
        <v>61890</v>
      </c>
      <c r="L176" s="54">
        <v>2</v>
      </c>
    </row>
    <row r="177" spans="1:12" ht="15">
      <c r="A177" s="39" t="s">
        <v>920</v>
      </c>
      <c r="B177" s="46" t="s">
        <v>285</v>
      </c>
      <c r="C177" s="39" t="s">
        <v>618</v>
      </c>
      <c r="D177" s="72">
        <v>214234804</v>
      </c>
      <c r="E177" s="73">
        <v>2528908079</v>
      </c>
      <c r="F177" s="39" t="s">
        <v>256</v>
      </c>
      <c r="G177" s="81">
        <v>37936</v>
      </c>
      <c r="H177" s="105" t="str">
        <f>CHOOSE(MONTH(G177),"January","February","March","April","May","June","July","August","September","October","November","December")</f>
        <v>November</v>
      </c>
      <c r="I177" s="51">
        <f ca="1">DATEDIF(G177,TODAY(),"Y")</f>
        <v>12</v>
      </c>
      <c r="J177" s="52" t="s">
        <v>283</v>
      </c>
      <c r="K177" s="53">
        <v>53870</v>
      </c>
      <c r="L177" s="54">
        <v>2</v>
      </c>
    </row>
    <row r="178" spans="1:12" ht="15">
      <c r="A178" s="39" t="s">
        <v>383</v>
      </c>
      <c r="B178" s="46" t="s">
        <v>280</v>
      </c>
      <c r="C178" s="39" t="s">
        <v>626</v>
      </c>
      <c r="D178" s="72">
        <v>357081517</v>
      </c>
      <c r="E178" s="73">
        <v>2527660273</v>
      </c>
      <c r="F178" s="39" t="s">
        <v>261</v>
      </c>
      <c r="G178" s="81">
        <v>36371</v>
      </c>
      <c r="H178" s="105" t="str">
        <f>CHOOSE(MONTH(G178),"January","February","March","April","May","June","July","August","September","October","November","December")</f>
        <v>July</v>
      </c>
      <c r="I178" s="51">
        <f ca="1">DATEDIF(G178,TODAY(),"Y")</f>
        <v>17</v>
      </c>
      <c r="J178" s="52" t="s">
        <v>283</v>
      </c>
      <c r="K178" s="53">
        <v>26790</v>
      </c>
      <c r="L178" s="54">
        <v>2</v>
      </c>
    </row>
    <row r="179" spans="1:12" ht="15">
      <c r="A179" s="39" t="s">
        <v>327</v>
      </c>
      <c r="B179" s="46" t="s">
        <v>266</v>
      </c>
      <c r="C179" s="39" t="s">
        <v>626</v>
      </c>
      <c r="D179" s="72">
        <v>355985853</v>
      </c>
      <c r="E179" s="73">
        <v>2525478716</v>
      </c>
      <c r="F179" s="39" t="s">
        <v>256</v>
      </c>
      <c r="G179" s="81">
        <v>36297</v>
      </c>
      <c r="H179" s="105" t="str">
        <f>CHOOSE(MONTH(G179),"January","February","March","April","May","June","July","August","September","October","November","December")</f>
        <v>May</v>
      </c>
      <c r="I179" s="51">
        <f ca="1">DATEDIF(G179,TODAY(),"Y")</f>
        <v>17</v>
      </c>
      <c r="J179" s="52" t="s">
        <v>257</v>
      </c>
      <c r="K179" s="53">
        <v>46030</v>
      </c>
      <c r="L179" s="54">
        <v>2</v>
      </c>
    </row>
    <row r="180" spans="1:12" ht="15">
      <c r="A180" s="39" t="s">
        <v>333</v>
      </c>
      <c r="B180" s="46" t="s">
        <v>271</v>
      </c>
      <c r="C180" s="39" t="s">
        <v>626</v>
      </c>
      <c r="D180" s="72">
        <v>168791562</v>
      </c>
      <c r="E180" s="73">
        <v>9194161772</v>
      </c>
      <c r="F180" s="39" t="s">
        <v>256</v>
      </c>
      <c r="G180" s="81">
        <v>40361</v>
      </c>
      <c r="H180" s="105" t="str">
        <f>CHOOSE(MONTH(G180),"January","February","March","April","May","June","July","August","September","October","November","December")</f>
        <v>July</v>
      </c>
      <c r="I180" s="51">
        <f ca="1">DATEDIF(G180,TODAY(),"Y")</f>
        <v>6</v>
      </c>
      <c r="J180" s="52" t="s">
        <v>267</v>
      </c>
      <c r="K180" s="53">
        <v>75780</v>
      </c>
      <c r="L180" s="54">
        <v>2</v>
      </c>
    </row>
    <row r="181" spans="1:12" ht="15">
      <c r="A181" s="39" t="s">
        <v>783</v>
      </c>
      <c r="B181" s="46" t="s">
        <v>245</v>
      </c>
      <c r="C181" s="39" t="s">
        <v>626</v>
      </c>
      <c r="D181" s="72">
        <v>948189231</v>
      </c>
      <c r="E181" s="73">
        <v>2527687161</v>
      </c>
      <c r="F181" s="39" t="s">
        <v>256</v>
      </c>
      <c r="G181" s="81">
        <v>33702</v>
      </c>
      <c r="H181" s="105" t="str">
        <f>CHOOSE(MONTH(G181),"January","February","March","April","May","June","July","August","September","October","November","December")</f>
        <v>April</v>
      </c>
      <c r="I181" s="51">
        <f ca="1">DATEDIF(G181,TODAY(),"Y")</f>
        <v>24</v>
      </c>
      <c r="J181" s="52" t="s">
        <v>257</v>
      </c>
      <c r="K181" s="53">
        <v>37020</v>
      </c>
      <c r="L181" s="54">
        <v>2</v>
      </c>
    </row>
    <row r="182" spans="1:12" ht="15">
      <c r="A182" s="39" t="s">
        <v>658</v>
      </c>
      <c r="B182" s="46" t="s">
        <v>285</v>
      </c>
      <c r="C182" s="39" t="s">
        <v>626</v>
      </c>
      <c r="D182" s="72">
        <v>385074661</v>
      </c>
      <c r="E182" s="73">
        <v>2527451745</v>
      </c>
      <c r="F182" s="39" t="s">
        <v>256</v>
      </c>
      <c r="G182" s="81">
        <v>34875</v>
      </c>
      <c r="H182" s="105" t="str">
        <f>CHOOSE(MONTH(G182),"January","February","March","April","May","June","July","August","September","October","November","December")</f>
        <v>June</v>
      </c>
      <c r="I182" s="51">
        <f ca="1">DATEDIF(G182,TODAY(),"Y")</f>
        <v>21</v>
      </c>
      <c r="J182" s="52" t="s">
        <v>276</v>
      </c>
      <c r="K182" s="53">
        <v>66920</v>
      </c>
      <c r="L182" s="54">
        <v>2</v>
      </c>
    </row>
    <row r="183" spans="1:12" ht="15">
      <c r="A183" s="39" t="s">
        <v>1009</v>
      </c>
      <c r="B183" s="46" t="s">
        <v>285</v>
      </c>
      <c r="C183" s="39" t="s">
        <v>626</v>
      </c>
      <c r="D183" s="72">
        <v>422957475</v>
      </c>
      <c r="E183" s="73">
        <v>2524273090</v>
      </c>
      <c r="F183" s="39" t="s">
        <v>256</v>
      </c>
      <c r="G183" s="81">
        <v>34177</v>
      </c>
      <c r="H183" s="105" t="str">
        <f>CHOOSE(MONTH(G183),"January","February","March","April","May","June","July","August","September","October","November","December")</f>
        <v>July</v>
      </c>
      <c r="I183" s="51">
        <f ca="1">DATEDIF(G183,TODAY(),"Y")</f>
        <v>23</v>
      </c>
      <c r="J183" s="52" t="s">
        <v>283</v>
      </c>
      <c r="K183" s="53">
        <v>65250</v>
      </c>
      <c r="L183" s="54">
        <v>2</v>
      </c>
    </row>
    <row r="184" spans="1:12" ht="15">
      <c r="A184" s="39" t="s">
        <v>807</v>
      </c>
      <c r="B184" s="46" t="s">
        <v>285</v>
      </c>
      <c r="C184" s="39" t="s">
        <v>626</v>
      </c>
      <c r="D184" s="72">
        <v>479081328</v>
      </c>
      <c r="E184" s="73">
        <v>2525368383</v>
      </c>
      <c r="F184" s="39" t="s">
        <v>247</v>
      </c>
      <c r="G184" s="81">
        <v>35682</v>
      </c>
      <c r="H184" s="105" t="str">
        <f>CHOOSE(MONTH(G184),"January","February","March","April","May","June","July","August","September","October","November","December")</f>
        <v>September</v>
      </c>
      <c r="I184" s="51">
        <f ca="1">DATEDIF(G184,TODAY(),"Y")</f>
        <v>19</v>
      </c>
      <c r="J184" s="52"/>
      <c r="K184" s="53">
        <v>63850</v>
      </c>
      <c r="L184" s="54">
        <v>2</v>
      </c>
    </row>
    <row r="185" spans="1:12" ht="15">
      <c r="A185" s="39" t="s">
        <v>594</v>
      </c>
      <c r="B185" s="46" t="s">
        <v>245</v>
      </c>
      <c r="C185" s="39" t="s">
        <v>626</v>
      </c>
      <c r="D185" s="72">
        <v>132016163</v>
      </c>
      <c r="E185" s="73">
        <v>2527726916</v>
      </c>
      <c r="F185" s="39" t="s">
        <v>261</v>
      </c>
      <c r="G185" s="81">
        <v>39871</v>
      </c>
      <c r="H185" s="105" t="str">
        <f>CHOOSE(MONTH(G185),"January","February","March","April","May","June","July","August","September","October","November","December")</f>
        <v>February</v>
      </c>
      <c r="I185" s="51">
        <f ca="1">DATEDIF(G185,TODAY(),"Y")</f>
        <v>7</v>
      </c>
      <c r="J185" s="52" t="s">
        <v>267</v>
      </c>
      <c r="K185" s="53">
        <v>38575</v>
      </c>
      <c r="L185" s="54">
        <v>2</v>
      </c>
    </row>
    <row r="186" spans="1:12" ht="15">
      <c r="A186" s="39" t="s">
        <v>672</v>
      </c>
      <c r="B186" s="46" t="s">
        <v>266</v>
      </c>
      <c r="C186" s="39" t="s">
        <v>626</v>
      </c>
      <c r="D186" s="72">
        <v>650784238</v>
      </c>
      <c r="E186" s="73">
        <v>9194679864</v>
      </c>
      <c r="F186" s="39" t="s">
        <v>247</v>
      </c>
      <c r="G186" s="81">
        <v>35518</v>
      </c>
      <c r="H186" s="105" t="str">
        <f>CHOOSE(MONTH(G186),"January","February","March","April","May","June","July","August","September","October","November","December")</f>
        <v>March</v>
      </c>
      <c r="I186" s="51">
        <f ca="1">DATEDIF(G186,TODAY(),"Y")</f>
        <v>19</v>
      </c>
      <c r="J186" s="52"/>
      <c r="K186" s="53">
        <v>53870</v>
      </c>
      <c r="L186" s="54">
        <v>2</v>
      </c>
    </row>
    <row r="187" spans="1:12" ht="15">
      <c r="A187" s="39" t="s">
        <v>542</v>
      </c>
      <c r="B187" s="46" t="s">
        <v>271</v>
      </c>
      <c r="C187" s="39" t="s">
        <v>678</v>
      </c>
      <c r="D187" s="72">
        <v>332302868</v>
      </c>
      <c r="E187" s="73">
        <v>9196109756</v>
      </c>
      <c r="F187" s="39" t="s">
        <v>256</v>
      </c>
      <c r="G187" s="81">
        <v>36175</v>
      </c>
      <c r="H187" s="105" t="str">
        <f>CHOOSE(MONTH(G187),"January","February","March","April","May","June","July","August","September","October","November","December")</f>
        <v>January</v>
      </c>
      <c r="I187" s="51">
        <f ca="1">DATEDIF(G187,TODAY(),"Y")</f>
        <v>17</v>
      </c>
      <c r="J187" s="52" t="s">
        <v>283</v>
      </c>
      <c r="K187" s="53">
        <v>23520</v>
      </c>
      <c r="L187" s="54">
        <v>2</v>
      </c>
    </row>
    <row r="188" spans="1:12" ht="15">
      <c r="A188" s="39" t="s">
        <v>326</v>
      </c>
      <c r="B188" s="46" t="s">
        <v>251</v>
      </c>
      <c r="C188" s="39" t="s">
        <v>678</v>
      </c>
      <c r="D188" s="72">
        <v>755945415</v>
      </c>
      <c r="E188" s="73">
        <v>2524373324</v>
      </c>
      <c r="F188" s="39" t="s">
        <v>247</v>
      </c>
      <c r="G188" s="81">
        <v>40333</v>
      </c>
      <c r="H188" s="105" t="str">
        <f>CHOOSE(MONTH(G188),"January","February","March","April","May","June","July","August","September","October","November","December")</f>
        <v>June</v>
      </c>
      <c r="I188" s="51">
        <f ca="1">DATEDIF(G188,TODAY(),"Y")</f>
        <v>6</v>
      </c>
      <c r="J188" s="52"/>
      <c r="K188" s="53">
        <v>74020</v>
      </c>
      <c r="L188" s="54">
        <v>2</v>
      </c>
    </row>
    <row r="189" spans="1:12" ht="15">
      <c r="A189" s="39" t="s">
        <v>814</v>
      </c>
      <c r="B189" s="46" t="s">
        <v>245</v>
      </c>
      <c r="C189" s="39" t="s">
        <v>678</v>
      </c>
      <c r="D189" s="72">
        <v>550291321</v>
      </c>
      <c r="E189" s="73">
        <v>9192529195</v>
      </c>
      <c r="F189" s="39" t="s">
        <v>247</v>
      </c>
      <c r="G189" s="81">
        <v>36047</v>
      </c>
      <c r="H189" s="105" t="str">
        <f>CHOOSE(MONTH(G189),"January","February","March","April","May","June","July","August","September","October","November","December")</f>
        <v>September</v>
      </c>
      <c r="I189" s="51">
        <f ca="1">DATEDIF(G189,TODAY(),"Y")</f>
        <v>18</v>
      </c>
      <c r="J189" s="52"/>
      <c r="K189" s="53">
        <v>72480</v>
      </c>
      <c r="L189" s="54">
        <v>2</v>
      </c>
    </row>
    <row r="190" spans="1:12" ht="15">
      <c r="A190" s="39" t="s">
        <v>551</v>
      </c>
      <c r="B190" s="46" t="s">
        <v>271</v>
      </c>
      <c r="C190" s="39" t="s">
        <v>678</v>
      </c>
      <c r="D190" s="72">
        <v>221364716</v>
      </c>
      <c r="E190" s="73">
        <v>2521389906</v>
      </c>
      <c r="F190" s="39" t="s">
        <v>256</v>
      </c>
      <c r="G190" s="81">
        <v>36898</v>
      </c>
      <c r="H190" s="105" t="str">
        <f>CHOOSE(MONTH(G190),"January","February","March","April","May","June","July","August","September","October","November","December")</f>
        <v>January</v>
      </c>
      <c r="I190" s="51">
        <f ca="1">DATEDIF(G190,TODAY(),"Y")</f>
        <v>15</v>
      </c>
      <c r="J190" s="52" t="s">
        <v>257</v>
      </c>
      <c r="K190" s="53">
        <v>71820</v>
      </c>
      <c r="L190" s="54">
        <v>2</v>
      </c>
    </row>
    <row r="191" spans="1:12" ht="15">
      <c r="A191" s="39" t="s">
        <v>909</v>
      </c>
      <c r="B191" s="46" t="s">
        <v>280</v>
      </c>
      <c r="C191" s="39" t="s">
        <v>678</v>
      </c>
      <c r="D191" s="72">
        <v>478004556</v>
      </c>
      <c r="E191" s="73">
        <v>9193891189</v>
      </c>
      <c r="F191" s="39" t="s">
        <v>256</v>
      </c>
      <c r="G191" s="81">
        <v>40533</v>
      </c>
      <c r="H191" s="105" t="str">
        <f>CHOOSE(MONTH(G191),"January","February","March","April","May","June","July","August","September","October","November","December")</f>
        <v>December</v>
      </c>
      <c r="I191" s="51">
        <f ca="1">DATEDIF(G191,TODAY(),"Y")</f>
        <v>5</v>
      </c>
      <c r="J191" s="52" t="s">
        <v>276</v>
      </c>
      <c r="K191" s="53">
        <v>62180</v>
      </c>
      <c r="L191" s="54">
        <v>2</v>
      </c>
    </row>
    <row r="192" spans="1:12" ht="15">
      <c r="A192" s="39" t="s">
        <v>387</v>
      </c>
      <c r="B192" s="46" t="s">
        <v>266</v>
      </c>
      <c r="C192" s="39" t="s">
        <v>678</v>
      </c>
      <c r="D192" s="72">
        <v>917195248</v>
      </c>
      <c r="E192" s="73">
        <v>9194605984</v>
      </c>
      <c r="F192" s="39" t="s">
        <v>252</v>
      </c>
      <c r="G192" s="81">
        <v>37827</v>
      </c>
      <c r="H192" s="105" t="str">
        <f>CHOOSE(MONTH(G192),"January","February","March","April","May","June","July","August","September","October","November","December")</f>
        <v>July</v>
      </c>
      <c r="I192" s="51">
        <f ca="1">DATEDIF(G192,TODAY(),"Y")</f>
        <v>13</v>
      </c>
      <c r="J192" s="52"/>
      <c r="K192" s="53">
        <v>11044</v>
      </c>
      <c r="L192" s="54">
        <v>2</v>
      </c>
    </row>
    <row r="193" spans="1:12" ht="15">
      <c r="A193" s="39" t="s">
        <v>554</v>
      </c>
      <c r="B193" s="46" t="s">
        <v>245</v>
      </c>
      <c r="C193" s="39" t="s">
        <v>700</v>
      </c>
      <c r="D193" s="72">
        <v>252582122</v>
      </c>
      <c r="E193" s="73">
        <v>9197764351</v>
      </c>
      <c r="F193" s="39" t="s">
        <v>247</v>
      </c>
      <c r="G193" s="81">
        <v>35451</v>
      </c>
      <c r="H193" s="105" t="str">
        <f>CHOOSE(MONTH(G193),"January","February","March","April","May","June","July","August","September","October","November","December")</f>
        <v>January</v>
      </c>
      <c r="I193" s="51">
        <f ca="1">DATEDIF(G193,TODAY(),"Y")</f>
        <v>19</v>
      </c>
      <c r="J193" s="52"/>
      <c r="K193" s="53">
        <v>25120</v>
      </c>
      <c r="L193" s="54">
        <v>2</v>
      </c>
    </row>
    <row r="194" spans="1:12" ht="15">
      <c r="A194" s="39" t="s">
        <v>464</v>
      </c>
      <c r="B194" s="46" t="s">
        <v>245</v>
      </c>
      <c r="C194" s="39" t="s">
        <v>700</v>
      </c>
      <c r="D194" s="72">
        <v>425943144</v>
      </c>
      <c r="E194" s="73">
        <v>2522911046</v>
      </c>
      <c r="F194" s="39" t="s">
        <v>247</v>
      </c>
      <c r="G194" s="81">
        <v>34408</v>
      </c>
      <c r="H194" s="105" t="str">
        <f>CHOOSE(MONTH(G194),"January","February","March","April","May","June","July","August","September","October","November","December")</f>
        <v>March</v>
      </c>
      <c r="I194" s="51">
        <f ca="1">DATEDIF(G194,TODAY(),"Y")</f>
        <v>22</v>
      </c>
      <c r="J194" s="52"/>
      <c r="K194" s="53">
        <v>71700</v>
      </c>
      <c r="L194" s="54">
        <v>2</v>
      </c>
    </row>
    <row r="195" spans="1:12" ht="15">
      <c r="A195" s="39" t="s">
        <v>947</v>
      </c>
      <c r="B195" s="46" t="s">
        <v>271</v>
      </c>
      <c r="C195" s="39" t="s">
        <v>705</v>
      </c>
      <c r="D195" s="72">
        <v>272714784</v>
      </c>
      <c r="E195" s="73">
        <v>9191162663</v>
      </c>
      <c r="F195" s="39" t="s">
        <v>252</v>
      </c>
      <c r="G195" s="81">
        <v>37711</v>
      </c>
      <c r="H195" s="105" t="str">
        <f>CHOOSE(MONTH(G195),"January","February","March","April","May","June","July","August","September","October","November","December")</f>
        <v>March</v>
      </c>
      <c r="I195" s="51">
        <f ca="1">DATEDIF(G195,TODAY(),"Y")</f>
        <v>13</v>
      </c>
      <c r="J195" s="52"/>
      <c r="K195" s="53">
        <v>21648</v>
      </c>
      <c r="L195" s="54">
        <v>2</v>
      </c>
    </row>
    <row r="196" spans="1:12" ht="15">
      <c r="A196" s="39" t="s">
        <v>535</v>
      </c>
      <c r="B196" s="46" t="s">
        <v>266</v>
      </c>
      <c r="C196" s="39" t="s">
        <v>705</v>
      </c>
      <c r="D196" s="72">
        <v>443238477</v>
      </c>
      <c r="E196" s="73">
        <v>9198624601</v>
      </c>
      <c r="F196" s="39" t="s">
        <v>256</v>
      </c>
      <c r="G196" s="81">
        <v>39678</v>
      </c>
      <c r="H196" s="105" t="str">
        <f>CHOOSE(MONTH(G196),"January","February","March","April","May","June","July","August","September","October","November","December")</f>
        <v>August</v>
      </c>
      <c r="I196" s="51">
        <f ca="1">DATEDIF(G196,TODAY(),"Y")</f>
        <v>8</v>
      </c>
      <c r="J196" s="52" t="s">
        <v>283</v>
      </c>
      <c r="K196" s="53">
        <v>80090</v>
      </c>
      <c r="L196" s="54">
        <v>2</v>
      </c>
    </row>
    <row r="197" spans="1:12" ht="15">
      <c r="A197" s="39" t="s">
        <v>952</v>
      </c>
      <c r="B197" s="46" t="s">
        <v>266</v>
      </c>
      <c r="C197" s="39" t="s">
        <v>705</v>
      </c>
      <c r="D197" s="72">
        <v>297806507</v>
      </c>
      <c r="E197" s="73">
        <v>9197312659</v>
      </c>
      <c r="F197" s="39" t="s">
        <v>256</v>
      </c>
      <c r="G197" s="81">
        <v>34740</v>
      </c>
      <c r="H197" s="105" t="str">
        <f>CHOOSE(MONTH(G197),"January","February","March","April","May","June","July","August","September","October","November","December")</f>
        <v>February</v>
      </c>
      <c r="I197" s="51">
        <f ca="1">DATEDIF(G197,TODAY(),"Y")</f>
        <v>21</v>
      </c>
      <c r="J197" s="52" t="s">
        <v>267</v>
      </c>
      <c r="K197" s="53">
        <v>77840</v>
      </c>
      <c r="L197" s="54">
        <v>2</v>
      </c>
    </row>
    <row r="198" spans="1:12" ht="15">
      <c r="A198" s="45" t="s">
        <v>260</v>
      </c>
      <c r="B198" s="46" t="s">
        <v>285</v>
      </c>
      <c r="C198" s="39" t="s">
        <v>705</v>
      </c>
      <c r="D198" s="72">
        <v>619465100</v>
      </c>
      <c r="E198" s="73">
        <v>9194629606</v>
      </c>
      <c r="F198" s="39" t="s">
        <v>256</v>
      </c>
      <c r="G198" s="81">
        <v>38916</v>
      </c>
      <c r="H198" s="105" t="str">
        <f>CHOOSE(MONTH(G198),"January","February","March","April","May","June","July","August","September","October","November","December")</f>
        <v>July</v>
      </c>
      <c r="I198" s="51">
        <f ca="1">DATEDIF(G198,TODAY(),"Y")</f>
        <v>10</v>
      </c>
      <c r="J198" s="52" t="s">
        <v>262</v>
      </c>
      <c r="K198" s="53">
        <v>27560</v>
      </c>
      <c r="L198" s="54">
        <v>2</v>
      </c>
    </row>
    <row r="199" spans="1:12" ht="15">
      <c r="A199" s="39" t="s">
        <v>950</v>
      </c>
      <c r="B199" s="46" t="s">
        <v>245</v>
      </c>
      <c r="C199" s="39" t="s">
        <v>705</v>
      </c>
      <c r="D199" s="72">
        <v>724193735</v>
      </c>
      <c r="E199" s="73">
        <v>2528627048</v>
      </c>
      <c r="F199" s="39" t="s">
        <v>256</v>
      </c>
      <c r="G199" s="81">
        <v>33620</v>
      </c>
      <c r="H199" s="105" t="str">
        <f>CHOOSE(MONTH(G199),"January","February","March","April","May","June","July","August","September","October","November","December")</f>
        <v>January</v>
      </c>
      <c r="I199" s="51">
        <f ca="1">DATEDIF(G199,TODAY(),"Y")</f>
        <v>24</v>
      </c>
      <c r="J199" s="52" t="s">
        <v>283</v>
      </c>
      <c r="K199" s="53">
        <v>43190</v>
      </c>
      <c r="L199" s="54">
        <v>2</v>
      </c>
    </row>
    <row r="200" spans="1:12" ht="15">
      <c r="A200" s="39" t="s">
        <v>892</v>
      </c>
      <c r="B200" s="46" t="s">
        <v>285</v>
      </c>
      <c r="C200" s="39" t="s">
        <v>705</v>
      </c>
      <c r="D200" s="72">
        <v>868128171</v>
      </c>
      <c r="E200" s="73">
        <v>2525048978</v>
      </c>
      <c r="F200" s="39" t="s">
        <v>256</v>
      </c>
      <c r="G200" s="81">
        <v>33878</v>
      </c>
      <c r="H200" s="105" t="str">
        <f>CHOOSE(MONTH(G200),"January","February","March","April","May","June","July","August","September","October","November","December")</f>
        <v>October</v>
      </c>
      <c r="I200" s="51">
        <f ca="1">DATEDIF(G200,TODAY(),"Y")</f>
        <v>24</v>
      </c>
      <c r="J200" s="52" t="s">
        <v>276</v>
      </c>
      <c r="K200" s="53">
        <v>75370</v>
      </c>
      <c r="L200" s="54">
        <v>2</v>
      </c>
    </row>
    <row r="201" spans="1:12" ht="15">
      <c r="A201" s="39" t="s">
        <v>486</v>
      </c>
      <c r="B201" s="46" t="s">
        <v>251</v>
      </c>
      <c r="C201" s="39" t="s">
        <v>705</v>
      </c>
      <c r="D201" s="72">
        <v>761337848</v>
      </c>
      <c r="E201" s="73">
        <v>9193967339</v>
      </c>
      <c r="F201" s="39" t="s">
        <v>247</v>
      </c>
      <c r="G201" s="81">
        <v>34502</v>
      </c>
      <c r="H201" s="105" t="str">
        <f>CHOOSE(MONTH(G201),"January","February","March","April","May","June","July","August","September","October","November","December")</f>
        <v>June</v>
      </c>
      <c r="I201" s="51">
        <f ca="1">DATEDIF(G201,TODAY(),"Y")</f>
        <v>22</v>
      </c>
      <c r="J201" s="52"/>
      <c r="K201" s="53">
        <v>66710</v>
      </c>
      <c r="L201" s="54">
        <v>2</v>
      </c>
    </row>
    <row r="202" spans="1:12" ht="15">
      <c r="A202" s="39" t="s">
        <v>855</v>
      </c>
      <c r="B202" s="46" t="s">
        <v>266</v>
      </c>
      <c r="C202" s="39" t="s">
        <v>750</v>
      </c>
      <c r="D202" s="72">
        <v>834061135</v>
      </c>
      <c r="E202" s="73">
        <v>9198472270</v>
      </c>
      <c r="F202" s="39" t="s">
        <v>256</v>
      </c>
      <c r="G202" s="81">
        <v>33513</v>
      </c>
      <c r="H202" s="105" t="str">
        <f>CHOOSE(MONTH(G202),"January","February","March","April","May","June","July","August","September","October","November","December")</f>
        <v>October</v>
      </c>
      <c r="I202" s="51">
        <f ca="1">DATEDIF(G202,TODAY(),"Y")</f>
        <v>25</v>
      </c>
      <c r="J202" s="52" t="s">
        <v>267</v>
      </c>
      <c r="K202" s="53">
        <v>44560</v>
      </c>
      <c r="L202" s="54">
        <v>2</v>
      </c>
    </row>
    <row r="203" spans="1:12" ht="15">
      <c r="A203" s="39" t="s">
        <v>667</v>
      </c>
      <c r="B203" s="46" t="s">
        <v>266</v>
      </c>
      <c r="C203" s="39" t="s">
        <v>750</v>
      </c>
      <c r="D203" s="72">
        <v>710460589</v>
      </c>
      <c r="E203" s="73">
        <v>2526104400</v>
      </c>
      <c r="F203" s="39" t="s">
        <v>256</v>
      </c>
      <c r="G203" s="81">
        <v>33179</v>
      </c>
      <c r="H203" s="105" t="str">
        <f>CHOOSE(MONTH(G203),"January","February","March","April","May","June","July","August","September","October","November","December")</f>
        <v>November</v>
      </c>
      <c r="I203" s="51">
        <f ca="1">DATEDIF(G203,TODAY(),"Y")</f>
        <v>26</v>
      </c>
      <c r="J203" s="52" t="s">
        <v>283</v>
      </c>
      <c r="K203" s="53">
        <v>43110</v>
      </c>
      <c r="L203" s="54">
        <v>2</v>
      </c>
    </row>
    <row r="204" spans="1:12" ht="15">
      <c r="A204" s="39" t="s">
        <v>424</v>
      </c>
      <c r="B204" s="46" t="s">
        <v>280</v>
      </c>
      <c r="C204" s="39" t="s">
        <v>767</v>
      </c>
      <c r="D204" s="72">
        <v>422463024</v>
      </c>
      <c r="E204" s="73">
        <v>9193876146</v>
      </c>
      <c r="F204" s="39" t="s">
        <v>256</v>
      </c>
      <c r="G204" s="81">
        <v>34693</v>
      </c>
      <c r="H204" s="105" t="str">
        <f>CHOOSE(MONTH(G204),"January","February","March","April","May","June","July","August","September","October","November","December")</f>
        <v>December</v>
      </c>
      <c r="I204" s="51">
        <f ca="1">DATEDIF(G204,TODAY(),"Y")</f>
        <v>21</v>
      </c>
      <c r="J204" s="52" t="s">
        <v>262</v>
      </c>
      <c r="K204" s="53">
        <v>88820</v>
      </c>
      <c r="L204" s="54">
        <v>2</v>
      </c>
    </row>
    <row r="205" spans="1:12" ht="15">
      <c r="A205" s="39" t="s">
        <v>774</v>
      </c>
      <c r="B205" s="46" t="s">
        <v>285</v>
      </c>
      <c r="C205" s="39" t="s">
        <v>767</v>
      </c>
      <c r="D205" s="72">
        <v>933883118</v>
      </c>
      <c r="E205" s="73">
        <v>2523294956</v>
      </c>
      <c r="F205" s="39" t="s">
        <v>247</v>
      </c>
      <c r="G205" s="81">
        <v>34658</v>
      </c>
      <c r="H205" s="105" t="str">
        <f>CHOOSE(MONTH(G205),"January","February","March","April","May","June","July","August","September","October","November","December")</f>
        <v>November</v>
      </c>
      <c r="I205" s="51">
        <f ca="1">DATEDIF(G205,TODAY(),"Y")</f>
        <v>21</v>
      </c>
      <c r="J205" s="52"/>
      <c r="K205" s="53">
        <v>85980</v>
      </c>
      <c r="L205" s="54">
        <v>2</v>
      </c>
    </row>
    <row r="206" spans="1:12" ht="15">
      <c r="A206" s="39" t="s">
        <v>596</v>
      </c>
      <c r="B206" s="46" t="s">
        <v>251</v>
      </c>
      <c r="C206" s="39" t="s">
        <v>767</v>
      </c>
      <c r="D206" s="72">
        <v>698472533</v>
      </c>
      <c r="E206" s="73">
        <v>9192917217</v>
      </c>
      <c r="F206" s="39" t="s">
        <v>247</v>
      </c>
      <c r="G206" s="81">
        <v>35699</v>
      </c>
      <c r="H206" s="105" t="str">
        <f>CHOOSE(MONTH(G206),"January","February","March","April","May","June","July","August","September","October","November","December")</f>
        <v>September</v>
      </c>
      <c r="I206" s="51">
        <f ca="1">DATEDIF(G206,TODAY(),"Y")</f>
        <v>19</v>
      </c>
      <c r="J206" s="52"/>
      <c r="K206" s="53">
        <v>36230</v>
      </c>
      <c r="L206" s="54">
        <v>2</v>
      </c>
    </row>
    <row r="207" spans="1:12" ht="15">
      <c r="A207" s="39" t="s">
        <v>556</v>
      </c>
      <c r="B207" s="46" t="s">
        <v>280</v>
      </c>
      <c r="C207" s="39" t="s">
        <v>767</v>
      </c>
      <c r="D207" s="72">
        <v>886332647</v>
      </c>
      <c r="E207" s="73">
        <v>2526698101</v>
      </c>
      <c r="F207" s="39" t="s">
        <v>256</v>
      </c>
      <c r="G207" s="81">
        <v>37848</v>
      </c>
      <c r="H207" s="105" t="str">
        <f>CHOOSE(MONTH(G207),"January","February","March","April","May","June","July","August","September","October","November","December")</f>
        <v>August</v>
      </c>
      <c r="I207" s="51">
        <f ca="1">DATEDIF(G207,TODAY(),"Y")</f>
        <v>13</v>
      </c>
      <c r="J207" s="52" t="s">
        <v>262</v>
      </c>
      <c r="K207" s="53">
        <v>76910</v>
      </c>
      <c r="L207" s="54">
        <v>2</v>
      </c>
    </row>
    <row r="208" spans="1:12" ht="15">
      <c r="A208" s="39" t="s">
        <v>762</v>
      </c>
      <c r="B208" s="46" t="s">
        <v>285</v>
      </c>
      <c r="C208" s="39" t="s">
        <v>767</v>
      </c>
      <c r="D208" s="72">
        <v>569882669</v>
      </c>
      <c r="E208" s="73">
        <v>2523122083</v>
      </c>
      <c r="F208" s="39" t="s">
        <v>256</v>
      </c>
      <c r="G208" s="81">
        <v>37568</v>
      </c>
      <c r="H208" s="105" t="str">
        <f>CHOOSE(MONTH(G208),"January","February","March","April","May","June","July","August","September","October","November","December")</f>
        <v>November</v>
      </c>
      <c r="I208" s="51">
        <f ca="1">DATEDIF(G208,TODAY(),"Y")</f>
        <v>14</v>
      </c>
      <c r="J208" s="52" t="s">
        <v>262</v>
      </c>
      <c r="K208" s="53">
        <v>45100</v>
      </c>
      <c r="L208" s="54">
        <v>2</v>
      </c>
    </row>
    <row r="209" spans="1:12" ht="15">
      <c r="A209" s="39" t="s">
        <v>459</v>
      </c>
      <c r="B209" s="46" t="s">
        <v>266</v>
      </c>
      <c r="C209" s="39" t="s">
        <v>767</v>
      </c>
      <c r="D209" s="72">
        <v>289103201</v>
      </c>
      <c r="E209" s="73">
        <v>9192921836</v>
      </c>
      <c r="F209" s="39" t="s">
        <v>256</v>
      </c>
      <c r="G209" s="81">
        <v>39217</v>
      </c>
      <c r="H209" s="105" t="str">
        <f>CHOOSE(MONTH(G209),"January","February","March","April","May","June","July","August","September","October","November","December")</f>
        <v>May</v>
      </c>
      <c r="I209" s="51">
        <f ca="1">DATEDIF(G209,TODAY(),"Y")</f>
        <v>9</v>
      </c>
      <c r="J209" s="52" t="s">
        <v>257</v>
      </c>
      <c r="K209" s="53">
        <v>73830</v>
      </c>
      <c r="L209" s="54">
        <v>2</v>
      </c>
    </row>
    <row r="210" spans="1:12" ht="15">
      <c r="A210" s="39" t="s">
        <v>430</v>
      </c>
      <c r="B210" s="46" t="s">
        <v>271</v>
      </c>
      <c r="C210" s="39" t="s">
        <v>767</v>
      </c>
      <c r="D210" s="72">
        <v>317193890</v>
      </c>
      <c r="E210" s="73">
        <v>9192350434</v>
      </c>
      <c r="F210" s="39" t="s">
        <v>256</v>
      </c>
      <c r="G210" s="81">
        <v>34169</v>
      </c>
      <c r="H210" s="105" t="str">
        <f>CHOOSE(MONTH(G210),"January","February","March","April","May","June","July","August","September","October","November","December")</f>
        <v>July</v>
      </c>
      <c r="I210" s="51">
        <f ca="1">DATEDIF(G210,TODAY(),"Y")</f>
        <v>23</v>
      </c>
      <c r="J210" s="52" t="s">
        <v>267</v>
      </c>
      <c r="K210" s="53">
        <v>69420</v>
      </c>
      <c r="L210" s="54">
        <v>2</v>
      </c>
    </row>
    <row r="211" spans="1:12" ht="15">
      <c r="A211" s="39" t="s">
        <v>990</v>
      </c>
      <c r="B211" s="46" t="s">
        <v>285</v>
      </c>
      <c r="C211" s="39" t="s">
        <v>767</v>
      </c>
      <c r="D211" s="72">
        <v>115404531</v>
      </c>
      <c r="E211" s="73">
        <v>2522636321</v>
      </c>
      <c r="F211" s="39" t="s">
        <v>261</v>
      </c>
      <c r="G211" s="108">
        <v>38173</v>
      </c>
      <c r="H211" s="105" t="str">
        <f>CHOOSE(MONTH(G211),"January","February","March","April","May","June","July","August","September","October","November","December")</f>
        <v>July</v>
      </c>
      <c r="I211" s="51">
        <f ca="1">DATEDIF(G211,TODAY(),"Y")</f>
        <v>12</v>
      </c>
      <c r="J211" s="52" t="s">
        <v>283</v>
      </c>
      <c r="K211" s="53">
        <v>32900</v>
      </c>
      <c r="L211" s="54">
        <v>2</v>
      </c>
    </row>
    <row r="212" spans="1:12" ht="15">
      <c r="A212" s="39" t="s">
        <v>546</v>
      </c>
      <c r="B212" s="46" t="s">
        <v>271</v>
      </c>
      <c r="C212" s="39" t="s">
        <v>767</v>
      </c>
      <c r="D212" s="72">
        <v>638495756</v>
      </c>
      <c r="E212" s="73">
        <v>2528922252</v>
      </c>
      <c r="F212" s="39" t="s">
        <v>247</v>
      </c>
      <c r="G212" s="81">
        <v>33949</v>
      </c>
      <c r="H212" s="105" t="str">
        <f>CHOOSE(MONTH(G212),"January","February","March","April","May","June","July","August","September","October","November","December")</f>
        <v>December</v>
      </c>
      <c r="I212" s="51">
        <f ca="1">DATEDIF(G212,TODAY(),"Y")</f>
        <v>23</v>
      </c>
      <c r="J212" s="52"/>
      <c r="K212" s="53">
        <v>44720</v>
      </c>
      <c r="L212" s="54">
        <v>2</v>
      </c>
    </row>
    <row r="213" spans="1:12" ht="15">
      <c r="A213" s="39" t="s">
        <v>305</v>
      </c>
      <c r="B213" s="46" t="s">
        <v>271</v>
      </c>
      <c r="C213" s="39" t="s">
        <v>767</v>
      </c>
      <c r="D213" s="72">
        <v>313358310</v>
      </c>
      <c r="E213" s="73">
        <v>9195442791</v>
      </c>
      <c r="F213" s="39" t="s">
        <v>256</v>
      </c>
      <c r="G213" s="81">
        <v>34222</v>
      </c>
      <c r="H213" s="105" t="str">
        <f>CHOOSE(MONTH(G213),"January","February","March","April","May","June","July","August","September","October","November","December")</f>
        <v>September</v>
      </c>
      <c r="I213" s="51">
        <f ca="1">DATEDIF(G213,TODAY(),"Y")</f>
        <v>23</v>
      </c>
      <c r="J213" s="52" t="s">
        <v>257</v>
      </c>
      <c r="K213" s="53">
        <v>62688</v>
      </c>
      <c r="L213" s="54">
        <v>2</v>
      </c>
    </row>
    <row r="214" spans="1:12" ht="15">
      <c r="A214" s="39" t="s">
        <v>696</v>
      </c>
      <c r="B214" s="46" t="s">
        <v>266</v>
      </c>
      <c r="C214" s="39" t="s">
        <v>767</v>
      </c>
      <c r="D214" s="72">
        <v>546159785</v>
      </c>
      <c r="E214" s="73">
        <v>2522924678</v>
      </c>
      <c r="F214" s="39" t="s">
        <v>256</v>
      </c>
      <c r="G214" s="81">
        <v>38423</v>
      </c>
      <c r="H214" s="105" t="str">
        <f>CHOOSE(MONTH(G214),"January","February","March","April","May","June","July","August","September","October","November","December")</f>
        <v>March</v>
      </c>
      <c r="I214" s="51">
        <f ca="1">DATEDIF(G214,TODAY(),"Y")</f>
        <v>11</v>
      </c>
      <c r="J214" s="52" t="s">
        <v>276</v>
      </c>
      <c r="K214" s="53">
        <v>61330</v>
      </c>
      <c r="L214" s="54">
        <v>2</v>
      </c>
    </row>
    <row r="215" spans="1:12" ht="15">
      <c r="A215" s="39" t="s">
        <v>880</v>
      </c>
      <c r="B215" s="46" t="s">
        <v>245</v>
      </c>
      <c r="C215" s="39" t="s">
        <v>767</v>
      </c>
      <c r="D215" s="72">
        <v>828715080</v>
      </c>
      <c r="E215" s="73">
        <v>2523613559</v>
      </c>
      <c r="F215" s="39" t="s">
        <v>256</v>
      </c>
      <c r="G215" s="81">
        <v>35094</v>
      </c>
      <c r="H215" s="105" t="str">
        <f>CHOOSE(MONTH(G215),"January","February","March","April","May","June","July","August","September","October","November","December")</f>
        <v>January</v>
      </c>
      <c r="I215" s="51">
        <f ca="1">DATEDIF(G215,TODAY(),"Y")</f>
        <v>20</v>
      </c>
      <c r="J215" s="52" t="s">
        <v>262</v>
      </c>
      <c r="K215" s="53">
        <v>61148</v>
      </c>
      <c r="L215" s="54">
        <v>2</v>
      </c>
    </row>
    <row r="216" spans="1:12" ht="15">
      <c r="A216" s="39" t="s">
        <v>795</v>
      </c>
      <c r="B216" s="46" t="s">
        <v>245</v>
      </c>
      <c r="C216" s="39" t="s">
        <v>767</v>
      </c>
      <c r="D216" s="72">
        <v>808012612</v>
      </c>
      <c r="E216" s="73">
        <v>9193717553</v>
      </c>
      <c r="F216" s="39" t="s">
        <v>247</v>
      </c>
      <c r="G216" s="81">
        <v>33658</v>
      </c>
      <c r="H216" s="105" t="str">
        <f>CHOOSE(MONTH(G216),"January","February","March","April","May","June","July","August","September","October","November","December")</f>
        <v>February</v>
      </c>
      <c r="I216" s="51">
        <f ca="1">DATEDIF(G216,TODAY(),"Y")</f>
        <v>24</v>
      </c>
      <c r="J216" s="52"/>
      <c r="K216" s="53">
        <v>60550</v>
      </c>
      <c r="L216" s="54">
        <v>2</v>
      </c>
    </row>
    <row r="217" spans="1:12" ht="15">
      <c r="A217" s="39" t="s">
        <v>713</v>
      </c>
      <c r="B217" s="46" t="s">
        <v>285</v>
      </c>
      <c r="C217" s="39" t="s">
        <v>767</v>
      </c>
      <c r="D217" s="72">
        <v>556327593</v>
      </c>
      <c r="E217" s="73">
        <v>2523324762</v>
      </c>
      <c r="F217" s="39" t="s">
        <v>247</v>
      </c>
      <c r="G217" s="81">
        <v>35301</v>
      </c>
      <c r="H217" s="105" t="str">
        <f>CHOOSE(MONTH(G217),"January","February","March","April","May","June","July","August","September","October","November","December")</f>
        <v>August</v>
      </c>
      <c r="I217" s="51">
        <f ca="1">DATEDIF(G217,TODAY(),"Y")</f>
        <v>20</v>
      </c>
      <c r="J217" s="52"/>
      <c r="K217" s="53">
        <v>60070</v>
      </c>
      <c r="L217" s="54">
        <v>2</v>
      </c>
    </row>
    <row r="218" spans="1:12" ht="15">
      <c r="A218" s="39" t="s">
        <v>374</v>
      </c>
      <c r="B218" s="46" t="s">
        <v>271</v>
      </c>
      <c r="C218" s="39" t="s">
        <v>767</v>
      </c>
      <c r="D218" s="72">
        <v>214291610</v>
      </c>
      <c r="E218" s="73">
        <v>2523858464</v>
      </c>
      <c r="F218" s="39" t="s">
        <v>256</v>
      </c>
      <c r="G218" s="81">
        <v>35219</v>
      </c>
      <c r="H218" s="105" t="str">
        <f>CHOOSE(MONTH(G218),"January","February","March","April","May","June","July","August","September","October","November","December")</f>
        <v>June</v>
      </c>
      <c r="I218" s="51">
        <f ca="1">DATEDIF(G218,TODAY(),"Y")</f>
        <v>20</v>
      </c>
      <c r="J218" s="52" t="s">
        <v>257</v>
      </c>
      <c r="K218" s="53">
        <v>47340</v>
      </c>
      <c r="L218" s="54">
        <v>2</v>
      </c>
    </row>
    <row r="219" spans="1:12" ht="15">
      <c r="A219" s="39" t="s">
        <v>898</v>
      </c>
      <c r="B219" s="46" t="s">
        <v>271</v>
      </c>
      <c r="C219" s="39" t="s">
        <v>767</v>
      </c>
      <c r="D219" s="72">
        <v>456809622</v>
      </c>
      <c r="E219" s="73">
        <v>2523046338</v>
      </c>
      <c r="F219" s="39" t="s">
        <v>256</v>
      </c>
      <c r="G219" s="81">
        <v>33098</v>
      </c>
      <c r="H219" s="105" t="str">
        <f>CHOOSE(MONTH(G219),"January","February","March","April","May","June","July","August","September","October","November","December")</f>
        <v>August</v>
      </c>
      <c r="I219" s="51">
        <f ca="1">DATEDIF(G219,TODAY(),"Y")</f>
        <v>26</v>
      </c>
      <c r="J219" s="52" t="s">
        <v>257</v>
      </c>
      <c r="K219" s="53">
        <v>48080</v>
      </c>
      <c r="L219" s="54">
        <v>2</v>
      </c>
    </row>
    <row r="220" spans="1:12" ht="15">
      <c r="A220" s="45" t="s">
        <v>250</v>
      </c>
      <c r="B220" s="46" t="s">
        <v>285</v>
      </c>
      <c r="C220" s="39" t="s">
        <v>767</v>
      </c>
      <c r="D220" s="72">
        <v>394876677</v>
      </c>
      <c r="E220" s="73">
        <v>2522551469</v>
      </c>
      <c r="F220" s="39" t="s">
        <v>256</v>
      </c>
      <c r="G220" s="81">
        <v>35616</v>
      </c>
      <c r="H220" s="105" t="str">
        <f>CHOOSE(MONTH(G220),"January","February","March","April","May","June","July","August","September","October","November","December")</f>
        <v>July</v>
      </c>
      <c r="I220" s="51">
        <f ca="1">DATEDIF(G220,TODAY(),"Y")</f>
        <v>19</v>
      </c>
      <c r="J220" s="52" t="s">
        <v>283</v>
      </c>
      <c r="K220" s="53">
        <v>34060</v>
      </c>
      <c r="L220" s="54">
        <v>2</v>
      </c>
    </row>
    <row r="221" spans="1:12" ht="15">
      <c r="A221" s="39" t="s">
        <v>942</v>
      </c>
      <c r="B221" s="46" t="s">
        <v>280</v>
      </c>
      <c r="C221" s="39" t="s">
        <v>767</v>
      </c>
      <c r="D221" s="72">
        <v>451159170</v>
      </c>
      <c r="E221" s="73">
        <v>2522604602</v>
      </c>
      <c r="F221" s="39" t="s">
        <v>261</v>
      </c>
      <c r="G221" s="81">
        <v>35826</v>
      </c>
      <c r="H221" s="105" t="str">
        <f>CHOOSE(MONTH(G221),"January","February","March","April","May","June","July","August","September","October","November","December")</f>
        <v>January</v>
      </c>
      <c r="I221" s="51">
        <f ca="1">DATEDIF(G221,TODAY(),"Y")</f>
        <v>18</v>
      </c>
      <c r="J221" s="52" t="s">
        <v>257</v>
      </c>
      <c r="K221" s="53">
        <v>31205</v>
      </c>
      <c r="L221" s="54">
        <v>2</v>
      </c>
    </row>
    <row r="222" spans="1:12" ht="15">
      <c r="A222" s="39" t="s">
        <v>342</v>
      </c>
      <c r="B222" s="46" t="s">
        <v>271</v>
      </c>
      <c r="C222" s="39" t="s">
        <v>767</v>
      </c>
      <c r="D222" s="72">
        <v>494754997</v>
      </c>
      <c r="E222" s="73">
        <v>9195617115</v>
      </c>
      <c r="F222" s="39" t="s">
        <v>247</v>
      </c>
      <c r="G222" s="81">
        <v>34726</v>
      </c>
      <c r="H222" s="105" t="str">
        <f>CHOOSE(MONTH(G222),"January","February","March","April","May","June","July","August","September","October","November","December")</f>
        <v>January</v>
      </c>
      <c r="I222" s="51">
        <f ca="1">DATEDIF(G222,TODAY(),"Y")</f>
        <v>21</v>
      </c>
      <c r="J222" s="52"/>
      <c r="K222" s="53">
        <v>33120</v>
      </c>
      <c r="L222" s="54">
        <v>2</v>
      </c>
    </row>
    <row r="223" spans="1:12" ht="15">
      <c r="A223" s="39" t="s">
        <v>367</v>
      </c>
      <c r="B223" s="46" t="s">
        <v>245</v>
      </c>
      <c r="C223" s="39" t="s">
        <v>767</v>
      </c>
      <c r="D223" s="72">
        <v>991221095</v>
      </c>
      <c r="E223" s="73">
        <v>9194630903</v>
      </c>
      <c r="F223" s="39" t="s">
        <v>256</v>
      </c>
      <c r="G223" s="81">
        <v>35151</v>
      </c>
      <c r="H223" s="105" t="str">
        <f>CHOOSE(MONTH(G223),"January","February","March","April","May","June","July","August","September","October","November","December")</f>
        <v>March</v>
      </c>
      <c r="I223" s="51">
        <f ca="1">DATEDIF(G223,TODAY(),"Y")</f>
        <v>20</v>
      </c>
      <c r="J223" s="52" t="s">
        <v>276</v>
      </c>
      <c r="K223" s="53">
        <v>29760</v>
      </c>
      <c r="L223" s="54">
        <v>2</v>
      </c>
    </row>
    <row r="224" spans="1:12" ht="15">
      <c r="A224" s="39" t="s">
        <v>851</v>
      </c>
      <c r="B224" s="46" t="s">
        <v>251</v>
      </c>
      <c r="C224" s="39" t="s">
        <v>856</v>
      </c>
      <c r="D224" s="72">
        <v>265993407</v>
      </c>
      <c r="E224" s="73">
        <v>9193558443</v>
      </c>
      <c r="F224" s="39" t="s">
        <v>247</v>
      </c>
      <c r="G224" s="81">
        <v>33282</v>
      </c>
      <c r="H224" s="105" t="str">
        <f>CHOOSE(MONTH(G224),"January","February","March","April","May","June","July","August","September","October","November","December")</f>
        <v>February</v>
      </c>
      <c r="I224" s="51">
        <f ca="1">DATEDIF(G224,TODAY(),"Y")</f>
        <v>25</v>
      </c>
      <c r="J224" s="52"/>
      <c r="K224" s="53">
        <v>89450</v>
      </c>
      <c r="L224" s="54">
        <v>2</v>
      </c>
    </row>
    <row r="225" spans="1:12" ht="15">
      <c r="A225" s="39" t="s">
        <v>477</v>
      </c>
      <c r="B225" s="46" t="s">
        <v>271</v>
      </c>
      <c r="C225" s="39" t="s">
        <v>856</v>
      </c>
      <c r="D225" s="72">
        <v>718930584</v>
      </c>
      <c r="E225" s="73">
        <v>9195804771</v>
      </c>
      <c r="F225" s="39" t="s">
        <v>261</v>
      </c>
      <c r="G225" s="81">
        <v>36196</v>
      </c>
      <c r="H225" s="105" t="str">
        <f>CHOOSE(MONTH(G225),"January","February","March","April","May","June","July","August","September","October","November","December")</f>
        <v>February</v>
      </c>
      <c r="I225" s="51">
        <f ca="1">DATEDIF(G225,TODAY(),"Y")</f>
        <v>17</v>
      </c>
      <c r="J225" s="52" t="s">
        <v>257</v>
      </c>
      <c r="K225" s="53">
        <v>34980</v>
      </c>
      <c r="L225" s="54">
        <v>2</v>
      </c>
    </row>
    <row r="226" spans="1:12" ht="15">
      <c r="A226" s="39" t="s">
        <v>833</v>
      </c>
      <c r="B226" s="46" t="s">
        <v>285</v>
      </c>
      <c r="C226" s="39" t="s">
        <v>856</v>
      </c>
      <c r="D226" s="72">
        <v>983047016</v>
      </c>
      <c r="E226" s="73">
        <v>9198451642</v>
      </c>
      <c r="F226" s="39" t="s">
        <v>247</v>
      </c>
      <c r="G226" s="81">
        <v>38793</v>
      </c>
      <c r="H226" s="105" t="str">
        <f>CHOOSE(MONTH(G226),"January","February","March","April","May","June","July","August","September","October","November","December")</f>
        <v>March</v>
      </c>
      <c r="I226" s="51">
        <f ca="1">DATEDIF(G226,TODAY(),"Y")</f>
        <v>10</v>
      </c>
      <c r="J226" s="52"/>
      <c r="K226" s="53">
        <v>85930</v>
      </c>
      <c r="L226" s="54">
        <v>2</v>
      </c>
    </row>
    <row r="227" spans="1:12" ht="15">
      <c r="A227" s="39" t="s">
        <v>568</v>
      </c>
      <c r="B227" s="46" t="s">
        <v>271</v>
      </c>
      <c r="C227" s="39" t="s">
        <v>856</v>
      </c>
      <c r="D227" s="72">
        <v>304024314</v>
      </c>
      <c r="E227" s="73">
        <v>9192244880</v>
      </c>
      <c r="F227" s="39" t="s">
        <v>247</v>
      </c>
      <c r="G227" s="81">
        <v>33421</v>
      </c>
      <c r="H227" s="105" t="str">
        <f>CHOOSE(MONTH(G227),"January","February","March","April","May","June","July","August","September","October","November","December")</f>
        <v>July</v>
      </c>
      <c r="I227" s="51">
        <f ca="1">DATEDIF(G227,TODAY(),"Y")</f>
        <v>25</v>
      </c>
      <c r="J227" s="52"/>
      <c r="K227" s="53">
        <v>46650</v>
      </c>
      <c r="L227" s="54">
        <v>2</v>
      </c>
    </row>
    <row r="228" spans="1:12" ht="15">
      <c r="A228" s="39" t="s">
        <v>803</v>
      </c>
      <c r="B228" s="46" t="s">
        <v>271</v>
      </c>
      <c r="C228" s="39" t="s">
        <v>856</v>
      </c>
      <c r="D228" s="72">
        <v>180832423</v>
      </c>
      <c r="E228" s="73">
        <v>9198097539</v>
      </c>
      <c r="F228" s="39" t="s">
        <v>256</v>
      </c>
      <c r="G228" s="81">
        <v>36078</v>
      </c>
      <c r="H228" s="105" t="str">
        <f>CHOOSE(MONTH(G228),"January","February","March","April","May","June","July","August","September","October","November","December")</f>
        <v>October</v>
      </c>
      <c r="I228" s="51">
        <f ca="1">DATEDIF(G228,TODAY(),"Y")</f>
        <v>18</v>
      </c>
      <c r="J228" s="52" t="s">
        <v>276</v>
      </c>
      <c r="K228" s="53">
        <v>79610</v>
      </c>
      <c r="L228" s="54">
        <v>2</v>
      </c>
    </row>
    <row r="229" spans="1:12" ht="15">
      <c r="A229" s="39" t="s">
        <v>348</v>
      </c>
      <c r="B229" s="46" t="s">
        <v>271</v>
      </c>
      <c r="C229" s="39" t="s">
        <v>856</v>
      </c>
      <c r="D229" s="72">
        <v>863736129</v>
      </c>
      <c r="E229" s="73">
        <v>2522778445</v>
      </c>
      <c r="F229" s="39" t="s">
        <v>261</v>
      </c>
      <c r="G229" s="81">
        <v>35688</v>
      </c>
      <c r="H229" s="105" t="str">
        <f>CHOOSE(MONTH(G229),"January","February","March","April","May","June","July","August","September","October","November","December")</f>
        <v>September</v>
      </c>
      <c r="I229" s="51">
        <f ca="1">DATEDIF(G229,TODAY(),"Y")</f>
        <v>19</v>
      </c>
      <c r="J229" s="52" t="s">
        <v>283</v>
      </c>
      <c r="K229" s="53">
        <v>42740</v>
      </c>
      <c r="L229" s="54">
        <v>2</v>
      </c>
    </row>
    <row r="230" spans="1:12" ht="15">
      <c r="A230" s="39" t="s">
        <v>835</v>
      </c>
      <c r="B230" s="46" t="s">
        <v>245</v>
      </c>
      <c r="C230" s="39" t="s">
        <v>856</v>
      </c>
      <c r="D230" s="72">
        <v>352371400</v>
      </c>
      <c r="E230" s="78">
        <v>2525441252</v>
      </c>
      <c r="F230" s="39" t="s">
        <v>252</v>
      </c>
      <c r="G230" s="81">
        <v>33256</v>
      </c>
      <c r="H230" s="105" t="str">
        <f>CHOOSE(MONTH(G230),"January","February","March","April","May","June","July","August","September","October","November","December")</f>
        <v>January</v>
      </c>
      <c r="I230" s="51">
        <f ca="1">DATEDIF(G230,TODAY(),"Y")</f>
        <v>25</v>
      </c>
      <c r="J230" s="52"/>
      <c r="K230" s="53">
        <v>30468</v>
      </c>
      <c r="L230" s="54">
        <v>2</v>
      </c>
    </row>
    <row r="231" spans="1:12" ht="15">
      <c r="A231" s="39" t="s">
        <v>853</v>
      </c>
      <c r="B231" s="46" t="s">
        <v>245</v>
      </c>
      <c r="C231" s="39" t="s">
        <v>856</v>
      </c>
      <c r="D231" s="72">
        <v>855135948</v>
      </c>
      <c r="E231" s="73">
        <v>9196408497</v>
      </c>
      <c r="F231" s="39" t="s">
        <v>256</v>
      </c>
      <c r="G231" s="81">
        <v>39815</v>
      </c>
      <c r="H231" s="105" t="str">
        <f>CHOOSE(MONTH(G231),"January","February","March","April","May","June","July","August","September","October","November","December")</f>
        <v>January</v>
      </c>
      <c r="I231" s="51">
        <f ca="1">DATEDIF(G231,TODAY(),"Y")</f>
        <v>7</v>
      </c>
      <c r="J231" s="52" t="s">
        <v>283</v>
      </c>
      <c r="K231" s="53">
        <v>72060</v>
      </c>
      <c r="L231" s="54">
        <v>2</v>
      </c>
    </row>
    <row r="232" spans="1:12" ht="15">
      <c r="A232" s="39" t="s">
        <v>896</v>
      </c>
      <c r="B232" s="46" t="s">
        <v>251</v>
      </c>
      <c r="C232" s="39" t="s">
        <v>856</v>
      </c>
      <c r="D232" s="72">
        <v>462461365</v>
      </c>
      <c r="E232" s="73">
        <v>2527126482</v>
      </c>
      <c r="F232" s="39" t="s">
        <v>256</v>
      </c>
      <c r="G232" s="81">
        <v>34021</v>
      </c>
      <c r="H232" s="105" t="str">
        <f>CHOOSE(MONTH(G232),"January","February","March","April","May","June","July","August","September","October","November","December")</f>
        <v>February</v>
      </c>
      <c r="I232" s="51">
        <f ca="1">DATEDIF(G232,TODAY(),"Y")</f>
        <v>23</v>
      </c>
      <c r="J232" s="52" t="s">
        <v>283</v>
      </c>
      <c r="K232" s="53">
        <v>45110</v>
      </c>
      <c r="L232" s="54">
        <v>2</v>
      </c>
    </row>
    <row r="233" spans="1:12" ht="15">
      <c r="A233" s="39" t="s">
        <v>605</v>
      </c>
      <c r="B233" s="46" t="s">
        <v>271</v>
      </c>
      <c r="C233" s="39" t="s">
        <v>856</v>
      </c>
      <c r="D233" s="72">
        <v>404589373</v>
      </c>
      <c r="E233" s="73">
        <v>9198407416</v>
      </c>
      <c r="F233" s="39" t="s">
        <v>256</v>
      </c>
      <c r="G233" s="81">
        <v>34028</v>
      </c>
      <c r="H233" s="105" t="str">
        <f>CHOOSE(MONTH(G233),"January","February","March","April","May","June","July","August","September","October","November","December")</f>
        <v>February</v>
      </c>
      <c r="I233" s="51">
        <f ca="1">DATEDIF(G233,TODAY(),"Y")</f>
        <v>23</v>
      </c>
      <c r="J233" s="52" t="s">
        <v>283</v>
      </c>
      <c r="K233" s="53">
        <v>66824</v>
      </c>
      <c r="L233" s="54">
        <v>2</v>
      </c>
    </row>
    <row r="234" spans="1:12" ht="15">
      <c r="A234" s="39" t="s">
        <v>454</v>
      </c>
      <c r="B234" s="46" t="s">
        <v>271</v>
      </c>
      <c r="C234" s="39" t="s">
        <v>856</v>
      </c>
      <c r="D234" s="72">
        <v>272659955</v>
      </c>
      <c r="E234" s="73">
        <v>9194127875</v>
      </c>
      <c r="F234" s="39" t="s">
        <v>256</v>
      </c>
      <c r="G234" s="81">
        <v>34285</v>
      </c>
      <c r="H234" s="105" t="str">
        <f>CHOOSE(MONTH(G234),"January","February","March","April","May","June","July","August","September","October","November","December")</f>
        <v>November</v>
      </c>
      <c r="I234" s="51">
        <f ca="1">DATEDIF(G234,TODAY(),"Y")</f>
        <v>22</v>
      </c>
      <c r="J234" s="52" t="s">
        <v>267</v>
      </c>
      <c r="K234" s="53">
        <v>48490</v>
      </c>
      <c r="L234" s="54">
        <v>2</v>
      </c>
    </row>
    <row r="235" spans="1:12" ht="15">
      <c r="A235" s="39" t="s">
        <v>847</v>
      </c>
      <c r="B235" s="46" t="s">
        <v>251</v>
      </c>
      <c r="C235" s="39" t="s">
        <v>856</v>
      </c>
      <c r="D235" s="72">
        <v>368385341</v>
      </c>
      <c r="E235" s="73">
        <v>9195526537</v>
      </c>
      <c r="F235" s="39" t="s">
        <v>247</v>
      </c>
      <c r="G235" s="81">
        <v>37082</v>
      </c>
      <c r="H235" s="105" t="str">
        <f>CHOOSE(MONTH(G235),"January","February","March","April","May","June","July","August","September","October","November","December")</f>
        <v>July</v>
      </c>
      <c r="I235" s="51">
        <f ca="1">DATEDIF(G235,TODAY(),"Y")</f>
        <v>15</v>
      </c>
      <c r="J235" s="52"/>
      <c r="K235" s="53">
        <v>46780</v>
      </c>
      <c r="L235" s="54">
        <v>2</v>
      </c>
    </row>
    <row r="236" spans="1:12" ht="15">
      <c r="A236" s="39" t="s">
        <v>838</v>
      </c>
      <c r="B236" s="46" t="s">
        <v>285</v>
      </c>
      <c r="C236" s="39" t="s">
        <v>856</v>
      </c>
      <c r="D236" s="72">
        <v>195772503</v>
      </c>
      <c r="E236" s="73">
        <v>9193123940</v>
      </c>
      <c r="F236" s="39" t="s">
        <v>247</v>
      </c>
      <c r="G236" s="81">
        <v>33914</v>
      </c>
      <c r="H236" s="105" t="str">
        <f>CHOOSE(MONTH(G236),"January","February","March","April","May","June","July","August","September","October","November","December")</f>
        <v>November</v>
      </c>
      <c r="I236" s="51">
        <f ca="1">DATEDIF(G236,TODAY(),"Y")</f>
        <v>24</v>
      </c>
      <c r="J236" s="52"/>
      <c r="K236" s="53">
        <v>55690</v>
      </c>
      <c r="L236" s="54">
        <v>2</v>
      </c>
    </row>
    <row r="237" spans="1:12" ht="15">
      <c r="A237" s="39" t="s">
        <v>462</v>
      </c>
      <c r="B237" s="46" t="s">
        <v>266</v>
      </c>
      <c r="C237" s="39" t="s">
        <v>930</v>
      </c>
      <c r="D237" s="72">
        <v>120224342</v>
      </c>
      <c r="E237" s="73">
        <v>9198986390</v>
      </c>
      <c r="F237" s="39" t="s">
        <v>252</v>
      </c>
      <c r="G237" s="81">
        <v>36458</v>
      </c>
      <c r="H237" s="105" t="str">
        <f>CHOOSE(MONTH(G237),"January","February","March","April","May","June","July","August","September","October","November","December")</f>
        <v>October</v>
      </c>
      <c r="I237" s="51">
        <f ca="1">DATEDIF(G237,TODAY(),"Y")</f>
        <v>17</v>
      </c>
      <c r="J237" s="52"/>
      <c r="K237" s="53">
        <v>32536</v>
      </c>
      <c r="L237" s="54">
        <v>2</v>
      </c>
    </row>
    <row r="238" spans="1:12" ht="15">
      <c r="A238" s="39" t="s">
        <v>536</v>
      </c>
      <c r="B238" s="46" t="s">
        <v>280</v>
      </c>
      <c r="C238" s="39" t="s">
        <v>930</v>
      </c>
      <c r="D238" s="72">
        <v>733358713</v>
      </c>
      <c r="E238" s="73">
        <v>9196648050</v>
      </c>
      <c r="F238" s="39" t="s">
        <v>247</v>
      </c>
      <c r="G238" s="81">
        <v>35338</v>
      </c>
      <c r="H238" s="105" t="str">
        <f>CHOOSE(MONTH(G238),"January","February","March","April","May","June","July","August","September","October","November","December")</f>
        <v>September</v>
      </c>
      <c r="I238" s="51">
        <f ca="1">DATEDIF(G238,TODAY(),"Y")</f>
        <v>20</v>
      </c>
      <c r="J238" s="52"/>
      <c r="K238" s="53">
        <v>87830</v>
      </c>
      <c r="L238" s="54">
        <v>2</v>
      </c>
    </row>
    <row r="239" spans="1:12" ht="15">
      <c r="A239" s="39" t="s">
        <v>566</v>
      </c>
      <c r="B239" s="46" t="s">
        <v>280</v>
      </c>
      <c r="C239" s="39" t="s">
        <v>930</v>
      </c>
      <c r="D239" s="72">
        <v>364525917</v>
      </c>
      <c r="E239" s="73">
        <v>2522787318</v>
      </c>
      <c r="F239" s="39" t="s">
        <v>256</v>
      </c>
      <c r="G239" s="81">
        <v>33978</v>
      </c>
      <c r="H239" s="105" t="str">
        <f>CHOOSE(MONTH(G239),"January","February","March","April","May","June","July","August","September","October","November","December")</f>
        <v>January</v>
      </c>
      <c r="I239" s="51">
        <f ca="1">DATEDIF(G239,TODAY(),"Y")</f>
        <v>23</v>
      </c>
      <c r="J239" s="52" t="s">
        <v>283</v>
      </c>
      <c r="K239" s="53">
        <v>46410</v>
      </c>
      <c r="L239" s="54">
        <v>2</v>
      </c>
    </row>
    <row r="240" spans="1:12" ht="15">
      <c r="A240" s="39" t="s">
        <v>576</v>
      </c>
      <c r="B240" s="46" t="s">
        <v>245</v>
      </c>
      <c r="C240" s="39" t="s">
        <v>930</v>
      </c>
      <c r="D240" s="72">
        <v>502580266</v>
      </c>
      <c r="E240" s="73">
        <v>9197103200</v>
      </c>
      <c r="F240" s="39" t="s">
        <v>252</v>
      </c>
      <c r="G240" s="81">
        <v>38646</v>
      </c>
      <c r="H240" s="105" t="str">
        <f>CHOOSE(MONTH(G240),"January","February","March","April","May","June","July","August","September","October","November","December")</f>
        <v>October</v>
      </c>
      <c r="I240" s="51">
        <f ca="1">DATEDIF(G240,TODAY(),"Y")</f>
        <v>11</v>
      </c>
      <c r="J240" s="52"/>
      <c r="K240" s="53">
        <v>37344</v>
      </c>
      <c r="L240" s="54">
        <v>2</v>
      </c>
    </row>
    <row r="241" spans="1:12" ht="15">
      <c r="A241" s="39" t="s">
        <v>295</v>
      </c>
      <c r="B241" s="46" t="s">
        <v>245</v>
      </c>
      <c r="C241" s="39" t="s">
        <v>930</v>
      </c>
      <c r="D241" s="72">
        <v>683670378</v>
      </c>
      <c r="E241" s="73">
        <v>9196259106</v>
      </c>
      <c r="F241" s="39" t="s">
        <v>256</v>
      </c>
      <c r="G241" s="81">
        <v>38347</v>
      </c>
      <c r="H241" s="105" t="str">
        <f>CHOOSE(MONTH(G241),"January","February","March","April","May","June","July","August","September","October","November","December")</f>
        <v>December</v>
      </c>
      <c r="I241" s="51">
        <f ca="1">DATEDIF(G241,TODAY(),"Y")</f>
        <v>11</v>
      </c>
      <c r="J241" s="52" t="s">
        <v>283</v>
      </c>
      <c r="K241" s="53">
        <v>81340</v>
      </c>
      <c r="L241" s="54">
        <v>2</v>
      </c>
    </row>
    <row r="242" spans="1:12" ht="15">
      <c r="A242" s="39" t="s">
        <v>284</v>
      </c>
      <c r="B242" s="46" t="s">
        <v>271</v>
      </c>
      <c r="C242" s="39" t="s">
        <v>930</v>
      </c>
      <c r="D242" s="72">
        <v>418701946</v>
      </c>
      <c r="E242" s="73">
        <v>2524141191</v>
      </c>
      <c r="F242" s="39" t="s">
        <v>261</v>
      </c>
      <c r="G242" s="81">
        <v>34154</v>
      </c>
      <c r="H242" s="105" t="str">
        <f>CHOOSE(MONTH(G242),"January","February","March","April","May","June","July","August","September","October","November","December")</f>
        <v>July</v>
      </c>
      <c r="I242" s="51">
        <f ca="1">DATEDIF(G242,TODAY(),"Y")</f>
        <v>23</v>
      </c>
      <c r="J242" s="52" t="s">
        <v>257</v>
      </c>
      <c r="K242" s="53">
        <v>49545</v>
      </c>
      <c r="L242" s="54">
        <v>2</v>
      </c>
    </row>
    <row r="243" spans="1:12" ht="15">
      <c r="A243" s="39" t="s">
        <v>517</v>
      </c>
      <c r="B243" s="46" t="s">
        <v>251</v>
      </c>
      <c r="C243" s="39" t="s">
        <v>930</v>
      </c>
      <c r="D243" s="72">
        <v>759471070</v>
      </c>
      <c r="E243" s="73">
        <v>2525402828</v>
      </c>
      <c r="F243" s="39" t="s">
        <v>256</v>
      </c>
      <c r="G243" s="81">
        <v>37009</v>
      </c>
      <c r="H243" s="105" t="str">
        <f>CHOOSE(MONTH(G243),"January","February","March","April","May","June","July","August","September","October","November","December")</f>
        <v>April</v>
      </c>
      <c r="I243" s="51">
        <f ca="1">DATEDIF(G243,TODAY(),"Y")</f>
        <v>15</v>
      </c>
      <c r="J243" s="52" t="s">
        <v>283</v>
      </c>
      <c r="K243" s="53">
        <v>78710</v>
      </c>
      <c r="L243" s="54">
        <v>2</v>
      </c>
    </row>
    <row r="244" spans="1:12" ht="15">
      <c r="A244" s="39" t="s">
        <v>981</v>
      </c>
      <c r="B244" s="46" t="s">
        <v>251</v>
      </c>
      <c r="C244" s="39" t="s">
        <v>930</v>
      </c>
      <c r="D244" s="72">
        <v>900160539</v>
      </c>
      <c r="E244" s="73">
        <v>2522749909</v>
      </c>
      <c r="F244" s="39" t="s">
        <v>261</v>
      </c>
      <c r="G244" s="81">
        <v>36365</v>
      </c>
      <c r="H244" s="105" t="str">
        <f>CHOOSE(MONTH(G244),"January","February","March","April","May","June","July","August","September","October","November","December")</f>
        <v>July</v>
      </c>
      <c r="I244" s="51">
        <f ca="1">DATEDIF(G244,TODAY(),"Y")</f>
        <v>17</v>
      </c>
      <c r="J244" s="52" t="s">
        <v>267</v>
      </c>
      <c r="K244" s="53">
        <v>19825</v>
      </c>
      <c r="L244" s="54">
        <v>2</v>
      </c>
    </row>
    <row r="245" spans="1:12" ht="15">
      <c r="A245" s="39" t="s">
        <v>598</v>
      </c>
      <c r="B245" s="46" t="s">
        <v>285</v>
      </c>
      <c r="C245" s="39" t="s">
        <v>930</v>
      </c>
      <c r="D245" s="72">
        <v>277423593</v>
      </c>
      <c r="E245" s="73">
        <v>9195790921</v>
      </c>
      <c r="F245" s="39" t="s">
        <v>261</v>
      </c>
      <c r="G245" s="81">
        <v>33391</v>
      </c>
      <c r="H245" s="105" t="str">
        <f>CHOOSE(MONTH(G245),"January","February","March","April","May","June","July","August","September","October","November","December")</f>
        <v>June</v>
      </c>
      <c r="I245" s="51">
        <f ca="1">DATEDIF(G245,TODAY(),"Y")</f>
        <v>25</v>
      </c>
      <c r="J245" s="52" t="s">
        <v>283</v>
      </c>
      <c r="K245" s="53">
        <v>13455</v>
      </c>
      <c r="L245" s="54">
        <v>2</v>
      </c>
    </row>
    <row r="246" spans="1:12" ht="15">
      <c r="A246" s="39" t="s">
        <v>567</v>
      </c>
      <c r="B246" s="46" t="s">
        <v>285</v>
      </c>
      <c r="C246" s="39" t="s">
        <v>930</v>
      </c>
      <c r="D246" s="72">
        <v>296641985</v>
      </c>
      <c r="E246" s="73">
        <v>2528217409</v>
      </c>
      <c r="F246" s="39" t="s">
        <v>256</v>
      </c>
      <c r="G246" s="81">
        <v>35627</v>
      </c>
      <c r="H246" s="105" t="str">
        <f>CHOOSE(MONTH(G246),"January","February","March","April","May","June","July","August","September","October","November","December")</f>
        <v>July</v>
      </c>
      <c r="I246" s="51">
        <f ca="1">DATEDIF(G246,TODAY(),"Y")</f>
        <v>19</v>
      </c>
      <c r="J246" s="52" t="s">
        <v>283</v>
      </c>
      <c r="K246" s="53">
        <v>41380</v>
      </c>
      <c r="L246" s="54">
        <v>2</v>
      </c>
    </row>
    <row r="247" spans="1:12" ht="15">
      <c r="A247" s="39" t="s">
        <v>859</v>
      </c>
      <c r="B247" s="46" t="s">
        <v>251</v>
      </c>
      <c r="C247" s="39" t="s">
        <v>930</v>
      </c>
      <c r="D247" s="72">
        <v>688769770</v>
      </c>
      <c r="E247" s="73">
        <v>9192416398</v>
      </c>
      <c r="F247" s="39" t="s">
        <v>256</v>
      </c>
      <c r="G247" s="81">
        <v>38626</v>
      </c>
      <c r="H247" s="105" t="str">
        <f>CHOOSE(MONTH(G247),"January","February","March","April","May","June","July","August","September","October","November","December")</f>
        <v>October</v>
      </c>
      <c r="I247" s="51">
        <f ca="1">DATEDIF(G247,TODAY(),"Y")</f>
        <v>11</v>
      </c>
      <c r="J247" s="52" t="s">
        <v>257</v>
      </c>
      <c r="K247" s="53">
        <v>44530</v>
      </c>
      <c r="L247" s="54">
        <v>2</v>
      </c>
    </row>
    <row r="248" spans="1:12" ht="15">
      <c r="A248" s="39" t="s">
        <v>540</v>
      </c>
      <c r="B248" s="46" t="s">
        <v>266</v>
      </c>
      <c r="C248" s="39" t="s">
        <v>930</v>
      </c>
      <c r="D248" s="72">
        <v>758001890</v>
      </c>
      <c r="E248" s="73">
        <v>2521202348</v>
      </c>
      <c r="F248" s="39" t="s">
        <v>261</v>
      </c>
      <c r="G248" s="81">
        <v>35297</v>
      </c>
      <c r="H248" s="105" t="str">
        <f>CHOOSE(MONTH(G248),"January","February","March","April","May","June","July","August","September","October","November","December")</f>
        <v>August</v>
      </c>
      <c r="I248" s="51">
        <f ca="1">DATEDIF(G248,TODAY(),"Y")</f>
        <v>20</v>
      </c>
      <c r="J248" s="52" t="s">
        <v>283</v>
      </c>
      <c r="K248" s="53">
        <v>38105</v>
      </c>
      <c r="L248" s="54">
        <v>2</v>
      </c>
    </row>
    <row r="249" spans="1:12" ht="15">
      <c r="A249" s="39" t="s">
        <v>442</v>
      </c>
      <c r="B249" s="46" t="s">
        <v>271</v>
      </c>
      <c r="C249" s="39" t="s">
        <v>930</v>
      </c>
      <c r="D249" s="72">
        <v>318723704</v>
      </c>
      <c r="E249" s="73">
        <v>9196526117</v>
      </c>
      <c r="F249" s="39" t="s">
        <v>256</v>
      </c>
      <c r="G249" s="81">
        <v>34425</v>
      </c>
      <c r="H249" s="105" t="str">
        <f>CHOOSE(MONTH(G249),"January","February","March","April","May","June","July","August","September","October","November","December")</f>
        <v>April</v>
      </c>
      <c r="I249" s="51">
        <f ca="1">DATEDIF(G249,TODAY(),"Y")</f>
        <v>22</v>
      </c>
      <c r="J249" s="52" t="s">
        <v>283</v>
      </c>
      <c r="K249" s="53">
        <v>73850</v>
      </c>
      <c r="L249" s="54">
        <v>2</v>
      </c>
    </row>
    <row r="250" spans="1:12" ht="15">
      <c r="A250" s="39" t="s">
        <v>771</v>
      </c>
      <c r="B250" s="46" t="s">
        <v>285</v>
      </c>
      <c r="C250" s="39" t="s">
        <v>930</v>
      </c>
      <c r="D250" s="72">
        <v>656572514</v>
      </c>
      <c r="E250" s="73">
        <v>9193679666</v>
      </c>
      <c r="F250" s="39" t="s">
        <v>247</v>
      </c>
      <c r="G250" s="81">
        <v>33974</v>
      </c>
      <c r="H250" s="105" t="str">
        <f>CHOOSE(MONTH(G250),"January","February","March","April","May","June","July","August","September","October","November","December")</f>
        <v>January</v>
      </c>
      <c r="I250" s="51">
        <f ca="1">DATEDIF(G250,TODAY(),"Y")</f>
        <v>23</v>
      </c>
      <c r="J250" s="52"/>
      <c r="K250" s="53">
        <v>70150</v>
      </c>
      <c r="L250" s="54">
        <v>2</v>
      </c>
    </row>
    <row r="251" spans="1:12" ht="15">
      <c r="A251" s="39" t="s">
        <v>403</v>
      </c>
      <c r="B251" s="46" t="s">
        <v>280</v>
      </c>
      <c r="C251" s="39" t="s">
        <v>930</v>
      </c>
      <c r="D251" s="72">
        <v>230192897</v>
      </c>
      <c r="E251" s="73">
        <v>2525261239</v>
      </c>
      <c r="F251" s="39" t="s">
        <v>256</v>
      </c>
      <c r="G251" s="81">
        <v>39441</v>
      </c>
      <c r="H251" s="105" t="str">
        <f>CHOOSE(MONTH(G251),"January","February","March","April","May","June","July","August","September","October","November","December")</f>
        <v>December</v>
      </c>
      <c r="I251" s="51">
        <f ca="1">DATEDIF(G251,TODAY(),"Y")</f>
        <v>8</v>
      </c>
      <c r="J251" s="52" t="s">
        <v>262</v>
      </c>
      <c r="K251" s="53">
        <v>68860</v>
      </c>
      <c r="L251" s="54">
        <v>2</v>
      </c>
    </row>
    <row r="252" spans="1:12" ht="15">
      <c r="A252" s="39" t="s">
        <v>836</v>
      </c>
      <c r="B252" s="46" t="s">
        <v>280</v>
      </c>
      <c r="C252" s="39" t="s">
        <v>930</v>
      </c>
      <c r="D252" s="72">
        <v>276873359</v>
      </c>
      <c r="E252" s="73">
        <v>2522304625</v>
      </c>
      <c r="F252" s="39" t="s">
        <v>256</v>
      </c>
      <c r="G252" s="81">
        <v>39171</v>
      </c>
      <c r="H252" s="105" t="str">
        <f>CHOOSE(MONTH(G252),"January","February","March","April","May","June","July","August","September","October","November","December")</f>
        <v>March</v>
      </c>
      <c r="I252" s="51">
        <f ca="1">DATEDIF(G252,TODAY(),"Y")</f>
        <v>9</v>
      </c>
      <c r="J252" s="52" t="s">
        <v>267</v>
      </c>
      <c r="K252" s="53">
        <v>25690</v>
      </c>
      <c r="L252" s="54">
        <v>2</v>
      </c>
    </row>
    <row r="253" spans="1:12" ht="15">
      <c r="A253" s="39" t="s">
        <v>769</v>
      </c>
      <c r="B253" s="46" t="s">
        <v>271</v>
      </c>
      <c r="C253" s="39" t="s">
        <v>930</v>
      </c>
      <c r="D253" s="72">
        <v>876082195</v>
      </c>
      <c r="E253" s="73">
        <v>2526049607</v>
      </c>
      <c r="F253" s="39" t="s">
        <v>256</v>
      </c>
      <c r="G253" s="81">
        <v>36330</v>
      </c>
      <c r="H253" s="105" t="str">
        <f>CHOOSE(MONTH(G253),"January","February","March","April","May","June","July","August","September","October","November","December")</f>
        <v>June</v>
      </c>
      <c r="I253" s="51">
        <f ca="1">DATEDIF(G253,TODAY(),"Y")</f>
        <v>17</v>
      </c>
      <c r="J253" s="52" t="s">
        <v>276</v>
      </c>
      <c r="K253" s="53">
        <v>61850</v>
      </c>
      <c r="L253" s="54">
        <v>2</v>
      </c>
    </row>
    <row r="254" spans="1:12" ht="15">
      <c r="A254" s="39" t="s">
        <v>743</v>
      </c>
      <c r="B254" s="46" t="s">
        <v>251</v>
      </c>
      <c r="C254" s="39" t="s">
        <v>930</v>
      </c>
      <c r="D254" s="72">
        <v>120361975</v>
      </c>
      <c r="E254" s="73">
        <v>2521789943</v>
      </c>
      <c r="F254" s="39" t="s">
        <v>256</v>
      </c>
      <c r="G254" s="81">
        <v>37495</v>
      </c>
      <c r="H254" s="105" t="str">
        <f>CHOOSE(MONTH(G254),"January","February","March","April","May","June","July","August","September","October","November","December")</f>
        <v>August</v>
      </c>
      <c r="I254" s="51">
        <f ca="1">DATEDIF(G254,TODAY(),"Y")</f>
        <v>14</v>
      </c>
      <c r="J254" s="52" t="s">
        <v>276</v>
      </c>
      <c r="K254" s="53">
        <v>60300</v>
      </c>
      <c r="L254" s="54">
        <v>2</v>
      </c>
    </row>
    <row r="255" spans="1:12" ht="15">
      <c r="A255" s="39" t="s">
        <v>719</v>
      </c>
      <c r="B255" s="46" t="s">
        <v>245</v>
      </c>
      <c r="C255" s="39" t="s">
        <v>930</v>
      </c>
      <c r="D255" s="72">
        <v>247422007</v>
      </c>
      <c r="E255" s="73">
        <v>2528012440</v>
      </c>
      <c r="F255" s="39" t="s">
        <v>247</v>
      </c>
      <c r="G255" s="81">
        <v>36193</v>
      </c>
      <c r="H255" s="105" t="str">
        <f>CHOOSE(MONTH(G255),"January","February","March","April","May","June","July","August","September","October","November","December")</f>
        <v>February</v>
      </c>
      <c r="I255" s="51">
        <f ca="1">DATEDIF(G255,TODAY(),"Y")</f>
        <v>17</v>
      </c>
      <c r="J255" s="52"/>
      <c r="K255" s="53">
        <v>58250</v>
      </c>
      <c r="L255" s="54">
        <v>2</v>
      </c>
    </row>
    <row r="256" spans="1:12" ht="15">
      <c r="A256" s="39" t="s">
        <v>561</v>
      </c>
      <c r="B256" s="46" t="s">
        <v>266</v>
      </c>
      <c r="C256" s="39" t="s">
        <v>1031</v>
      </c>
      <c r="D256" s="72">
        <v>495372474</v>
      </c>
      <c r="E256" s="73">
        <v>9194137278</v>
      </c>
      <c r="F256" s="39" t="s">
        <v>261</v>
      </c>
      <c r="G256" s="81">
        <v>36557</v>
      </c>
      <c r="H256" s="105" t="str">
        <f>CHOOSE(MONTH(G256),"January","February","March","April","May","June","July","August","September","October","November","December")</f>
        <v>February</v>
      </c>
      <c r="I256" s="51">
        <f ca="1">DATEDIF(G256,TODAY(),"Y")</f>
        <v>16</v>
      </c>
      <c r="J256" s="52" t="s">
        <v>257</v>
      </c>
      <c r="K256" s="53">
        <v>31250</v>
      </c>
      <c r="L256" s="54">
        <v>2</v>
      </c>
    </row>
    <row r="257" spans="1:12" ht="15">
      <c r="A257" s="39" t="s">
        <v>894</v>
      </c>
      <c r="B257" s="46" t="s">
        <v>285</v>
      </c>
      <c r="C257" s="39" t="s">
        <v>1031</v>
      </c>
      <c r="D257" s="72">
        <v>183135788</v>
      </c>
      <c r="E257" s="73">
        <v>2521198851</v>
      </c>
      <c r="F257" s="39" t="s">
        <v>247</v>
      </c>
      <c r="G257" s="81">
        <v>34003</v>
      </c>
      <c r="H257" s="105" t="str">
        <f>CHOOSE(MONTH(G257),"January","February","March","April","May","June","July","August","September","October","November","December")</f>
        <v>February</v>
      </c>
      <c r="I257" s="51">
        <f ca="1">DATEDIF(G257,TODAY(),"Y")</f>
        <v>23</v>
      </c>
      <c r="J257" s="52"/>
      <c r="K257" s="53">
        <v>60760</v>
      </c>
      <c r="L257" s="54">
        <v>2</v>
      </c>
    </row>
    <row r="258" spans="1:12" ht="15">
      <c r="A258" s="39" t="s">
        <v>707</v>
      </c>
      <c r="B258" s="46" t="s">
        <v>245</v>
      </c>
      <c r="C258" s="39" t="s">
        <v>272</v>
      </c>
      <c r="D258" s="72">
        <v>767961463</v>
      </c>
      <c r="E258" s="73">
        <v>2523646601</v>
      </c>
      <c r="F258" s="39" t="s">
        <v>247</v>
      </c>
      <c r="G258" s="81">
        <v>36777</v>
      </c>
      <c r="H258" s="105" t="str">
        <f>CHOOSE(MONTH(G258),"January","February","March","April","May","June","July","August","September","October","November","December")</f>
        <v>September</v>
      </c>
      <c r="I258" s="51">
        <f ca="1">DATEDIF(G258,TODAY(),"Y")</f>
        <v>16</v>
      </c>
      <c r="J258" s="52"/>
      <c r="K258" s="53">
        <v>76690</v>
      </c>
      <c r="L258" s="54">
        <v>3</v>
      </c>
    </row>
    <row r="259" spans="1:12" ht="15">
      <c r="A259" s="39" t="s">
        <v>617</v>
      </c>
      <c r="B259" s="46" t="s">
        <v>266</v>
      </c>
      <c r="C259" s="39" t="s">
        <v>272</v>
      </c>
      <c r="D259" s="72">
        <v>840313216</v>
      </c>
      <c r="E259" s="73">
        <v>9198449868</v>
      </c>
      <c r="F259" s="39" t="s">
        <v>256</v>
      </c>
      <c r="G259" s="81">
        <v>39069</v>
      </c>
      <c r="H259" s="105" t="str">
        <f>CHOOSE(MONTH(G259),"January","February","March","April","May","June","July","August","September","October","November","December")</f>
        <v>December</v>
      </c>
      <c r="I259" s="51">
        <f ca="1">DATEDIF(G259,TODAY(),"Y")</f>
        <v>9</v>
      </c>
      <c r="J259" s="52" t="s">
        <v>267</v>
      </c>
      <c r="K259" s="53">
        <v>37670</v>
      </c>
      <c r="L259" s="54">
        <v>3</v>
      </c>
    </row>
    <row r="260" spans="1:12" ht="15">
      <c r="A260" s="39" t="s">
        <v>977</v>
      </c>
      <c r="B260" s="46" t="s">
        <v>271</v>
      </c>
      <c r="C260" s="39" t="s">
        <v>272</v>
      </c>
      <c r="D260" s="72">
        <v>781913936</v>
      </c>
      <c r="E260" s="73">
        <v>9197889149</v>
      </c>
      <c r="F260" s="39" t="s">
        <v>261</v>
      </c>
      <c r="G260" s="81">
        <v>37782</v>
      </c>
      <c r="H260" s="105" t="str">
        <f>CHOOSE(MONTH(G260),"January","February","March","April","May","June","July","August","September","October","November","December")</f>
        <v>June</v>
      </c>
      <c r="I260" s="51">
        <f ca="1">DATEDIF(G260,TODAY(),"Y")</f>
        <v>13</v>
      </c>
      <c r="J260" s="52" t="s">
        <v>276</v>
      </c>
      <c r="K260" s="53">
        <v>17735</v>
      </c>
      <c r="L260" s="54">
        <v>3</v>
      </c>
    </row>
    <row r="261" spans="1:12" ht="15">
      <c r="A261" s="39" t="s">
        <v>655</v>
      </c>
      <c r="B261" s="46" t="s">
        <v>280</v>
      </c>
      <c r="C261" s="45" t="s">
        <v>272</v>
      </c>
      <c r="D261" s="47">
        <v>415076748</v>
      </c>
      <c r="E261" s="48">
        <v>9195230846</v>
      </c>
      <c r="F261" s="45" t="s">
        <v>252</v>
      </c>
      <c r="G261" s="105">
        <v>33482</v>
      </c>
      <c r="H261" s="105" t="str">
        <f>CHOOSE(MONTH(G261),"January","February","March","April","May","June","July","August","September","October","November","December")</f>
        <v>September</v>
      </c>
      <c r="I261" s="51">
        <f ca="1">DATEDIF(G261,TODAY(),"Y")</f>
        <v>25</v>
      </c>
      <c r="J261" s="52" t="s">
        <v>257</v>
      </c>
      <c r="K261" s="53">
        <v>29070</v>
      </c>
      <c r="L261" s="54">
        <v>3</v>
      </c>
    </row>
    <row r="262" spans="1:12" ht="15">
      <c r="A262" s="39" t="s">
        <v>385</v>
      </c>
      <c r="B262" s="46" t="s">
        <v>245</v>
      </c>
      <c r="C262" s="39" t="s">
        <v>296</v>
      </c>
      <c r="D262" s="72">
        <v>278431222</v>
      </c>
      <c r="E262" s="73">
        <v>9196699611</v>
      </c>
      <c r="F262" s="39" t="s">
        <v>256</v>
      </c>
      <c r="G262" s="81">
        <v>36893</v>
      </c>
      <c r="H262" s="105" t="str">
        <f>CHOOSE(MONTH(G262),"January","February","March","April","May","June","July","August","September","October","November","December")</f>
        <v>January</v>
      </c>
      <c r="I262" s="51">
        <f ca="1">DATEDIF(G262,TODAY(),"Y")</f>
        <v>15</v>
      </c>
      <c r="J262" s="52" t="s">
        <v>283</v>
      </c>
      <c r="K262" s="53">
        <v>33640</v>
      </c>
      <c r="L262" s="54">
        <v>3</v>
      </c>
    </row>
    <row r="263" spans="1:12" ht="15">
      <c r="A263" s="39" t="s">
        <v>972</v>
      </c>
      <c r="B263" s="46" t="s">
        <v>245</v>
      </c>
      <c r="C263" s="39" t="s">
        <v>296</v>
      </c>
      <c r="D263" s="72">
        <v>460412180</v>
      </c>
      <c r="E263" s="73">
        <v>9196822349</v>
      </c>
      <c r="F263" s="39" t="s">
        <v>256</v>
      </c>
      <c r="G263" s="81">
        <v>40106</v>
      </c>
      <c r="H263" s="105" t="str">
        <f>CHOOSE(MONTH(G263),"January","February","March","April","May","June","July","August","September","October","November","December")</f>
        <v>October</v>
      </c>
      <c r="I263" s="51">
        <f ca="1">DATEDIF(G263,TODAY(),"Y")</f>
        <v>7</v>
      </c>
      <c r="J263" s="52" t="s">
        <v>262</v>
      </c>
      <c r="K263" s="53">
        <v>51180</v>
      </c>
      <c r="L263" s="54">
        <v>3</v>
      </c>
    </row>
    <row r="264" spans="1:12" ht="15">
      <c r="A264" s="39" t="s">
        <v>601</v>
      </c>
      <c r="B264" s="46" t="s">
        <v>285</v>
      </c>
      <c r="C264" s="39" t="s">
        <v>307</v>
      </c>
      <c r="D264" s="72">
        <v>534034571</v>
      </c>
      <c r="E264" s="73">
        <v>2526169135</v>
      </c>
      <c r="F264" s="39" t="s">
        <v>261</v>
      </c>
      <c r="G264" s="81">
        <v>39417</v>
      </c>
      <c r="H264" s="105" t="str">
        <f>CHOOSE(MONTH(G264),"January","February","March","April","May","June","July","August","September","October","November","December")</f>
        <v>December</v>
      </c>
      <c r="I264" s="51">
        <f ca="1">DATEDIF(G264,TODAY(),"Y")</f>
        <v>8</v>
      </c>
      <c r="J264" s="52" t="s">
        <v>267</v>
      </c>
      <c r="K264" s="53">
        <v>46095</v>
      </c>
      <c r="L264" s="54">
        <v>3</v>
      </c>
    </row>
    <row r="265" spans="1:12" ht="15">
      <c r="A265" s="39" t="s">
        <v>925</v>
      </c>
      <c r="B265" s="46" t="s">
        <v>285</v>
      </c>
      <c r="C265" s="39" t="s">
        <v>307</v>
      </c>
      <c r="D265" s="72">
        <v>682791418</v>
      </c>
      <c r="E265" s="73">
        <v>9194603155</v>
      </c>
      <c r="F265" s="39" t="s">
        <v>256</v>
      </c>
      <c r="G265" s="81">
        <v>33713</v>
      </c>
      <c r="H265" s="105" t="str">
        <f>CHOOSE(MONTH(G265),"January","February","March","April","May","June","July","August","September","October","November","December")</f>
        <v>April</v>
      </c>
      <c r="I265" s="51">
        <f ca="1">DATEDIF(G265,TODAY(),"Y")</f>
        <v>24</v>
      </c>
      <c r="J265" s="52" t="s">
        <v>257</v>
      </c>
      <c r="K265" s="53">
        <v>46220</v>
      </c>
      <c r="L265" s="54">
        <v>3</v>
      </c>
    </row>
    <row r="266" spans="1:12" ht="15">
      <c r="A266" s="39" t="s">
        <v>796</v>
      </c>
      <c r="B266" s="46" t="s">
        <v>285</v>
      </c>
      <c r="C266" s="39" t="s">
        <v>312</v>
      </c>
      <c r="D266" s="72">
        <v>333947685</v>
      </c>
      <c r="E266" s="73">
        <v>9198314799</v>
      </c>
      <c r="F266" s="39" t="s">
        <v>256</v>
      </c>
      <c r="G266" s="81">
        <v>37348</v>
      </c>
      <c r="H266" s="105" t="str">
        <f>CHOOSE(MONTH(G266),"January","February","March","April","May","June","July","August","September","October","November","December")</f>
        <v>April</v>
      </c>
      <c r="I266" s="51">
        <f ca="1">DATEDIF(G266,TODAY(),"Y")</f>
        <v>14</v>
      </c>
      <c r="J266" s="52" t="s">
        <v>262</v>
      </c>
      <c r="K266" s="53">
        <v>85880</v>
      </c>
      <c r="L266" s="54">
        <v>3</v>
      </c>
    </row>
    <row r="267" spans="1:12" ht="15">
      <c r="A267" s="39" t="s">
        <v>734</v>
      </c>
      <c r="B267" s="46" t="s">
        <v>245</v>
      </c>
      <c r="C267" s="39" t="s">
        <v>312</v>
      </c>
      <c r="D267" s="72">
        <v>733413074</v>
      </c>
      <c r="E267" s="73">
        <v>9192224790</v>
      </c>
      <c r="F267" s="39" t="s">
        <v>247</v>
      </c>
      <c r="G267" s="81">
        <v>38970</v>
      </c>
      <c r="H267" s="105" t="str">
        <f>CHOOSE(MONTH(G267),"January","February","March","April","May","June","July","August","September","October","November","December")</f>
        <v>September</v>
      </c>
      <c r="I267" s="51">
        <f ca="1">DATEDIF(G267,TODAY(),"Y")</f>
        <v>10</v>
      </c>
      <c r="J267" s="52"/>
      <c r="K267" s="53">
        <v>83070</v>
      </c>
      <c r="L267" s="54">
        <v>3</v>
      </c>
    </row>
    <row r="268" spans="1:12" ht="15">
      <c r="A268" s="39" t="s">
        <v>630</v>
      </c>
      <c r="B268" s="46" t="s">
        <v>271</v>
      </c>
      <c r="C268" s="39" t="s">
        <v>312</v>
      </c>
      <c r="D268" s="72">
        <v>148899089</v>
      </c>
      <c r="E268" s="73">
        <v>2524734960</v>
      </c>
      <c r="F268" s="39" t="s">
        <v>261</v>
      </c>
      <c r="G268" s="81">
        <v>34166</v>
      </c>
      <c r="H268" s="105" t="str">
        <f>CHOOSE(MONTH(G268),"January","February","March","April","May","June","July","August","September","October","November","December")</f>
        <v>July</v>
      </c>
      <c r="I268" s="51">
        <f ca="1">DATEDIF(G268,TODAY(),"Y")</f>
        <v>23</v>
      </c>
      <c r="J268" s="52" t="s">
        <v>257</v>
      </c>
      <c r="K268" s="53">
        <v>26890</v>
      </c>
      <c r="L268" s="54">
        <v>3</v>
      </c>
    </row>
    <row r="269" spans="1:12" ht="15">
      <c r="A269" s="39" t="s">
        <v>577</v>
      </c>
      <c r="B269" s="46" t="s">
        <v>285</v>
      </c>
      <c r="C269" s="39" t="s">
        <v>312</v>
      </c>
      <c r="D269" s="72">
        <v>260815239</v>
      </c>
      <c r="E269" s="73">
        <v>2523040292</v>
      </c>
      <c r="F269" s="39" t="s">
        <v>252</v>
      </c>
      <c r="G269" s="81">
        <v>33620</v>
      </c>
      <c r="H269" s="105" t="str">
        <f>CHOOSE(MONTH(G269),"January","February","March","April","May","June","July","August","September","October","November","December")</f>
        <v>January</v>
      </c>
      <c r="I269" s="51">
        <f ca="1">DATEDIF(G269,TODAY(),"Y")</f>
        <v>24</v>
      </c>
      <c r="J269" s="52"/>
      <c r="K269" s="53">
        <v>14568</v>
      </c>
      <c r="L269" s="54">
        <v>3</v>
      </c>
    </row>
    <row r="270" spans="1:12" ht="15">
      <c r="A270" s="39" t="s">
        <v>301</v>
      </c>
      <c r="B270" s="46" t="s">
        <v>271</v>
      </c>
      <c r="C270" s="39" t="s">
        <v>312</v>
      </c>
      <c r="D270" s="72">
        <v>242099349</v>
      </c>
      <c r="E270" s="73">
        <v>2526576057</v>
      </c>
      <c r="F270" s="39" t="s">
        <v>256</v>
      </c>
      <c r="G270" s="81">
        <v>40501</v>
      </c>
      <c r="H270" s="105" t="str">
        <f>CHOOSE(MONTH(G270),"January","February","March","April","May","June","July","August","September","October","November","December")</f>
        <v>November</v>
      </c>
      <c r="I270" s="51">
        <f ca="1">DATEDIF(G270,TODAY(),"Y")</f>
        <v>5</v>
      </c>
      <c r="J270" s="52" t="s">
        <v>267</v>
      </c>
      <c r="K270" s="53">
        <v>77820</v>
      </c>
      <c r="L270" s="54">
        <v>3</v>
      </c>
    </row>
    <row r="271" spans="1:12" ht="15">
      <c r="A271" s="39" t="s">
        <v>562</v>
      </c>
      <c r="B271" s="46" t="s">
        <v>285</v>
      </c>
      <c r="C271" s="39" t="s">
        <v>312</v>
      </c>
      <c r="D271" s="72">
        <v>905675120</v>
      </c>
      <c r="E271" s="73">
        <v>9192526124</v>
      </c>
      <c r="F271" s="39" t="s">
        <v>256</v>
      </c>
      <c r="G271" s="81">
        <v>35207</v>
      </c>
      <c r="H271" s="105" t="str">
        <f>CHOOSE(MONTH(G271),"January","February","March","April","May","June","July","August","September","October","November","December")</f>
        <v>May</v>
      </c>
      <c r="I271" s="51">
        <f ca="1">DATEDIF(G271,TODAY(),"Y")</f>
        <v>20</v>
      </c>
      <c r="J271" s="52" t="s">
        <v>267</v>
      </c>
      <c r="K271" s="53">
        <v>77580</v>
      </c>
      <c r="L271" s="54">
        <v>3</v>
      </c>
    </row>
    <row r="272" spans="1:12" ht="15">
      <c r="A272" s="39" t="s">
        <v>1008</v>
      </c>
      <c r="B272" s="46" t="s">
        <v>280</v>
      </c>
      <c r="C272" s="39" t="s">
        <v>312</v>
      </c>
      <c r="D272" s="72">
        <v>683222853</v>
      </c>
      <c r="E272" s="73">
        <v>9196224056</v>
      </c>
      <c r="F272" s="39" t="s">
        <v>247</v>
      </c>
      <c r="G272" s="81">
        <v>39922</v>
      </c>
      <c r="H272" s="105" t="str">
        <f>CHOOSE(MONTH(G272),"January","February","March","April","May","June","July","August","September","October","November","December")</f>
        <v>April</v>
      </c>
      <c r="I272" s="51">
        <f ca="1">DATEDIF(G272,TODAY(),"Y")</f>
        <v>7</v>
      </c>
      <c r="J272" s="52"/>
      <c r="K272" s="53">
        <v>25790</v>
      </c>
      <c r="L272" s="54">
        <v>3</v>
      </c>
    </row>
    <row r="273" spans="1:12" ht="15">
      <c r="A273" s="45" t="s">
        <v>275</v>
      </c>
      <c r="B273" s="46" t="s">
        <v>280</v>
      </c>
      <c r="C273" s="39" t="s">
        <v>312</v>
      </c>
      <c r="D273" s="72">
        <v>163292583</v>
      </c>
      <c r="E273" s="73">
        <v>2522005810</v>
      </c>
      <c r="F273" s="39" t="s">
        <v>247</v>
      </c>
      <c r="G273" s="81">
        <v>36038</v>
      </c>
      <c r="H273" s="105" t="str">
        <f>CHOOSE(MONTH(G273),"January","February","March","April","May","June","July","August","September","October","November","December")</f>
        <v>August</v>
      </c>
      <c r="I273" s="51">
        <f ca="1">DATEDIF(G273,TODAY(),"Y")</f>
        <v>18</v>
      </c>
      <c r="J273" s="52"/>
      <c r="K273" s="53">
        <v>30340</v>
      </c>
      <c r="L273" s="54">
        <v>3</v>
      </c>
    </row>
    <row r="274" spans="1:12" ht="15">
      <c r="A274" s="39" t="s">
        <v>968</v>
      </c>
      <c r="B274" s="46" t="s">
        <v>266</v>
      </c>
      <c r="C274" s="39" t="s">
        <v>312</v>
      </c>
      <c r="D274" s="72">
        <v>867671341</v>
      </c>
      <c r="E274" s="73">
        <v>2528317543</v>
      </c>
      <c r="F274" s="39" t="s">
        <v>261</v>
      </c>
      <c r="G274" s="81">
        <v>36896</v>
      </c>
      <c r="H274" s="105" t="str">
        <f>CHOOSE(MONTH(G274),"January","February","March","April","May","June","July","August","September","October","November","December")</f>
        <v>January</v>
      </c>
      <c r="I274" s="51">
        <f ca="1">DATEDIF(G274,TODAY(),"Y")</f>
        <v>15</v>
      </c>
      <c r="J274" s="52" t="s">
        <v>257</v>
      </c>
      <c r="K274" s="53">
        <v>35280</v>
      </c>
      <c r="L274" s="54">
        <v>3</v>
      </c>
    </row>
    <row r="275" spans="1:12" ht="15">
      <c r="A275" s="39" t="s">
        <v>309</v>
      </c>
      <c r="B275" s="46" t="s">
        <v>285</v>
      </c>
      <c r="C275" s="39" t="s">
        <v>312</v>
      </c>
      <c r="D275" s="72">
        <v>856215418</v>
      </c>
      <c r="E275" s="73">
        <v>2526168483</v>
      </c>
      <c r="F275" s="39" t="s">
        <v>252</v>
      </c>
      <c r="G275" s="81">
        <v>36602</v>
      </c>
      <c r="H275" s="105" t="str">
        <f>CHOOSE(MONTH(G275),"January","February","March","April","May","June","July","August","September","October","November","December")</f>
        <v>March</v>
      </c>
      <c r="I275" s="51">
        <f ca="1">DATEDIF(G275,TODAY(),"Y")</f>
        <v>16</v>
      </c>
      <c r="J275" s="52"/>
      <c r="K275" s="53">
        <v>30080</v>
      </c>
      <c r="L275" s="54">
        <v>3</v>
      </c>
    </row>
    <row r="276" spans="1:12" ht="15">
      <c r="A276" s="39" t="s">
        <v>329</v>
      </c>
      <c r="B276" s="46" t="s">
        <v>245</v>
      </c>
      <c r="C276" s="39" t="s">
        <v>312</v>
      </c>
      <c r="D276" s="72">
        <v>393393249</v>
      </c>
      <c r="E276" s="73">
        <v>9194980674</v>
      </c>
      <c r="F276" s="39" t="s">
        <v>247</v>
      </c>
      <c r="G276" s="81">
        <v>36470</v>
      </c>
      <c r="H276" s="105" t="str">
        <f>CHOOSE(MONTH(G276),"January","February","March","April","May","June","July","August","September","October","November","December")</f>
        <v>November</v>
      </c>
      <c r="I276" s="51">
        <f ca="1">DATEDIF(G276,TODAY(),"Y")</f>
        <v>17</v>
      </c>
      <c r="J276" s="52"/>
      <c r="K276" s="53">
        <v>23560</v>
      </c>
      <c r="L276" s="54">
        <v>3</v>
      </c>
    </row>
    <row r="277" spans="1:12" ht="15">
      <c r="A277" s="39" t="s">
        <v>636</v>
      </c>
      <c r="B277" s="46" t="s">
        <v>285</v>
      </c>
      <c r="C277" s="39" t="s">
        <v>312</v>
      </c>
      <c r="D277" s="72">
        <v>667812117</v>
      </c>
      <c r="E277" s="73">
        <v>2526396432</v>
      </c>
      <c r="F277" s="39" t="s">
        <v>256</v>
      </c>
      <c r="G277" s="81">
        <v>33746</v>
      </c>
      <c r="H277" s="105" t="str">
        <f>CHOOSE(MONTH(G277),"January","February","March","April","May","June","July","August","September","October","November","December")</f>
        <v>May</v>
      </c>
      <c r="I277" s="51">
        <f ca="1">DATEDIF(G277,TODAY(),"Y")</f>
        <v>24</v>
      </c>
      <c r="J277" s="52" t="s">
        <v>262</v>
      </c>
      <c r="K277" s="53">
        <v>31830</v>
      </c>
      <c r="L277" s="54">
        <v>3</v>
      </c>
    </row>
    <row r="278" spans="1:12" ht="15">
      <c r="A278" s="39" t="s">
        <v>404</v>
      </c>
      <c r="B278" s="46" t="s">
        <v>271</v>
      </c>
      <c r="C278" s="39" t="s">
        <v>312</v>
      </c>
      <c r="D278" s="72">
        <v>504735443</v>
      </c>
      <c r="E278" s="73">
        <v>9191629556</v>
      </c>
      <c r="F278" s="39" t="s">
        <v>247</v>
      </c>
      <c r="G278" s="81">
        <v>35902</v>
      </c>
      <c r="H278" s="105" t="str">
        <f>CHOOSE(MONTH(G278),"January","February","March","April","May","June","July","August","September","October","November","December")</f>
        <v>April</v>
      </c>
      <c r="I278" s="51">
        <f ca="1">DATEDIF(G278,TODAY(),"Y")</f>
        <v>18</v>
      </c>
      <c r="J278" s="52"/>
      <c r="K278" s="53">
        <v>63340</v>
      </c>
      <c r="L278" s="54">
        <v>3</v>
      </c>
    </row>
    <row r="279" spans="1:12" ht="15">
      <c r="A279" s="39" t="s">
        <v>729</v>
      </c>
      <c r="B279" s="46" t="s">
        <v>285</v>
      </c>
      <c r="C279" s="39" t="s">
        <v>312</v>
      </c>
      <c r="D279" s="72">
        <v>571120098</v>
      </c>
      <c r="E279" s="73">
        <v>2525789252</v>
      </c>
      <c r="F279" s="39" t="s">
        <v>256</v>
      </c>
      <c r="G279" s="81">
        <v>35829</v>
      </c>
      <c r="H279" s="105" t="str">
        <f>CHOOSE(MONTH(G279),"January","February","March","April","May","June","July","August","September","October","November","December")</f>
        <v>February</v>
      </c>
      <c r="I279" s="51">
        <f ca="1">DATEDIF(G279,TODAY(),"Y")</f>
        <v>18</v>
      </c>
      <c r="J279" s="52" t="s">
        <v>257</v>
      </c>
      <c r="K279" s="53">
        <v>61030</v>
      </c>
      <c r="L279" s="54">
        <v>3</v>
      </c>
    </row>
    <row r="280" spans="1:12" ht="15">
      <c r="A280" s="39" t="s">
        <v>781</v>
      </c>
      <c r="B280" s="46" t="s">
        <v>285</v>
      </c>
      <c r="C280" s="39" t="s">
        <v>312</v>
      </c>
      <c r="D280" s="72">
        <v>768215237</v>
      </c>
      <c r="E280" s="73">
        <v>9195993367</v>
      </c>
      <c r="F280" s="39" t="s">
        <v>261</v>
      </c>
      <c r="G280" s="81">
        <v>33472</v>
      </c>
      <c r="H280" s="105" t="str">
        <f>CHOOSE(MONTH(G280),"January","February","March","April","May","June","July","August","September","October","November","December")</f>
        <v>August</v>
      </c>
      <c r="I280" s="51">
        <f ca="1">DATEDIF(G280,TODAY(),"Y")</f>
        <v>25</v>
      </c>
      <c r="J280" s="52" t="s">
        <v>262</v>
      </c>
      <c r="K280" s="53">
        <v>13800</v>
      </c>
      <c r="L280" s="54">
        <v>3</v>
      </c>
    </row>
    <row r="281" spans="1:12" ht="15">
      <c r="A281" s="39" t="s">
        <v>319</v>
      </c>
      <c r="B281" s="46" t="s">
        <v>285</v>
      </c>
      <c r="C281" s="39" t="s">
        <v>312</v>
      </c>
      <c r="D281" s="72">
        <v>644862142</v>
      </c>
      <c r="E281" s="73">
        <v>9193274978</v>
      </c>
      <c r="F281" s="39" t="s">
        <v>247</v>
      </c>
      <c r="G281" s="81">
        <v>34651</v>
      </c>
      <c r="H281" s="105" t="str">
        <f>CHOOSE(MONTH(G281),"January","February","March","April","May","June","July","August","September","October","November","December")</f>
        <v>November</v>
      </c>
      <c r="I281" s="51">
        <f ca="1">DATEDIF(G281,TODAY(),"Y")</f>
        <v>21</v>
      </c>
      <c r="J281" s="52"/>
      <c r="K281" s="53">
        <v>46670</v>
      </c>
      <c r="L281" s="54">
        <v>3</v>
      </c>
    </row>
    <row r="282" spans="1:12" ht="15">
      <c r="A282" s="39" t="s">
        <v>802</v>
      </c>
      <c r="B282" s="46" t="s">
        <v>266</v>
      </c>
      <c r="C282" s="39" t="s">
        <v>312</v>
      </c>
      <c r="D282" s="72">
        <v>600458368</v>
      </c>
      <c r="E282" s="73">
        <v>9197280453</v>
      </c>
      <c r="F282" s="39" t="s">
        <v>261</v>
      </c>
      <c r="G282" s="81">
        <v>39802</v>
      </c>
      <c r="H282" s="105" t="str">
        <f>CHOOSE(MONTH(G282),"January","February","March","April","May","June","July","August","September","October","November","December")</f>
        <v>December</v>
      </c>
      <c r="I282" s="51">
        <f ca="1">DATEDIF(G282,TODAY(),"Y")</f>
        <v>7</v>
      </c>
      <c r="J282" s="52" t="s">
        <v>276</v>
      </c>
      <c r="K282" s="53">
        <v>22535</v>
      </c>
      <c r="L282" s="54">
        <v>3</v>
      </c>
    </row>
    <row r="283" spans="1:12" ht="15">
      <c r="A283" s="39" t="s">
        <v>718</v>
      </c>
      <c r="B283" s="46" t="s">
        <v>285</v>
      </c>
      <c r="C283" s="39" t="s">
        <v>372</v>
      </c>
      <c r="D283" s="72">
        <v>207506781</v>
      </c>
      <c r="E283" s="73">
        <v>9194125294</v>
      </c>
      <c r="F283" s="39" t="s">
        <v>256</v>
      </c>
      <c r="G283" s="81">
        <v>39923</v>
      </c>
      <c r="H283" s="105" t="str">
        <f>CHOOSE(MONTH(G283),"January","February","March","April","May","June","July","August","September","October","November","December")</f>
        <v>April</v>
      </c>
      <c r="I283" s="51">
        <f ca="1">DATEDIF(G283,TODAY(),"Y")</f>
        <v>7</v>
      </c>
      <c r="J283" s="52" t="s">
        <v>257</v>
      </c>
      <c r="K283" s="53">
        <v>76440</v>
      </c>
      <c r="L283" s="54">
        <v>3</v>
      </c>
    </row>
    <row r="284" spans="1:12" ht="15">
      <c r="A284" s="39" t="s">
        <v>808</v>
      </c>
      <c r="B284" s="46" t="s">
        <v>271</v>
      </c>
      <c r="C284" s="39" t="s">
        <v>381</v>
      </c>
      <c r="D284" s="72">
        <v>943671719</v>
      </c>
      <c r="E284" s="73">
        <v>9193517837</v>
      </c>
      <c r="F284" s="39" t="s">
        <v>256</v>
      </c>
      <c r="G284" s="81">
        <v>35449</v>
      </c>
      <c r="H284" s="105" t="str">
        <f>CHOOSE(MONTH(G284),"January","February","March","April","May","June","July","August","September","October","November","December")</f>
        <v>January</v>
      </c>
      <c r="I284" s="51">
        <f ca="1">DATEDIF(G284,TODAY(),"Y")</f>
        <v>19</v>
      </c>
      <c r="J284" s="52" t="s">
        <v>283</v>
      </c>
      <c r="K284" s="53">
        <v>22920</v>
      </c>
      <c r="L284" s="54">
        <v>3</v>
      </c>
    </row>
    <row r="285" spans="1:12" ht="15">
      <c r="A285" s="39" t="s">
        <v>324</v>
      </c>
      <c r="B285" s="46" t="s">
        <v>271</v>
      </c>
      <c r="C285" s="39" t="s">
        <v>391</v>
      </c>
      <c r="D285" s="72">
        <v>526188716</v>
      </c>
      <c r="E285" s="73">
        <v>2527230063</v>
      </c>
      <c r="F285" s="39" t="s">
        <v>247</v>
      </c>
      <c r="G285" s="81">
        <v>35959</v>
      </c>
      <c r="H285" s="105" t="str">
        <f>CHOOSE(MONTH(G285),"January","February","March","April","May","June","July","August","September","October","November","December")</f>
        <v>June</v>
      </c>
      <c r="I285" s="51">
        <f ca="1">DATEDIF(G285,TODAY(),"Y")</f>
        <v>18</v>
      </c>
      <c r="J285" s="52"/>
      <c r="K285" s="53">
        <v>64470</v>
      </c>
      <c r="L285" s="54">
        <v>3</v>
      </c>
    </row>
    <row r="286" spans="1:12" ht="15">
      <c r="A286" s="39" t="s">
        <v>602</v>
      </c>
      <c r="B286" s="46" t="s">
        <v>271</v>
      </c>
      <c r="C286" s="39" t="s">
        <v>417</v>
      </c>
      <c r="D286" s="72">
        <v>603301910</v>
      </c>
      <c r="E286" s="73">
        <v>9196514650</v>
      </c>
      <c r="F286" s="39" t="s">
        <v>256</v>
      </c>
      <c r="G286" s="81">
        <v>34213</v>
      </c>
      <c r="H286" s="105" t="str">
        <f>CHOOSE(MONTH(G286),"January","February","March","April","May","June","July","August","September","October","November","December")</f>
        <v>September</v>
      </c>
      <c r="I286" s="51">
        <f ca="1">DATEDIF(G286,TODAY(),"Y")</f>
        <v>23</v>
      </c>
      <c r="J286" s="52" t="s">
        <v>257</v>
      </c>
      <c r="K286" s="53">
        <v>72900</v>
      </c>
      <c r="L286" s="54">
        <v>3</v>
      </c>
    </row>
    <row r="287" spans="1:12" ht="15">
      <c r="A287" s="39" t="s">
        <v>422</v>
      </c>
      <c r="B287" s="46" t="s">
        <v>271</v>
      </c>
      <c r="C287" s="39" t="s">
        <v>417</v>
      </c>
      <c r="D287" s="72">
        <v>625531462</v>
      </c>
      <c r="E287" s="73">
        <v>2527553017</v>
      </c>
      <c r="F287" s="39" t="s">
        <v>256</v>
      </c>
      <c r="G287" s="81">
        <v>37288</v>
      </c>
      <c r="H287" s="105" t="str">
        <f>CHOOSE(MONTH(G287),"January","February","March","April","May","June","July","August","September","October","November","December")</f>
        <v>February</v>
      </c>
      <c r="I287" s="51">
        <f ca="1">DATEDIF(G287,TODAY(),"Y")</f>
        <v>14</v>
      </c>
      <c r="J287" s="52" t="s">
        <v>257</v>
      </c>
      <c r="K287" s="53">
        <v>42480</v>
      </c>
      <c r="L287" s="54">
        <v>3</v>
      </c>
    </row>
    <row r="288" spans="1:12" ht="15">
      <c r="A288" s="39" t="s">
        <v>558</v>
      </c>
      <c r="B288" s="46" t="s">
        <v>285</v>
      </c>
      <c r="C288" s="39" t="s">
        <v>417</v>
      </c>
      <c r="D288" s="72">
        <v>425598783</v>
      </c>
      <c r="E288" s="73">
        <v>9191559081</v>
      </c>
      <c r="F288" s="39" t="s">
        <v>261</v>
      </c>
      <c r="G288" s="81">
        <v>35070</v>
      </c>
      <c r="H288" s="105" t="str">
        <f>CHOOSE(MONTH(G288),"January","February","March","April","May","June","July","August","September","October","November","December")</f>
        <v>January</v>
      </c>
      <c r="I288" s="51">
        <f ca="1">DATEDIF(G288,TODAY(),"Y")</f>
        <v>20</v>
      </c>
      <c r="J288" s="52" t="s">
        <v>276</v>
      </c>
      <c r="K288" s="53">
        <v>21220</v>
      </c>
      <c r="L288" s="54">
        <v>3</v>
      </c>
    </row>
    <row r="289" spans="1:12" ht="15">
      <c r="A289" s="39" t="s">
        <v>583</v>
      </c>
      <c r="B289" s="46" t="s">
        <v>280</v>
      </c>
      <c r="C289" s="39" t="s">
        <v>417</v>
      </c>
      <c r="D289" s="72">
        <v>291841866</v>
      </c>
      <c r="E289" s="73">
        <v>9191534053</v>
      </c>
      <c r="F289" s="39" t="s">
        <v>256</v>
      </c>
      <c r="G289" s="81">
        <v>33872</v>
      </c>
      <c r="H289" s="105" t="str">
        <f>CHOOSE(MONTH(G289),"January","February","March","April","May","June","July","August","September","October","November","December")</f>
        <v>September</v>
      </c>
      <c r="I289" s="51">
        <f ca="1">DATEDIF(G289,TODAY(),"Y")</f>
        <v>24</v>
      </c>
      <c r="J289" s="52" t="s">
        <v>257</v>
      </c>
      <c r="K289" s="53">
        <v>64510</v>
      </c>
      <c r="L289" s="54">
        <v>3</v>
      </c>
    </row>
    <row r="290" spans="1:12" ht="15">
      <c r="A290" s="39" t="s">
        <v>784</v>
      </c>
      <c r="B290" s="46" t="s">
        <v>266</v>
      </c>
      <c r="C290" s="39" t="s">
        <v>417</v>
      </c>
      <c r="D290" s="72">
        <v>956291859</v>
      </c>
      <c r="E290" s="73">
        <v>2521156902</v>
      </c>
      <c r="F290" s="39" t="s">
        <v>247</v>
      </c>
      <c r="G290" s="81">
        <v>40259</v>
      </c>
      <c r="H290" s="105" t="str">
        <f>CHOOSE(MONTH(G290),"January","February","March","April","May","June","July","August","September","October","November","December")</f>
        <v>March</v>
      </c>
      <c r="I290" s="51">
        <f ca="1">DATEDIF(G290,TODAY(),"Y")</f>
        <v>6</v>
      </c>
      <c r="J290" s="52"/>
      <c r="K290" s="53">
        <v>45710</v>
      </c>
      <c r="L290" s="54">
        <v>3</v>
      </c>
    </row>
    <row r="291" spans="1:12" ht="15">
      <c r="A291" s="39" t="s">
        <v>753</v>
      </c>
      <c r="B291" s="46" t="s">
        <v>271</v>
      </c>
      <c r="C291" s="39" t="s">
        <v>417</v>
      </c>
      <c r="D291" s="72">
        <v>707553376</v>
      </c>
      <c r="E291" s="73">
        <v>9194194193</v>
      </c>
      <c r="F291" s="39" t="s">
        <v>256</v>
      </c>
      <c r="G291" s="81">
        <v>35084</v>
      </c>
      <c r="H291" s="105" t="str">
        <f>CHOOSE(MONTH(G291),"January","February","March","April","May","June","July","August","September","October","November","December")</f>
        <v>January</v>
      </c>
      <c r="I291" s="51">
        <f ca="1">DATEDIF(G291,TODAY(),"Y")</f>
        <v>20</v>
      </c>
      <c r="J291" s="52" t="s">
        <v>276</v>
      </c>
      <c r="K291" s="53">
        <v>49260</v>
      </c>
      <c r="L291" s="54">
        <v>3</v>
      </c>
    </row>
    <row r="292" spans="1:12" ht="15">
      <c r="A292" s="39" t="s">
        <v>506</v>
      </c>
      <c r="B292" s="46" t="s">
        <v>285</v>
      </c>
      <c r="C292" s="39" t="s">
        <v>417</v>
      </c>
      <c r="D292" s="72">
        <v>536516131</v>
      </c>
      <c r="E292" s="73">
        <v>2524442207</v>
      </c>
      <c r="F292" s="39" t="s">
        <v>256</v>
      </c>
      <c r="G292" s="81">
        <v>40470</v>
      </c>
      <c r="H292" s="105" t="str">
        <f>CHOOSE(MONTH(G292),"January","February","March","April","May","June","July","August","September","October","November","December")</f>
        <v>October</v>
      </c>
      <c r="I292" s="51">
        <f ca="1">DATEDIF(G292,TODAY(),"Y")</f>
        <v>6</v>
      </c>
      <c r="J292" s="52" t="s">
        <v>283</v>
      </c>
      <c r="K292" s="53">
        <v>42620</v>
      </c>
      <c r="L292" s="54">
        <v>3</v>
      </c>
    </row>
    <row r="293" spans="1:12" ht="15">
      <c r="A293" s="39" t="s">
        <v>490</v>
      </c>
      <c r="B293" s="46" t="s">
        <v>271</v>
      </c>
      <c r="C293" s="39" t="s">
        <v>417</v>
      </c>
      <c r="D293" s="72">
        <v>407299017</v>
      </c>
      <c r="E293" s="73">
        <v>9195968632</v>
      </c>
      <c r="F293" s="39" t="s">
        <v>252</v>
      </c>
      <c r="G293" s="81">
        <v>39893</v>
      </c>
      <c r="H293" s="105" t="str">
        <f>CHOOSE(MONTH(G293),"January","February","March","April","May","June","July","August","September","October","November","December")</f>
        <v>March</v>
      </c>
      <c r="I293" s="51">
        <f ca="1">DATEDIF(G293,TODAY(),"Y")</f>
        <v>7</v>
      </c>
      <c r="J293" s="52"/>
      <c r="K293" s="53">
        <v>15744</v>
      </c>
      <c r="L293" s="54">
        <v>3</v>
      </c>
    </row>
    <row r="294" spans="1:12" ht="15">
      <c r="A294" s="39" t="s">
        <v>904</v>
      </c>
      <c r="B294" s="46" t="s">
        <v>285</v>
      </c>
      <c r="C294" s="39" t="s">
        <v>465</v>
      </c>
      <c r="D294" s="72">
        <v>920477476</v>
      </c>
      <c r="E294" s="73">
        <v>2523162442</v>
      </c>
      <c r="F294" s="39" t="s">
        <v>247</v>
      </c>
      <c r="G294" s="81">
        <v>35185</v>
      </c>
      <c r="H294" s="105" t="str">
        <f>CHOOSE(MONTH(G294),"January","February","March","April","May","June","July","August","September","October","November","December")</f>
        <v>April</v>
      </c>
      <c r="I294" s="51">
        <f ca="1">DATEDIF(G294,TODAY(),"Y")</f>
        <v>20</v>
      </c>
      <c r="J294" s="52"/>
      <c r="K294" s="53">
        <v>24410</v>
      </c>
      <c r="L294" s="54">
        <v>3</v>
      </c>
    </row>
    <row r="295" spans="1:12" ht="15">
      <c r="A295" s="39" t="s">
        <v>992</v>
      </c>
      <c r="B295" s="46" t="s">
        <v>271</v>
      </c>
      <c r="C295" s="39" t="s">
        <v>465</v>
      </c>
      <c r="D295" s="72">
        <v>962553692</v>
      </c>
      <c r="E295" s="73">
        <v>9196689962</v>
      </c>
      <c r="F295" s="39" t="s">
        <v>256</v>
      </c>
      <c r="G295" s="81">
        <v>35156</v>
      </c>
      <c r="H295" s="105" t="str">
        <f>CHOOSE(MONTH(G295),"January","February","March","April","May","June","July","August","September","October","November","December")</f>
        <v>April</v>
      </c>
      <c r="I295" s="51">
        <f ca="1">DATEDIF(G295,TODAY(),"Y")</f>
        <v>20</v>
      </c>
      <c r="J295" s="52" t="s">
        <v>283</v>
      </c>
      <c r="K295" s="53">
        <v>86260</v>
      </c>
      <c r="L295" s="54">
        <v>3</v>
      </c>
    </row>
    <row r="296" spans="1:12" ht="15">
      <c r="A296" s="39" t="s">
        <v>818</v>
      </c>
      <c r="B296" s="46" t="s">
        <v>280</v>
      </c>
      <c r="C296" s="39" t="s">
        <v>465</v>
      </c>
      <c r="D296" s="72">
        <v>620336005</v>
      </c>
      <c r="E296" s="73">
        <v>9196422185</v>
      </c>
      <c r="F296" s="39" t="s">
        <v>256</v>
      </c>
      <c r="G296" s="81">
        <v>38377</v>
      </c>
      <c r="H296" s="105" t="str">
        <f>CHOOSE(MONTH(G296),"January","February","March","April","May","June","July","August","September","October","November","December")</f>
        <v>January</v>
      </c>
      <c r="I296" s="51">
        <f ca="1">DATEDIF(G296,TODAY(),"Y")</f>
        <v>11</v>
      </c>
      <c r="J296" s="52" t="s">
        <v>257</v>
      </c>
      <c r="K296" s="53">
        <v>41060</v>
      </c>
      <c r="L296" s="54">
        <v>3</v>
      </c>
    </row>
    <row r="297" spans="1:12" ht="15">
      <c r="A297" s="39" t="s">
        <v>657</v>
      </c>
      <c r="B297" s="46" t="s">
        <v>266</v>
      </c>
      <c r="C297" s="39" t="s">
        <v>465</v>
      </c>
      <c r="D297" s="72">
        <v>165917010</v>
      </c>
      <c r="E297" s="73">
        <v>2527038033</v>
      </c>
      <c r="F297" s="39" t="s">
        <v>247</v>
      </c>
      <c r="G297" s="81">
        <v>34671</v>
      </c>
      <c r="H297" s="105" t="str">
        <f>CHOOSE(MONTH(G297),"January","February","March","April","May","June","July","August","September","October","November","December")</f>
        <v>December</v>
      </c>
      <c r="I297" s="51">
        <f ca="1">DATEDIF(G297,TODAY(),"Y")</f>
        <v>21</v>
      </c>
      <c r="J297" s="52"/>
      <c r="K297" s="53">
        <v>80690</v>
      </c>
      <c r="L297" s="54">
        <v>3</v>
      </c>
    </row>
    <row r="298" spans="1:12" ht="15">
      <c r="A298" s="39" t="s">
        <v>730</v>
      </c>
      <c r="B298" s="46" t="s">
        <v>285</v>
      </c>
      <c r="C298" s="39" t="s">
        <v>465</v>
      </c>
      <c r="D298" s="72">
        <v>356242235</v>
      </c>
      <c r="E298" s="73">
        <v>2521667727</v>
      </c>
      <c r="F298" s="39" t="s">
        <v>261</v>
      </c>
      <c r="G298" s="81">
        <v>36604</v>
      </c>
      <c r="H298" s="105" t="str">
        <f>CHOOSE(MONTH(G298),"January","February","March","April","May","June","July","August","September","October","November","December")</f>
        <v>March</v>
      </c>
      <c r="I298" s="51">
        <f ca="1">DATEDIF(G298,TODAY(),"Y")</f>
        <v>16</v>
      </c>
      <c r="J298" s="52" t="s">
        <v>283</v>
      </c>
      <c r="K298" s="53">
        <v>46710</v>
      </c>
      <c r="L298" s="54">
        <v>3</v>
      </c>
    </row>
    <row r="299" spans="1:12" ht="15">
      <c r="A299" s="39" t="s">
        <v>564</v>
      </c>
      <c r="B299" s="46" t="s">
        <v>285</v>
      </c>
      <c r="C299" s="39" t="s">
        <v>465</v>
      </c>
      <c r="D299" s="72">
        <v>428024993</v>
      </c>
      <c r="E299" s="73">
        <v>9196410575</v>
      </c>
      <c r="F299" s="39" t="s">
        <v>247</v>
      </c>
      <c r="G299" s="81">
        <v>33774</v>
      </c>
      <c r="H299" s="105" t="str">
        <f>CHOOSE(MONTH(G299),"January","February","March","April","May","June","July","August","September","October","November","December")</f>
        <v>June</v>
      </c>
      <c r="I299" s="51">
        <f ca="1">DATEDIF(G299,TODAY(),"Y")</f>
        <v>24</v>
      </c>
      <c r="J299" s="52"/>
      <c r="K299" s="53">
        <v>32190</v>
      </c>
      <c r="L299" s="54">
        <v>3</v>
      </c>
    </row>
    <row r="300" spans="1:12" ht="15">
      <c r="A300" s="39" t="s">
        <v>695</v>
      </c>
      <c r="B300" s="46" t="s">
        <v>285</v>
      </c>
      <c r="C300" s="39" t="s">
        <v>465</v>
      </c>
      <c r="D300" s="72">
        <v>722630791</v>
      </c>
      <c r="E300" s="73">
        <v>2522263363</v>
      </c>
      <c r="F300" s="39" t="s">
        <v>252</v>
      </c>
      <c r="G300" s="81">
        <v>35982</v>
      </c>
      <c r="H300" s="105" t="str">
        <f>CHOOSE(MONTH(G300),"January","February","March","April","May","June","July","August","September","October","November","December")</f>
        <v>July</v>
      </c>
      <c r="I300" s="51">
        <f ca="1">DATEDIF(G300,TODAY(),"Y")</f>
        <v>18</v>
      </c>
      <c r="J300" s="52"/>
      <c r="K300" s="53">
        <v>8904</v>
      </c>
      <c r="L300" s="54">
        <v>3</v>
      </c>
    </row>
    <row r="301" spans="1:12" ht="15">
      <c r="A301" s="39" t="s">
        <v>293</v>
      </c>
      <c r="B301" s="46" t="s">
        <v>271</v>
      </c>
      <c r="C301" s="39" t="s">
        <v>465</v>
      </c>
      <c r="D301" s="72">
        <v>708108747</v>
      </c>
      <c r="E301" s="73">
        <v>9192520526</v>
      </c>
      <c r="F301" s="39" t="s">
        <v>256</v>
      </c>
      <c r="G301" s="81">
        <v>37943</v>
      </c>
      <c r="H301" s="105" t="str">
        <f>CHOOSE(MONTH(G301),"January","February","March","April","May","June","July","August","September","October","November","December")</f>
        <v>November</v>
      </c>
      <c r="I301" s="51">
        <f ca="1">DATEDIF(G301,TODAY(),"Y")</f>
        <v>12</v>
      </c>
      <c r="J301" s="52" t="s">
        <v>257</v>
      </c>
      <c r="K301" s="53">
        <v>75176</v>
      </c>
      <c r="L301" s="54">
        <v>3</v>
      </c>
    </row>
    <row r="302" spans="1:12" ht="15">
      <c r="A302" s="39" t="s">
        <v>869</v>
      </c>
      <c r="B302" s="46" t="s">
        <v>271</v>
      </c>
      <c r="C302" s="39" t="s">
        <v>465</v>
      </c>
      <c r="D302" s="72">
        <v>820244290</v>
      </c>
      <c r="E302" s="73">
        <v>9194944596</v>
      </c>
      <c r="F302" s="39" t="s">
        <v>247</v>
      </c>
      <c r="G302" s="81">
        <v>33979</v>
      </c>
      <c r="H302" s="105" t="str">
        <f>CHOOSE(MONTH(G302),"January","February","March","April","May","June","July","August","September","October","November","December")</f>
        <v>January</v>
      </c>
      <c r="I302" s="51">
        <f ca="1">DATEDIF(G302,TODAY(),"Y")</f>
        <v>23</v>
      </c>
      <c r="J302" s="52"/>
      <c r="K302" s="53">
        <v>73990</v>
      </c>
      <c r="L302" s="54">
        <v>3</v>
      </c>
    </row>
    <row r="303" spans="1:12" ht="15">
      <c r="A303" s="39" t="s">
        <v>709</v>
      </c>
      <c r="B303" s="46" t="s">
        <v>285</v>
      </c>
      <c r="C303" s="39" t="s">
        <v>465</v>
      </c>
      <c r="D303" s="72">
        <v>243062914</v>
      </c>
      <c r="E303" s="73">
        <v>9194018412</v>
      </c>
      <c r="F303" s="39" t="s">
        <v>256</v>
      </c>
      <c r="G303" s="81">
        <v>35199</v>
      </c>
      <c r="H303" s="105" t="str">
        <f>CHOOSE(MONTH(G303),"January","February","March","April","May","June","July","August","September","October","November","December")</f>
        <v>May</v>
      </c>
      <c r="I303" s="51">
        <f ca="1">DATEDIF(G303,TODAY(),"Y")</f>
        <v>20</v>
      </c>
      <c r="J303" s="52" t="s">
        <v>257</v>
      </c>
      <c r="K303" s="53">
        <v>73450</v>
      </c>
      <c r="L303" s="54">
        <v>3</v>
      </c>
    </row>
    <row r="304" spans="1:12" ht="15">
      <c r="A304" s="39" t="s">
        <v>804</v>
      </c>
      <c r="B304" s="46" t="s">
        <v>285</v>
      </c>
      <c r="C304" s="39" t="s">
        <v>465</v>
      </c>
      <c r="D304" s="72">
        <v>542653222</v>
      </c>
      <c r="E304" s="73">
        <v>9193708610</v>
      </c>
      <c r="F304" s="39" t="s">
        <v>247</v>
      </c>
      <c r="G304" s="81">
        <v>35997</v>
      </c>
      <c r="H304" s="105" t="str">
        <f>CHOOSE(MONTH(G304),"January","February","March","April","May","June","July","August","September","October","November","December")</f>
        <v>July</v>
      </c>
      <c r="I304" s="51">
        <f ca="1">DATEDIF(G304,TODAY(),"Y")</f>
        <v>18</v>
      </c>
      <c r="J304" s="52"/>
      <c r="K304" s="53">
        <v>72520</v>
      </c>
      <c r="L304" s="54">
        <v>3</v>
      </c>
    </row>
    <row r="305" spans="1:12" ht="15">
      <c r="A305" s="39" t="s">
        <v>1010</v>
      </c>
      <c r="B305" s="46" t="s">
        <v>245</v>
      </c>
      <c r="C305" s="39" t="s">
        <v>465</v>
      </c>
      <c r="D305" s="72">
        <v>661850671</v>
      </c>
      <c r="E305" s="73">
        <v>2528405900</v>
      </c>
      <c r="F305" s="39" t="s">
        <v>252</v>
      </c>
      <c r="G305" s="81">
        <v>35829</v>
      </c>
      <c r="H305" s="105" t="str">
        <f>CHOOSE(MONTH(G305),"January","February","March","April","May","June","July","August","September","October","November","December")</f>
        <v>February</v>
      </c>
      <c r="I305" s="51">
        <f ca="1">DATEDIF(G305,TODAY(),"Y")</f>
        <v>18</v>
      </c>
      <c r="J305" s="52"/>
      <c r="K305" s="53">
        <v>29176</v>
      </c>
      <c r="L305" s="54">
        <v>3</v>
      </c>
    </row>
    <row r="306" spans="1:12" ht="15">
      <c r="A306" s="39" t="s">
        <v>988</v>
      </c>
      <c r="B306" s="46" t="s">
        <v>245</v>
      </c>
      <c r="C306" s="39" t="s">
        <v>465</v>
      </c>
      <c r="D306" s="72">
        <v>361925033</v>
      </c>
      <c r="E306" s="73">
        <v>9196633751</v>
      </c>
      <c r="F306" s="39" t="s">
        <v>247</v>
      </c>
      <c r="G306" s="81">
        <v>38289</v>
      </c>
      <c r="H306" s="105" t="str">
        <f>CHOOSE(MONTH(G306),"January","February","March","April","May","June","July","August","September","October","November","December")</f>
        <v>October</v>
      </c>
      <c r="I306" s="51">
        <f ca="1">DATEDIF(G306,TODAY(),"Y")</f>
        <v>12</v>
      </c>
      <c r="J306" s="52"/>
      <c r="K306" s="53">
        <v>71830</v>
      </c>
      <c r="L306" s="54">
        <v>3</v>
      </c>
    </row>
    <row r="307" spans="1:12" ht="15">
      <c r="A307" s="39" t="s">
        <v>315</v>
      </c>
      <c r="B307" s="46" t="s">
        <v>266</v>
      </c>
      <c r="C307" s="39" t="s">
        <v>465</v>
      </c>
      <c r="D307" s="72">
        <v>858800513</v>
      </c>
      <c r="E307" s="73">
        <v>9193547588</v>
      </c>
      <c r="F307" s="39" t="s">
        <v>256</v>
      </c>
      <c r="G307" s="81">
        <v>39312</v>
      </c>
      <c r="H307" s="105" t="str">
        <f>CHOOSE(MONTH(G307),"January","February","March","April","May","June","July","August","September","October","November","December")</f>
        <v>August</v>
      </c>
      <c r="I307" s="51">
        <f ca="1">DATEDIF(G307,TODAY(),"Y")</f>
        <v>9</v>
      </c>
      <c r="J307" s="52" t="s">
        <v>262</v>
      </c>
      <c r="K307" s="53">
        <v>71030</v>
      </c>
      <c r="L307" s="54">
        <v>3</v>
      </c>
    </row>
    <row r="308" spans="1:12" ht="15">
      <c r="A308" s="39" t="s">
        <v>742</v>
      </c>
      <c r="B308" s="46" t="s">
        <v>245</v>
      </c>
      <c r="C308" s="39" t="s">
        <v>465</v>
      </c>
      <c r="D308" s="72">
        <v>136620388</v>
      </c>
      <c r="E308" s="73">
        <v>9195119214</v>
      </c>
      <c r="F308" s="39" t="s">
        <v>256</v>
      </c>
      <c r="G308" s="81">
        <v>35714</v>
      </c>
      <c r="H308" s="105" t="str">
        <f>CHOOSE(MONTH(G308),"January","February","March","April","May","June","July","August","September","October","November","December")</f>
        <v>October</v>
      </c>
      <c r="I308" s="51">
        <f ca="1">DATEDIF(G308,TODAY(),"Y")</f>
        <v>19</v>
      </c>
      <c r="J308" s="52" t="s">
        <v>262</v>
      </c>
      <c r="K308" s="53">
        <v>70020</v>
      </c>
      <c r="L308" s="54">
        <v>3</v>
      </c>
    </row>
    <row r="309" spans="1:12" ht="15">
      <c r="A309" s="39" t="s">
        <v>958</v>
      </c>
      <c r="B309" s="46" t="s">
        <v>271</v>
      </c>
      <c r="C309" s="39" t="s">
        <v>465</v>
      </c>
      <c r="D309" s="72">
        <v>415299442</v>
      </c>
      <c r="E309" s="73">
        <v>2521408985</v>
      </c>
      <c r="F309" s="39" t="s">
        <v>256</v>
      </c>
      <c r="G309" s="81">
        <v>39696</v>
      </c>
      <c r="H309" s="105" t="str">
        <f>CHOOSE(MONTH(G309),"January","February","March","April","May","June","July","August","September","October","November","December")</f>
        <v>September</v>
      </c>
      <c r="I309" s="51">
        <f ca="1">DATEDIF(G309,TODAY(),"Y")</f>
        <v>8</v>
      </c>
      <c r="J309" s="52" t="s">
        <v>257</v>
      </c>
      <c r="K309" s="53">
        <v>69320</v>
      </c>
      <c r="L309" s="54">
        <v>3</v>
      </c>
    </row>
    <row r="310" spans="1:12" ht="15">
      <c r="A310" s="39" t="s">
        <v>1000</v>
      </c>
      <c r="B310" s="46" t="s">
        <v>271</v>
      </c>
      <c r="C310" s="39" t="s">
        <v>465</v>
      </c>
      <c r="D310" s="72">
        <v>468053610</v>
      </c>
      <c r="E310" s="73">
        <v>2525344270</v>
      </c>
      <c r="F310" s="39" t="s">
        <v>256</v>
      </c>
      <c r="G310" s="81">
        <v>37509</v>
      </c>
      <c r="H310" s="105" t="str">
        <f>CHOOSE(MONTH(G310),"January","February","March","April","May","June","July","August","September","October","November","December")</f>
        <v>September</v>
      </c>
      <c r="I310" s="51">
        <f ca="1">DATEDIF(G310,TODAY(),"Y")</f>
        <v>14</v>
      </c>
      <c r="J310" s="52" t="s">
        <v>283</v>
      </c>
      <c r="K310" s="53">
        <v>69080</v>
      </c>
      <c r="L310" s="54">
        <v>3</v>
      </c>
    </row>
    <row r="311" spans="1:12" ht="15">
      <c r="A311" s="39" t="s">
        <v>665</v>
      </c>
      <c r="B311" s="46" t="s">
        <v>280</v>
      </c>
      <c r="C311" s="39" t="s">
        <v>465</v>
      </c>
      <c r="D311" s="72">
        <v>177332873</v>
      </c>
      <c r="E311" s="73">
        <v>9195915044</v>
      </c>
      <c r="F311" s="39" t="s">
        <v>256</v>
      </c>
      <c r="G311" s="81">
        <v>36413</v>
      </c>
      <c r="H311" s="105" t="str">
        <f>CHOOSE(MONTH(G311),"January","February","March","April","May","June","July","August","September","October","November","December")</f>
        <v>September</v>
      </c>
      <c r="I311" s="51">
        <f ca="1">DATEDIF(G311,TODAY(),"Y")</f>
        <v>17</v>
      </c>
      <c r="J311" s="52" t="s">
        <v>257</v>
      </c>
      <c r="K311" s="53">
        <v>40060</v>
      </c>
      <c r="L311" s="54">
        <v>3</v>
      </c>
    </row>
    <row r="312" spans="1:12" ht="15">
      <c r="A312" s="39" t="s">
        <v>681</v>
      </c>
      <c r="B312" s="46" t="s">
        <v>285</v>
      </c>
      <c r="C312" s="39" t="s">
        <v>465</v>
      </c>
      <c r="D312" s="72">
        <v>337943008</v>
      </c>
      <c r="E312" s="73">
        <v>2521257896</v>
      </c>
      <c r="F312" s="39" t="s">
        <v>256</v>
      </c>
      <c r="G312" s="81">
        <v>37394</v>
      </c>
      <c r="H312" s="105" t="str">
        <f>CHOOSE(MONTH(G312),"January","February","March","April","May","June","July","August","September","October","November","December")</f>
        <v>May</v>
      </c>
      <c r="I312" s="51">
        <f ca="1">DATEDIF(G312,TODAY(),"Y")</f>
        <v>14</v>
      </c>
      <c r="J312" s="52" t="s">
        <v>257</v>
      </c>
      <c r="K312" s="53">
        <v>28970</v>
      </c>
      <c r="L312" s="54">
        <v>3</v>
      </c>
    </row>
    <row r="313" spans="1:12" ht="15">
      <c r="A313" s="39" t="s">
        <v>538</v>
      </c>
      <c r="B313" s="46" t="s">
        <v>280</v>
      </c>
      <c r="C313" s="39" t="s">
        <v>465</v>
      </c>
      <c r="D313" s="72">
        <v>647552282</v>
      </c>
      <c r="E313" s="73">
        <v>9193392642</v>
      </c>
      <c r="F313" s="39" t="s">
        <v>247</v>
      </c>
      <c r="G313" s="81">
        <v>34265</v>
      </c>
      <c r="H313" s="105" t="str">
        <f>CHOOSE(MONTH(G313),"January","February","March","April","May","June","July","August","September","October","November","December")</f>
        <v>October</v>
      </c>
      <c r="I313" s="51">
        <f ca="1">DATEDIF(G313,TODAY(),"Y")</f>
        <v>23</v>
      </c>
      <c r="J313" s="52"/>
      <c r="K313" s="53">
        <v>35460</v>
      </c>
      <c r="L313" s="54">
        <v>3</v>
      </c>
    </row>
    <row r="314" spans="1:12" ht="15">
      <c r="A314" s="39" t="s">
        <v>687</v>
      </c>
      <c r="B314" s="46" t="s">
        <v>245</v>
      </c>
      <c r="C314" s="39" t="s">
        <v>465</v>
      </c>
      <c r="D314" s="72">
        <v>772163640</v>
      </c>
      <c r="E314" s="73">
        <v>9192474315</v>
      </c>
      <c r="F314" s="39" t="s">
        <v>256</v>
      </c>
      <c r="G314" s="81">
        <v>36444</v>
      </c>
      <c r="H314" s="105" t="str">
        <f>CHOOSE(MONTH(G314),"January","February","March","April","May","June","July","August","September","October","November","December")</f>
        <v>October</v>
      </c>
      <c r="I314" s="51">
        <f ca="1">DATEDIF(G314,TODAY(),"Y")</f>
        <v>17</v>
      </c>
      <c r="J314" s="52" t="s">
        <v>257</v>
      </c>
      <c r="K314" s="53">
        <v>67280</v>
      </c>
      <c r="L314" s="54">
        <v>3</v>
      </c>
    </row>
    <row r="315" spans="1:12" ht="15">
      <c r="A315" s="39" t="s">
        <v>782</v>
      </c>
      <c r="B315" s="46" t="s">
        <v>271</v>
      </c>
      <c r="C315" s="39" t="s">
        <v>465</v>
      </c>
      <c r="D315" s="72">
        <v>387517948</v>
      </c>
      <c r="E315" s="73">
        <v>9198213594</v>
      </c>
      <c r="F315" s="39" t="s">
        <v>256</v>
      </c>
      <c r="G315" s="81">
        <v>40634</v>
      </c>
      <c r="H315" s="105" t="str">
        <f>CHOOSE(MONTH(G315),"January","February","March","April","May","June","July","August","September","October","November","December")</f>
        <v>April</v>
      </c>
      <c r="I315" s="51">
        <f ca="1">DATEDIF(G315,TODAY(),"Y")</f>
        <v>5</v>
      </c>
      <c r="J315" s="52" t="s">
        <v>257</v>
      </c>
      <c r="K315" s="53">
        <v>47440</v>
      </c>
      <c r="L315" s="54">
        <v>3</v>
      </c>
    </row>
    <row r="316" spans="1:12" ht="15">
      <c r="A316" s="39" t="s">
        <v>537</v>
      </c>
      <c r="B316" s="46" t="s">
        <v>271</v>
      </c>
      <c r="C316" s="39" t="s">
        <v>465</v>
      </c>
      <c r="D316" s="72">
        <v>505966230</v>
      </c>
      <c r="E316" s="73">
        <v>9198038161</v>
      </c>
      <c r="F316" s="39" t="s">
        <v>256</v>
      </c>
      <c r="G316" s="81">
        <v>33993</v>
      </c>
      <c r="H316" s="105" t="str">
        <f>CHOOSE(MONTH(G316),"January","February","March","April","May","June","July","August","September","October","November","December")</f>
        <v>January</v>
      </c>
      <c r="I316" s="51">
        <f ca="1">DATEDIF(G316,TODAY(),"Y")</f>
        <v>23</v>
      </c>
      <c r="J316" s="52" t="s">
        <v>283</v>
      </c>
      <c r="K316" s="53">
        <v>45500</v>
      </c>
      <c r="L316" s="54">
        <v>3</v>
      </c>
    </row>
    <row r="317" spans="1:12" ht="15">
      <c r="A317" s="39" t="s">
        <v>346</v>
      </c>
      <c r="B317" s="46" t="s">
        <v>271</v>
      </c>
      <c r="C317" s="39" t="s">
        <v>465</v>
      </c>
      <c r="D317" s="72">
        <v>219245495</v>
      </c>
      <c r="E317" s="73">
        <v>9198256039</v>
      </c>
      <c r="F317" s="39" t="s">
        <v>247</v>
      </c>
      <c r="G317" s="81">
        <v>34425</v>
      </c>
      <c r="H317" s="105" t="str">
        <f>CHOOSE(MONTH(G317),"January","February","March","April","May","June","July","August","September","October","November","December")</f>
        <v>April</v>
      </c>
      <c r="I317" s="51">
        <f ca="1">DATEDIF(G317,TODAY(),"Y")</f>
        <v>22</v>
      </c>
      <c r="J317" s="52"/>
      <c r="K317" s="53">
        <v>63310</v>
      </c>
      <c r="L317" s="54">
        <v>3</v>
      </c>
    </row>
    <row r="318" spans="1:12" ht="15">
      <c r="A318" s="39" t="s">
        <v>964</v>
      </c>
      <c r="B318" s="46" t="s">
        <v>245</v>
      </c>
      <c r="C318" s="39" t="s">
        <v>465</v>
      </c>
      <c r="D318" s="72">
        <v>865073824</v>
      </c>
      <c r="E318" s="73">
        <v>2524785979</v>
      </c>
      <c r="F318" s="39" t="s">
        <v>256</v>
      </c>
      <c r="G318" s="81">
        <v>34541</v>
      </c>
      <c r="H318" s="105" t="str">
        <f>CHOOSE(MONTH(G318),"January","February","March","April","May","June","July","August","September","October","November","December")</f>
        <v>July</v>
      </c>
      <c r="I318" s="51">
        <f ca="1">DATEDIF(G318,TODAY(),"Y")</f>
        <v>22</v>
      </c>
      <c r="J318" s="52" t="s">
        <v>276</v>
      </c>
      <c r="K318" s="53">
        <v>34480</v>
      </c>
      <c r="L318" s="54">
        <v>3</v>
      </c>
    </row>
    <row r="319" spans="1:12" ht="15">
      <c r="A319" s="39" t="s">
        <v>440</v>
      </c>
      <c r="B319" s="46" t="s">
        <v>271</v>
      </c>
      <c r="C319" s="39" t="s">
        <v>465</v>
      </c>
      <c r="D319" s="72">
        <v>213584397</v>
      </c>
      <c r="E319" s="73">
        <v>2524138160</v>
      </c>
      <c r="F319" s="39" t="s">
        <v>256</v>
      </c>
      <c r="G319" s="81">
        <v>37331</v>
      </c>
      <c r="H319" s="105" t="str">
        <f>CHOOSE(MONTH(G319),"January","February","March","April","May","June","July","August","September","October","November","December")</f>
        <v>March</v>
      </c>
      <c r="I319" s="51">
        <f ca="1">DATEDIF(G319,TODAY(),"Y")</f>
        <v>14</v>
      </c>
      <c r="J319" s="52" t="s">
        <v>283</v>
      </c>
      <c r="K319" s="53">
        <v>62750</v>
      </c>
      <c r="L319" s="54">
        <v>3</v>
      </c>
    </row>
    <row r="320" spans="1:12" ht="15">
      <c r="A320" s="39" t="s">
        <v>328</v>
      </c>
      <c r="B320" s="46" t="s">
        <v>285</v>
      </c>
      <c r="C320" s="39" t="s">
        <v>465</v>
      </c>
      <c r="D320" s="72">
        <v>948480407</v>
      </c>
      <c r="E320" s="73">
        <v>9191449596</v>
      </c>
      <c r="F320" s="39" t="s">
        <v>247</v>
      </c>
      <c r="G320" s="81">
        <v>37634</v>
      </c>
      <c r="H320" s="105" t="str">
        <f>CHOOSE(MONTH(G320),"January","February","March","April","May","June","July","August","September","October","November","December")</f>
        <v>January</v>
      </c>
      <c r="I320" s="51">
        <f ca="1">DATEDIF(G320,TODAY(),"Y")</f>
        <v>13</v>
      </c>
      <c r="J320" s="52"/>
      <c r="K320" s="53">
        <v>61370</v>
      </c>
      <c r="L320" s="54">
        <v>3</v>
      </c>
    </row>
    <row r="321" spans="1:12" ht="15">
      <c r="A321" s="39" t="s">
        <v>714</v>
      </c>
      <c r="B321" s="46" t="s">
        <v>266</v>
      </c>
      <c r="C321" s="39" t="s">
        <v>465</v>
      </c>
      <c r="D321" s="72">
        <v>596641549</v>
      </c>
      <c r="E321" s="73">
        <v>9196194175</v>
      </c>
      <c r="F321" s="39" t="s">
        <v>247</v>
      </c>
      <c r="G321" s="81">
        <v>36350</v>
      </c>
      <c r="H321" s="105" t="str">
        <f>CHOOSE(MONTH(G321),"January","February","March","April","May","June","July","August","September","October","November","December")</f>
        <v>July</v>
      </c>
      <c r="I321" s="51">
        <f ca="1">DATEDIF(G321,TODAY(),"Y")</f>
        <v>17</v>
      </c>
      <c r="J321" s="52"/>
      <c r="K321" s="53">
        <v>27380</v>
      </c>
      <c r="L321" s="54">
        <v>3</v>
      </c>
    </row>
    <row r="322" spans="1:12" ht="15">
      <c r="A322" s="39" t="s">
        <v>876</v>
      </c>
      <c r="B322" s="46" t="s">
        <v>251</v>
      </c>
      <c r="C322" s="39" t="s">
        <v>465</v>
      </c>
      <c r="D322" s="72">
        <v>944793994</v>
      </c>
      <c r="E322" s="73">
        <v>2525725646</v>
      </c>
      <c r="F322" s="39" t="s">
        <v>256</v>
      </c>
      <c r="G322" s="81">
        <v>34785</v>
      </c>
      <c r="H322" s="105" t="str">
        <f>CHOOSE(MONTH(G322),"January","February","March","April","May","June","July","August","September","October","November","December")</f>
        <v>March</v>
      </c>
      <c r="I322" s="51">
        <f ca="1">DATEDIF(G322,TODAY(),"Y")</f>
        <v>21</v>
      </c>
      <c r="J322" s="52" t="s">
        <v>257</v>
      </c>
      <c r="K322" s="53">
        <v>24300</v>
      </c>
      <c r="L322" s="54">
        <v>3</v>
      </c>
    </row>
    <row r="323" spans="1:12" ht="15">
      <c r="A323" s="39" t="s">
        <v>514</v>
      </c>
      <c r="B323" s="46" t="s">
        <v>280</v>
      </c>
      <c r="C323" s="39" t="s">
        <v>465</v>
      </c>
      <c r="D323" s="72">
        <v>826450563</v>
      </c>
      <c r="E323" s="73">
        <v>9196607355</v>
      </c>
      <c r="F323" s="39" t="s">
        <v>247</v>
      </c>
      <c r="G323" s="81">
        <v>36704</v>
      </c>
      <c r="H323" s="105" t="str">
        <f>CHOOSE(MONTH(G323),"January","February","March","April","May","June","July","August","September","October","November","December")</f>
        <v>June</v>
      </c>
      <c r="I323" s="51">
        <f ca="1">DATEDIF(G323,TODAY(),"Y")</f>
        <v>16</v>
      </c>
      <c r="J323" s="52"/>
      <c r="K323" s="53">
        <v>57760</v>
      </c>
      <c r="L323" s="54">
        <v>3</v>
      </c>
    </row>
    <row r="324" spans="1:12" ht="15">
      <c r="A324" s="39" t="s">
        <v>482</v>
      </c>
      <c r="B324" s="46" t="s">
        <v>271</v>
      </c>
      <c r="C324" s="39" t="s">
        <v>465</v>
      </c>
      <c r="D324" s="72">
        <v>257249459</v>
      </c>
      <c r="E324" s="73">
        <v>9197775023</v>
      </c>
      <c r="F324" s="39" t="s">
        <v>247</v>
      </c>
      <c r="G324" s="81">
        <v>36637</v>
      </c>
      <c r="H324" s="105" t="str">
        <f>CHOOSE(MONTH(G324),"January","February","March","April","May","June","July","August","September","October","November","December")</f>
        <v>April</v>
      </c>
      <c r="I324" s="51">
        <f ca="1">DATEDIF(G324,TODAY(),"Y")</f>
        <v>16</v>
      </c>
      <c r="J324" s="52"/>
      <c r="K324" s="53">
        <v>57600</v>
      </c>
      <c r="L324" s="54">
        <v>3</v>
      </c>
    </row>
    <row r="325" spans="1:12" ht="15">
      <c r="A325" s="39" t="s">
        <v>906</v>
      </c>
      <c r="B325" s="46" t="s">
        <v>271</v>
      </c>
      <c r="C325" s="39" t="s">
        <v>465</v>
      </c>
      <c r="D325" s="72">
        <v>843064707</v>
      </c>
      <c r="E325" s="73">
        <v>9192687844</v>
      </c>
      <c r="F325" s="39" t="s">
        <v>247</v>
      </c>
      <c r="G325" s="103">
        <v>40680</v>
      </c>
      <c r="H325" s="105" t="str">
        <f>CHOOSE(MONTH(G325),"January","February","March","April","May","June","July","August","September","October","November","December")</f>
        <v>May</v>
      </c>
      <c r="I325" s="51">
        <f ca="1">DATEDIF(G325,TODAY(),"Y")</f>
        <v>5</v>
      </c>
      <c r="J325" s="52"/>
      <c r="K325" s="53">
        <v>57110</v>
      </c>
      <c r="L325" s="54">
        <v>3</v>
      </c>
    </row>
    <row r="326" spans="1:12" ht="15">
      <c r="A326" s="39" t="s">
        <v>530</v>
      </c>
      <c r="B326" s="46" t="s">
        <v>280</v>
      </c>
      <c r="C326" s="39" t="s">
        <v>618</v>
      </c>
      <c r="D326" s="72">
        <v>742946482</v>
      </c>
      <c r="E326" s="73">
        <v>9197077326</v>
      </c>
      <c r="F326" s="39" t="s">
        <v>256</v>
      </c>
      <c r="G326" s="81">
        <v>33832</v>
      </c>
      <c r="H326" s="105" t="str">
        <f>CHOOSE(MONTH(G326),"January","February","March","April","May","June","July","August","September","October","November","December")</f>
        <v>August</v>
      </c>
      <c r="I326" s="51">
        <f ca="1">DATEDIF(G326,TODAY(),"Y")</f>
        <v>24</v>
      </c>
      <c r="J326" s="52" t="s">
        <v>257</v>
      </c>
      <c r="K326" s="53">
        <v>39160</v>
      </c>
      <c r="L326" s="54">
        <v>3</v>
      </c>
    </row>
    <row r="327" spans="1:12" ht="15">
      <c r="A327" s="39" t="s">
        <v>338</v>
      </c>
      <c r="B327" s="46" t="s">
        <v>285</v>
      </c>
      <c r="C327" s="39" t="s">
        <v>626</v>
      </c>
      <c r="D327" s="72">
        <v>751878224</v>
      </c>
      <c r="E327" s="73">
        <v>9194713628</v>
      </c>
      <c r="F327" s="39" t="s">
        <v>256</v>
      </c>
      <c r="G327" s="81">
        <v>33606</v>
      </c>
      <c r="H327" s="105" t="str">
        <f>CHOOSE(MONTH(G327),"January","February","March","April","May","June","July","August","September","October","November","December")</f>
        <v>January</v>
      </c>
      <c r="I327" s="51">
        <f ca="1">DATEDIF(G327,TODAY(),"Y")</f>
        <v>24</v>
      </c>
      <c r="J327" s="52" t="s">
        <v>262</v>
      </c>
      <c r="K327" s="53">
        <v>87120</v>
      </c>
      <c r="L327" s="54">
        <v>3</v>
      </c>
    </row>
    <row r="328" spans="1:12" ht="15">
      <c r="A328" s="39" t="s">
        <v>466</v>
      </c>
      <c r="B328" s="46" t="s">
        <v>245</v>
      </c>
      <c r="C328" s="39" t="s">
        <v>626</v>
      </c>
      <c r="D328" s="72">
        <v>261920277</v>
      </c>
      <c r="E328" s="73">
        <v>2524272773</v>
      </c>
      <c r="F328" s="39" t="s">
        <v>256</v>
      </c>
      <c r="G328" s="81">
        <v>35856</v>
      </c>
      <c r="H328" s="105" t="str">
        <f>CHOOSE(MONTH(G328),"January","February","March","April","May","June","July","August","September","October","November","December")</f>
        <v>March</v>
      </c>
      <c r="I328" s="51">
        <f ca="1">DATEDIF(G328,TODAY(),"Y")</f>
        <v>18</v>
      </c>
      <c r="J328" s="52" t="s">
        <v>276</v>
      </c>
      <c r="K328" s="53">
        <v>86830</v>
      </c>
      <c r="L328" s="54">
        <v>3</v>
      </c>
    </row>
    <row r="329" spans="1:12" ht="15">
      <c r="A329" s="39" t="s">
        <v>524</v>
      </c>
      <c r="B329" s="46" t="s">
        <v>271</v>
      </c>
      <c r="C329" s="39" t="s">
        <v>626</v>
      </c>
      <c r="D329" s="72">
        <v>597641409</v>
      </c>
      <c r="E329" s="73">
        <v>9196201509</v>
      </c>
      <c r="F329" s="39" t="s">
        <v>256</v>
      </c>
      <c r="G329" s="81">
        <v>35857</v>
      </c>
      <c r="H329" s="105" t="str">
        <f>CHOOSE(MONTH(G329),"January","February","March","April","May","June","July","August","September","October","November","December")</f>
        <v>March</v>
      </c>
      <c r="I329" s="51">
        <f ca="1">DATEDIF(G329,TODAY(),"Y")</f>
        <v>18</v>
      </c>
      <c r="J329" s="52" t="s">
        <v>283</v>
      </c>
      <c r="K329" s="53">
        <v>82110</v>
      </c>
      <c r="L329" s="54">
        <v>3</v>
      </c>
    </row>
    <row r="330" spans="1:12" ht="15">
      <c r="A330" s="39" t="s">
        <v>903</v>
      </c>
      <c r="B330" s="46" t="s">
        <v>245</v>
      </c>
      <c r="C330" s="39" t="s">
        <v>626</v>
      </c>
      <c r="D330" s="72">
        <v>499124019</v>
      </c>
      <c r="E330" s="73">
        <v>9195978858</v>
      </c>
      <c r="F330" s="39" t="s">
        <v>261</v>
      </c>
      <c r="G330" s="81">
        <v>36121</v>
      </c>
      <c r="H330" s="105" t="str">
        <f>CHOOSE(MONTH(G330),"January","February","March","April","May","June","July","August","September","October","November","December")</f>
        <v>November</v>
      </c>
      <c r="I330" s="51">
        <f ca="1">DATEDIF(G330,TODAY(),"Y")</f>
        <v>17</v>
      </c>
      <c r="J330" s="52" t="s">
        <v>283</v>
      </c>
      <c r="K330" s="53">
        <v>28880</v>
      </c>
      <c r="L330" s="54">
        <v>3</v>
      </c>
    </row>
    <row r="331" spans="1:12" ht="15">
      <c r="A331" s="39" t="s">
        <v>494</v>
      </c>
      <c r="B331" s="46" t="s">
        <v>271</v>
      </c>
      <c r="C331" s="39" t="s">
        <v>626</v>
      </c>
      <c r="D331" s="72">
        <v>400260342</v>
      </c>
      <c r="E331" s="73">
        <v>9196798743</v>
      </c>
      <c r="F331" s="39" t="s">
        <v>247</v>
      </c>
      <c r="G331" s="81">
        <v>39283</v>
      </c>
      <c r="H331" s="105" t="str">
        <f>CHOOSE(MONTH(G331),"January","February","March","April","May","June","July","August","September","October","November","December")</f>
        <v>July</v>
      </c>
      <c r="I331" s="51">
        <f ca="1">DATEDIF(G331,TODAY(),"Y")</f>
        <v>9</v>
      </c>
      <c r="J331" s="52"/>
      <c r="K331" s="53">
        <v>74470</v>
      </c>
      <c r="L331" s="54">
        <v>3</v>
      </c>
    </row>
    <row r="332" spans="1:12" ht="15">
      <c r="A332" s="39" t="s">
        <v>468</v>
      </c>
      <c r="B332" s="46" t="s">
        <v>251</v>
      </c>
      <c r="C332" s="39" t="s">
        <v>626</v>
      </c>
      <c r="D332" s="72">
        <v>788451186</v>
      </c>
      <c r="E332" s="73">
        <v>9191682521</v>
      </c>
      <c r="F332" s="39" t="s">
        <v>247</v>
      </c>
      <c r="G332" s="81">
        <v>38496</v>
      </c>
      <c r="H332" s="105" t="str">
        <f>CHOOSE(MONTH(G332),"January","February","March","April","May","June","July","August","September","October","November","December")</f>
        <v>May</v>
      </c>
      <c r="I332" s="51">
        <f ca="1">DATEDIF(G332,TODAY(),"Y")</f>
        <v>11</v>
      </c>
      <c r="J332" s="52"/>
      <c r="K332" s="53">
        <v>57520</v>
      </c>
      <c r="L332" s="54">
        <v>3</v>
      </c>
    </row>
    <row r="333" spans="1:12" ht="15">
      <c r="A333" s="39" t="s">
        <v>555</v>
      </c>
      <c r="B333" s="46" t="s">
        <v>280</v>
      </c>
      <c r="C333" s="39" t="s">
        <v>626</v>
      </c>
      <c r="D333" s="72">
        <v>168147877</v>
      </c>
      <c r="E333" s="73">
        <v>9196530760</v>
      </c>
      <c r="F333" s="39" t="s">
        <v>261</v>
      </c>
      <c r="G333" s="81">
        <v>37141</v>
      </c>
      <c r="H333" s="105" t="str">
        <f>CHOOSE(MONTH(G333),"January","February","March","April","May","June","July","August","September","October","November","December")</f>
        <v>September</v>
      </c>
      <c r="I333" s="51">
        <f ca="1">DATEDIF(G333,TODAY(),"Y")</f>
        <v>15</v>
      </c>
      <c r="J333" s="52" t="s">
        <v>276</v>
      </c>
      <c r="K333" s="53">
        <v>15910</v>
      </c>
      <c r="L333" s="54">
        <v>3</v>
      </c>
    </row>
    <row r="334" spans="1:12" ht="15">
      <c r="A334" s="39" t="s">
        <v>629</v>
      </c>
      <c r="B334" s="46" t="s">
        <v>285</v>
      </c>
      <c r="C334" s="39" t="s">
        <v>626</v>
      </c>
      <c r="D334" s="72">
        <v>424800509</v>
      </c>
      <c r="E334" s="73">
        <v>2523986051</v>
      </c>
      <c r="F334" s="39" t="s">
        <v>256</v>
      </c>
      <c r="G334" s="81">
        <v>36463</v>
      </c>
      <c r="H334" s="105" t="str">
        <f>CHOOSE(MONTH(G334),"January","February","March","April","May","June","July","August","September","October","November","December")</f>
        <v>October</v>
      </c>
      <c r="I334" s="51">
        <f ca="1">DATEDIF(G334,TODAY(),"Y")</f>
        <v>17</v>
      </c>
      <c r="J334" s="52" t="s">
        <v>257</v>
      </c>
      <c r="K334" s="53">
        <v>44220</v>
      </c>
      <c r="L334" s="54">
        <v>3</v>
      </c>
    </row>
    <row r="335" spans="1:12" ht="15">
      <c r="A335" s="39" t="s">
        <v>382</v>
      </c>
      <c r="B335" s="46" t="s">
        <v>271</v>
      </c>
      <c r="C335" s="39" t="s">
        <v>626</v>
      </c>
      <c r="D335" s="72">
        <v>247406371</v>
      </c>
      <c r="E335" s="73">
        <v>9195299873</v>
      </c>
      <c r="F335" s="39" t="s">
        <v>261</v>
      </c>
      <c r="G335" s="81">
        <v>40351</v>
      </c>
      <c r="H335" s="105" t="str">
        <f>CHOOSE(MONTH(G335),"January","February","March","April","May","June","July","August","September","October","November","December")</f>
        <v>June</v>
      </c>
      <c r="I335" s="51">
        <f ca="1">DATEDIF(G335,TODAY(),"Y")</f>
        <v>6</v>
      </c>
      <c r="J335" s="52" t="s">
        <v>283</v>
      </c>
      <c r="K335" s="53">
        <v>20040</v>
      </c>
      <c r="L335" s="54">
        <v>3</v>
      </c>
    </row>
    <row r="336" spans="1:12" ht="15">
      <c r="A336" s="39" t="s">
        <v>300</v>
      </c>
      <c r="B336" s="46" t="s">
        <v>285</v>
      </c>
      <c r="C336" s="39" t="s">
        <v>678</v>
      </c>
      <c r="D336" s="72">
        <v>167646549</v>
      </c>
      <c r="E336" s="73">
        <v>9197187041</v>
      </c>
      <c r="F336" s="39" t="s">
        <v>247</v>
      </c>
      <c r="G336" s="81">
        <v>37803</v>
      </c>
      <c r="H336" s="105" t="str">
        <f>CHOOSE(MONTH(G336),"January","February","March","April","May","June","July","August","September","October","November","December")</f>
        <v>July</v>
      </c>
      <c r="I336" s="51">
        <f ca="1">DATEDIF(G336,TODAY(),"Y")</f>
        <v>13</v>
      </c>
      <c r="J336" s="52"/>
      <c r="K336" s="53">
        <v>78100</v>
      </c>
      <c r="L336" s="54">
        <v>3</v>
      </c>
    </row>
    <row r="337" spans="1:12" ht="15">
      <c r="A337" s="39" t="s">
        <v>353</v>
      </c>
      <c r="B337" s="46" t="s">
        <v>271</v>
      </c>
      <c r="C337" s="39" t="s">
        <v>678</v>
      </c>
      <c r="D337" s="72">
        <v>122440839</v>
      </c>
      <c r="E337" s="73">
        <v>2526525807</v>
      </c>
      <c r="F337" s="39" t="s">
        <v>261</v>
      </c>
      <c r="G337" s="81">
        <v>35961</v>
      </c>
      <c r="H337" s="105" t="str">
        <f>CHOOSE(MONTH(G337),"January","February","March","April","May","June","July","August","September","October","November","December")</f>
        <v>June</v>
      </c>
      <c r="I337" s="51">
        <f ca="1">DATEDIF(G337,TODAY(),"Y")</f>
        <v>18</v>
      </c>
      <c r="J337" s="52" t="s">
        <v>257</v>
      </c>
      <c r="K337" s="53">
        <v>20500</v>
      </c>
      <c r="L337" s="54">
        <v>3</v>
      </c>
    </row>
    <row r="338" spans="1:12" ht="15">
      <c r="A338" s="39" t="s">
        <v>637</v>
      </c>
      <c r="B338" s="46" t="s">
        <v>271</v>
      </c>
      <c r="C338" s="39" t="s">
        <v>678</v>
      </c>
      <c r="D338" s="72">
        <v>788832967</v>
      </c>
      <c r="E338" s="73">
        <v>2521919147</v>
      </c>
      <c r="F338" s="39" t="s">
        <v>252</v>
      </c>
      <c r="G338" s="81">
        <v>35381</v>
      </c>
      <c r="H338" s="105" t="str">
        <f>CHOOSE(MONTH(G338),"January","February","March","April","May","June","July","August","September","October","November","December")</f>
        <v>November</v>
      </c>
      <c r="I338" s="51">
        <f ca="1">DATEDIF(G338,TODAY(),"Y")</f>
        <v>19</v>
      </c>
      <c r="J338" s="52"/>
      <c r="K338" s="53">
        <v>35312</v>
      </c>
      <c r="L338" s="54">
        <v>3</v>
      </c>
    </row>
    <row r="339" spans="1:12" ht="15">
      <c r="A339" s="39" t="s">
        <v>728</v>
      </c>
      <c r="B339" s="46" t="s">
        <v>245</v>
      </c>
      <c r="C339" s="39" t="s">
        <v>678</v>
      </c>
      <c r="D339" s="72">
        <v>261486180</v>
      </c>
      <c r="E339" s="73">
        <v>2522523567</v>
      </c>
      <c r="F339" s="39" t="s">
        <v>247</v>
      </c>
      <c r="G339" s="81">
        <v>37236</v>
      </c>
      <c r="H339" s="105" t="str">
        <f>CHOOSE(MONTH(G339),"January","February","March","April","May","June","July","August","September","October","November","December")</f>
        <v>December</v>
      </c>
      <c r="I339" s="51">
        <f ca="1">DATEDIF(G339,TODAY(),"Y")</f>
        <v>14</v>
      </c>
      <c r="J339" s="52"/>
      <c r="K339" s="53">
        <v>29540</v>
      </c>
      <c r="L339" s="54">
        <v>3</v>
      </c>
    </row>
    <row r="340" spans="1:12" ht="15">
      <c r="A340" s="39" t="s">
        <v>451</v>
      </c>
      <c r="B340" s="46" t="s">
        <v>285</v>
      </c>
      <c r="C340" s="39" t="s">
        <v>705</v>
      </c>
      <c r="D340" s="72">
        <v>555718765</v>
      </c>
      <c r="E340" s="73">
        <v>2524618773</v>
      </c>
      <c r="F340" s="39" t="s">
        <v>256</v>
      </c>
      <c r="G340" s="81">
        <v>39485</v>
      </c>
      <c r="H340" s="105" t="str">
        <f>CHOOSE(MONTH(G340),"January","February","March","April","May","June","July","August","September","October","November","December")</f>
        <v>February</v>
      </c>
      <c r="I340" s="51">
        <f ca="1">DATEDIF(G340,TODAY(),"Y")</f>
        <v>8</v>
      </c>
      <c r="J340" s="52" t="s">
        <v>257</v>
      </c>
      <c r="K340" s="53">
        <v>88850</v>
      </c>
      <c r="L340" s="54">
        <v>3</v>
      </c>
    </row>
    <row r="341" spans="1:12" ht="15">
      <c r="A341" s="39" t="s">
        <v>646</v>
      </c>
      <c r="B341" s="46" t="s">
        <v>280</v>
      </c>
      <c r="C341" s="39" t="s">
        <v>705</v>
      </c>
      <c r="D341" s="72">
        <v>542214575</v>
      </c>
      <c r="E341" s="73">
        <v>2522172913</v>
      </c>
      <c r="F341" s="39" t="s">
        <v>256</v>
      </c>
      <c r="G341" s="81">
        <v>34702</v>
      </c>
      <c r="H341" s="105" t="str">
        <f>CHOOSE(MONTH(G341),"January","February","March","April","May","June","July","August","September","October","November","December")</f>
        <v>January</v>
      </c>
      <c r="I341" s="51">
        <f ca="1">DATEDIF(G341,TODAY(),"Y")</f>
        <v>21</v>
      </c>
      <c r="J341" s="52" t="s">
        <v>257</v>
      </c>
      <c r="K341" s="53">
        <v>87030</v>
      </c>
      <c r="L341" s="54">
        <v>3</v>
      </c>
    </row>
    <row r="342" spans="1:12" ht="15">
      <c r="A342" s="39" t="s">
        <v>688</v>
      </c>
      <c r="B342" s="46" t="s">
        <v>271</v>
      </c>
      <c r="C342" s="39" t="s">
        <v>705</v>
      </c>
      <c r="D342" s="72">
        <v>972086665</v>
      </c>
      <c r="E342" s="73">
        <v>2526007063</v>
      </c>
      <c r="F342" s="39" t="s">
        <v>256</v>
      </c>
      <c r="G342" s="81">
        <v>38227</v>
      </c>
      <c r="H342" s="105" t="str">
        <f>CHOOSE(MONTH(G342),"January","February","March","April","May","June","July","August","September","October","November","December")</f>
        <v>August</v>
      </c>
      <c r="I342" s="51">
        <f ca="1">DATEDIF(G342,TODAY(),"Y")</f>
        <v>12</v>
      </c>
      <c r="J342" s="52" t="s">
        <v>283</v>
      </c>
      <c r="K342" s="53">
        <v>86200</v>
      </c>
      <c r="L342" s="54">
        <v>3</v>
      </c>
    </row>
    <row r="343" spans="1:12" ht="15">
      <c r="A343" s="39" t="s">
        <v>874</v>
      </c>
      <c r="B343" s="46" t="s">
        <v>251</v>
      </c>
      <c r="C343" s="39" t="s">
        <v>705</v>
      </c>
      <c r="D343" s="72">
        <v>120479503</v>
      </c>
      <c r="E343" s="73">
        <v>9196069116</v>
      </c>
      <c r="F343" s="39" t="s">
        <v>261</v>
      </c>
      <c r="G343" s="81">
        <v>39299</v>
      </c>
      <c r="H343" s="105" t="str">
        <f>CHOOSE(MONTH(G343),"January","February","March","April","May","June","July","August","September","October","November","December")</f>
        <v>August</v>
      </c>
      <c r="I343" s="51">
        <f ca="1">DATEDIF(G343,TODAY(),"Y")</f>
        <v>9</v>
      </c>
      <c r="J343" s="52" t="s">
        <v>276</v>
      </c>
      <c r="K343" s="53">
        <v>47760</v>
      </c>
      <c r="L343" s="54">
        <v>3</v>
      </c>
    </row>
    <row r="344" spans="1:12" ht="15">
      <c r="A344" s="39" t="s">
        <v>408</v>
      </c>
      <c r="B344" s="46" t="s">
        <v>271</v>
      </c>
      <c r="C344" s="39" t="s">
        <v>705</v>
      </c>
      <c r="D344" s="72">
        <v>816607187</v>
      </c>
      <c r="E344" s="73">
        <v>9195520461</v>
      </c>
      <c r="F344" s="39" t="s">
        <v>252</v>
      </c>
      <c r="G344" s="103">
        <v>40452</v>
      </c>
      <c r="H344" s="105" t="str">
        <f>CHOOSE(MONTH(G344),"January","February","March","April","May","June","July","August","September","October","November","December")</f>
        <v>October</v>
      </c>
      <c r="I344" s="51">
        <f ca="1">DATEDIF(G344,TODAY(),"Y")</f>
        <v>6</v>
      </c>
      <c r="J344" s="52"/>
      <c r="K344" s="53">
        <v>9180</v>
      </c>
      <c r="L344" s="54">
        <v>3</v>
      </c>
    </row>
    <row r="345" spans="1:12" ht="15">
      <c r="A345" s="39" t="s">
        <v>365</v>
      </c>
      <c r="B345" s="46" t="s">
        <v>271</v>
      </c>
      <c r="C345" s="39" t="s">
        <v>705</v>
      </c>
      <c r="D345" s="72">
        <v>150132247</v>
      </c>
      <c r="E345" s="73">
        <v>9198561612</v>
      </c>
      <c r="F345" s="39" t="s">
        <v>256</v>
      </c>
      <c r="G345" s="81">
        <v>33881</v>
      </c>
      <c r="H345" s="105" t="str">
        <f>CHOOSE(MONTH(G345),"January","February","March","April","May","June","July","August","September","October","November","December")</f>
        <v>October</v>
      </c>
      <c r="I345" s="51">
        <f ca="1">DATEDIF(G345,TODAY(),"Y")</f>
        <v>24</v>
      </c>
      <c r="J345" s="52" t="s">
        <v>276</v>
      </c>
      <c r="K345" s="53">
        <v>46910</v>
      </c>
      <c r="L345" s="54">
        <v>3</v>
      </c>
    </row>
    <row r="346" spans="1:12" ht="15">
      <c r="A346" s="39" t="s">
        <v>973</v>
      </c>
      <c r="B346" s="46" t="s">
        <v>280</v>
      </c>
      <c r="C346" s="39" t="s">
        <v>705</v>
      </c>
      <c r="D346" s="72">
        <v>291803431</v>
      </c>
      <c r="E346" s="73">
        <v>2525866679</v>
      </c>
      <c r="F346" s="39" t="s">
        <v>247</v>
      </c>
      <c r="G346" s="81">
        <v>39783</v>
      </c>
      <c r="H346" s="105" t="str">
        <f>CHOOSE(MONTH(G346),"January","February","March","April","May","June","July","August","September","October","November","December")</f>
        <v>December</v>
      </c>
      <c r="I346" s="51">
        <f ca="1">DATEDIF(G346,TODAY(),"Y")</f>
        <v>7</v>
      </c>
      <c r="J346" s="52"/>
      <c r="K346" s="53">
        <v>54000</v>
      </c>
      <c r="L346" s="54">
        <v>3</v>
      </c>
    </row>
    <row r="347" spans="1:12" ht="15">
      <c r="A347" s="39" t="s">
        <v>937</v>
      </c>
      <c r="B347" s="46" t="s">
        <v>271</v>
      </c>
      <c r="C347" s="39" t="s">
        <v>750</v>
      </c>
      <c r="D347" s="72">
        <v>904790184</v>
      </c>
      <c r="E347" s="73">
        <v>9191876990</v>
      </c>
      <c r="F347" s="39" t="s">
        <v>256</v>
      </c>
      <c r="G347" s="81">
        <v>33460</v>
      </c>
      <c r="H347" s="105" t="str">
        <f>CHOOSE(MONTH(G347),"January","February","March","April","May","June","July","August","September","October","November","December")</f>
        <v>August</v>
      </c>
      <c r="I347" s="51">
        <f ca="1">DATEDIF(G347,TODAY(),"Y")</f>
        <v>25</v>
      </c>
      <c r="J347" s="52" t="s">
        <v>283</v>
      </c>
      <c r="K347" s="53">
        <v>77720</v>
      </c>
      <c r="L347" s="54">
        <v>3</v>
      </c>
    </row>
    <row r="348" spans="1:12" ht="15">
      <c r="A348" s="39" t="s">
        <v>733</v>
      </c>
      <c r="B348" s="46" t="s">
        <v>285</v>
      </c>
      <c r="C348" s="39" t="s">
        <v>750</v>
      </c>
      <c r="D348" s="72">
        <v>219740602</v>
      </c>
      <c r="E348" s="73">
        <v>9197429525</v>
      </c>
      <c r="F348" s="39" t="s">
        <v>261</v>
      </c>
      <c r="G348" s="81">
        <v>33349</v>
      </c>
      <c r="H348" s="105" t="str">
        <f>CHOOSE(MONTH(G348),"January","February","March","April","May","June","July","August","September","October","November","December")</f>
        <v>April</v>
      </c>
      <c r="I348" s="51">
        <f ca="1">DATEDIF(G348,TODAY(),"Y")</f>
        <v>25</v>
      </c>
      <c r="J348" s="52" t="s">
        <v>276</v>
      </c>
      <c r="K348" s="53">
        <v>16015</v>
      </c>
      <c r="L348" s="54">
        <v>3</v>
      </c>
    </row>
    <row r="349" spans="1:12" ht="15">
      <c r="A349" s="39" t="s">
        <v>580</v>
      </c>
      <c r="B349" s="46" t="s">
        <v>271</v>
      </c>
      <c r="C349" s="39" t="s">
        <v>750</v>
      </c>
      <c r="D349" s="72">
        <v>967826310</v>
      </c>
      <c r="E349" s="73">
        <v>9196100410</v>
      </c>
      <c r="F349" s="39" t="s">
        <v>256</v>
      </c>
      <c r="G349" s="81">
        <v>33320</v>
      </c>
      <c r="H349" s="105" t="str">
        <f>CHOOSE(MONTH(G349),"January","February","March","April","May","June","July","August","September","October","November","December")</f>
        <v>March</v>
      </c>
      <c r="I349" s="51">
        <f ca="1">DATEDIF(G349,TODAY(),"Y")</f>
        <v>25</v>
      </c>
      <c r="J349" s="52" t="s">
        <v>276</v>
      </c>
      <c r="K349" s="53">
        <v>35320</v>
      </c>
      <c r="L349" s="54">
        <v>3</v>
      </c>
    </row>
    <row r="350" spans="1:12" ht="15">
      <c r="A350" s="39" t="s">
        <v>690</v>
      </c>
      <c r="B350" s="46" t="s">
        <v>285</v>
      </c>
      <c r="C350" s="39" t="s">
        <v>750</v>
      </c>
      <c r="D350" s="72">
        <v>174483231</v>
      </c>
      <c r="E350" s="73">
        <v>9196733291</v>
      </c>
      <c r="F350" s="39" t="s">
        <v>256</v>
      </c>
      <c r="G350" s="81">
        <v>33186</v>
      </c>
      <c r="H350" s="105" t="str">
        <f>CHOOSE(MONTH(G350),"January","February","March","April","May","June","July","August","September","October","November","December")</f>
        <v>November</v>
      </c>
      <c r="I350" s="51">
        <f ca="1">DATEDIF(G350,TODAY(),"Y")</f>
        <v>26</v>
      </c>
      <c r="J350" s="52" t="s">
        <v>257</v>
      </c>
      <c r="K350" s="53">
        <v>40940</v>
      </c>
      <c r="L350" s="54">
        <v>3</v>
      </c>
    </row>
    <row r="351" spans="1:12" ht="15">
      <c r="A351" s="39" t="s">
        <v>631</v>
      </c>
      <c r="B351" s="46" t="s">
        <v>251</v>
      </c>
      <c r="C351" s="39" t="s">
        <v>750</v>
      </c>
      <c r="D351" s="72">
        <v>264960848</v>
      </c>
      <c r="E351" s="73">
        <v>9195012757</v>
      </c>
      <c r="F351" s="39" t="s">
        <v>247</v>
      </c>
      <c r="G351" s="81">
        <v>33286</v>
      </c>
      <c r="H351" s="105" t="str">
        <f>CHOOSE(MONTH(G351),"January","February","March","April","May","June","July","August","September","October","November","December")</f>
        <v>February</v>
      </c>
      <c r="I351" s="51">
        <f ca="1">DATEDIF(G351,TODAY(),"Y")</f>
        <v>25</v>
      </c>
      <c r="J351" s="52"/>
      <c r="K351" s="53">
        <v>49070</v>
      </c>
      <c r="L351" s="54">
        <v>3</v>
      </c>
    </row>
    <row r="352" spans="1:12" ht="15">
      <c r="A352" s="39" t="s">
        <v>393</v>
      </c>
      <c r="B352" s="46" t="s">
        <v>245</v>
      </c>
      <c r="C352" s="39" t="s">
        <v>767</v>
      </c>
      <c r="D352" s="72">
        <v>217968415</v>
      </c>
      <c r="E352" s="73">
        <v>2522814530</v>
      </c>
      <c r="F352" s="39" t="s">
        <v>256</v>
      </c>
      <c r="G352" s="81">
        <v>35821</v>
      </c>
      <c r="H352" s="105" t="str">
        <f>CHOOSE(MONTH(G352),"January","February","March","April","May","June","July","August","September","October","November","December")</f>
        <v>January</v>
      </c>
      <c r="I352" s="51">
        <f ca="1">DATEDIF(G352,TODAY(),"Y")</f>
        <v>18</v>
      </c>
      <c r="J352" s="52" t="s">
        <v>267</v>
      </c>
      <c r="K352" s="53">
        <v>22870</v>
      </c>
      <c r="L352" s="54">
        <v>3</v>
      </c>
    </row>
    <row r="353" spans="1:12" ht="15">
      <c r="A353" s="39" t="s">
        <v>985</v>
      </c>
      <c r="B353" s="46" t="s">
        <v>245</v>
      </c>
      <c r="C353" s="39" t="s">
        <v>767</v>
      </c>
      <c r="D353" s="72">
        <v>433314045</v>
      </c>
      <c r="E353" s="73">
        <v>2522543210</v>
      </c>
      <c r="F353" s="39" t="s">
        <v>247</v>
      </c>
      <c r="G353" s="81">
        <v>33638</v>
      </c>
      <c r="H353" s="105" t="str">
        <f>CHOOSE(MONTH(G353),"January","February","March","April","May","June","July","August","September","October","November","December")</f>
        <v>February</v>
      </c>
      <c r="I353" s="51">
        <f ca="1">DATEDIF(G353,TODAY(),"Y")</f>
        <v>24</v>
      </c>
      <c r="J353" s="52"/>
      <c r="K353" s="53">
        <v>47590</v>
      </c>
      <c r="L353" s="54">
        <v>3</v>
      </c>
    </row>
    <row r="354" spans="1:12" ht="15">
      <c r="A354" s="39" t="s">
        <v>330</v>
      </c>
      <c r="B354" s="46" t="s">
        <v>285</v>
      </c>
      <c r="C354" s="39" t="s">
        <v>767</v>
      </c>
      <c r="D354" s="72">
        <v>945160038</v>
      </c>
      <c r="E354" s="73">
        <v>2527909707</v>
      </c>
      <c r="F354" s="39" t="s">
        <v>256</v>
      </c>
      <c r="G354" s="81">
        <v>37701</v>
      </c>
      <c r="H354" s="105" t="str">
        <f>CHOOSE(MONTH(G354),"January","February","March","April","May","June","July","August","September","October","November","December")</f>
        <v>March</v>
      </c>
      <c r="I354" s="51">
        <f ca="1">DATEDIF(G354,TODAY(),"Y")</f>
        <v>13</v>
      </c>
      <c r="J354" s="52" t="s">
        <v>262</v>
      </c>
      <c r="K354" s="53">
        <v>23560</v>
      </c>
      <c r="L354" s="54">
        <v>3</v>
      </c>
    </row>
    <row r="355" spans="1:12" ht="15">
      <c r="A355" s="39" t="s">
        <v>820</v>
      </c>
      <c r="B355" s="46" t="s">
        <v>245</v>
      </c>
      <c r="C355" s="39" t="s">
        <v>767</v>
      </c>
      <c r="D355" s="72">
        <v>378882665</v>
      </c>
      <c r="E355" s="73">
        <v>2526079829</v>
      </c>
      <c r="F355" s="39" t="s">
        <v>261</v>
      </c>
      <c r="G355" s="81">
        <v>33671</v>
      </c>
      <c r="H355" s="105" t="str">
        <f>CHOOSE(MONTH(G355),"January","February","March","April","May","June","July","August","September","October","November","December")</f>
        <v>March</v>
      </c>
      <c r="I355" s="51">
        <f ca="1">DATEDIF(G355,TODAY(),"Y")</f>
        <v>24</v>
      </c>
      <c r="J355" s="52" t="s">
        <v>257</v>
      </c>
      <c r="K355" s="53">
        <v>46380</v>
      </c>
      <c r="L355" s="54">
        <v>3</v>
      </c>
    </row>
    <row r="356" spans="1:12" ht="15">
      <c r="A356" s="39" t="s">
        <v>965</v>
      </c>
      <c r="B356" s="46" t="s">
        <v>285</v>
      </c>
      <c r="C356" s="39" t="s">
        <v>767</v>
      </c>
      <c r="D356" s="72">
        <v>468234190</v>
      </c>
      <c r="E356" s="73">
        <v>2521569304</v>
      </c>
      <c r="F356" s="39" t="s">
        <v>256</v>
      </c>
      <c r="G356" s="81">
        <v>35169</v>
      </c>
      <c r="H356" s="105" t="str">
        <f>CHOOSE(MONTH(G356),"January","February","March","April","May","June","July","August","September","October","November","December")</f>
        <v>April</v>
      </c>
      <c r="I356" s="51">
        <f ca="1">DATEDIF(G356,TODAY(),"Y")</f>
        <v>20</v>
      </c>
      <c r="J356" s="52" t="s">
        <v>276</v>
      </c>
      <c r="K356" s="53">
        <v>72640</v>
      </c>
      <c r="L356" s="54">
        <v>3</v>
      </c>
    </row>
    <row r="357" spans="1:12" ht="15">
      <c r="A357" s="39" t="s">
        <v>739</v>
      </c>
      <c r="B357" s="46" t="s">
        <v>285</v>
      </c>
      <c r="C357" s="39" t="s">
        <v>767</v>
      </c>
      <c r="D357" s="72">
        <v>967035612</v>
      </c>
      <c r="E357" s="73">
        <v>2528842613</v>
      </c>
      <c r="F357" s="39" t="s">
        <v>256</v>
      </c>
      <c r="G357" s="81">
        <v>34149</v>
      </c>
      <c r="H357" s="105" t="str">
        <f>CHOOSE(MONTH(G357),"January","February","March","April","May","June","July","August","September","October","November","December")</f>
        <v>June</v>
      </c>
      <c r="I357" s="51">
        <f ca="1">DATEDIF(G357,TODAY(),"Y")</f>
        <v>23</v>
      </c>
      <c r="J357" s="52" t="s">
        <v>276</v>
      </c>
      <c r="K357" s="53">
        <v>63440</v>
      </c>
      <c r="L357" s="54">
        <v>3</v>
      </c>
    </row>
    <row r="358" spans="1:12" ht="15">
      <c r="A358" s="39" t="s">
        <v>447</v>
      </c>
      <c r="B358" s="46" t="s">
        <v>266</v>
      </c>
      <c r="C358" s="39" t="s">
        <v>767</v>
      </c>
      <c r="D358" s="72">
        <v>920265140</v>
      </c>
      <c r="E358" s="73">
        <v>2524078104</v>
      </c>
      <c r="F358" s="39" t="s">
        <v>256</v>
      </c>
      <c r="G358" s="81">
        <v>38790</v>
      </c>
      <c r="H358" s="105" t="str">
        <f>CHOOSE(MONTH(G358),"January","February","March","April","May","June","July","August","September","October","November","December")</f>
        <v>March</v>
      </c>
      <c r="I358" s="51">
        <f ca="1">DATEDIF(G358,TODAY(),"Y")</f>
        <v>10</v>
      </c>
      <c r="J358" s="52" t="s">
        <v>262</v>
      </c>
      <c r="K358" s="53">
        <v>62688</v>
      </c>
      <c r="L358" s="54">
        <v>3</v>
      </c>
    </row>
    <row r="359" spans="1:12" ht="15">
      <c r="A359" s="39" t="s">
        <v>786</v>
      </c>
      <c r="B359" s="46" t="s">
        <v>285</v>
      </c>
      <c r="C359" s="39" t="s">
        <v>767</v>
      </c>
      <c r="D359" s="72">
        <v>160662505</v>
      </c>
      <c r="E359" s="73">
        <v>2526427045</v>
      </c>
      <c r="F359" s="39" t="s">
        <v>247</v>
      </c>
      <c r="G359" s="81">
        <v>37526</v>
      </c>
      <c r="H359" s="105" t="str">
        <f>CHOOSE(MONTH(G359),"January","February","March","April","May","June","July","August","September","October","November","December")</f>
        <v>September</v>
      </c>
      <c r="I359" s="51">
        <f ca="1">DATEDIF(G359,TODAY(),"Y")</f>
        <v>14</v>
      </c>
      <c r="J359" s="52"/>
      <c r="K359" s="53">
        <v>61580</v>
      </c>
      <c r="L359" s="54">
        <v>3</v>
      </c>
    </row>
    <row r="360" spans="1:12" ht="15">
      <c r="A360" s="39" t="s">
        <v>841</v>
      </c>
      <c r="B360" s="46" t="s">
        <v>251</v>
      </c>
      <c r="C360" s="39" t="s">
        <v>767</v>
      </c>
      <c r="D360" s="72">
        <v>618775364</v>
      </c>
      <c r="E360" s="73">
        <v>9193182167</v>
      </c>
      <c r="F360" s="39" t="s">
        <v>261</v>
      </c>
      <c r="G360" s="103">
        <v>40254</v>
      </c>
      <c r="H360" s="105" t="str">
        <f>CHOOSE(MONTH(G360),"January","February","March","April","May","June","July","August","September","October","November","December")</f>
        <v>March</v>
      </c>
      <c r="I360" s="51">
        <f ca="1">DATEDIF(G360,TODAY(),"Y")</f>
        <v>6</v>
      </c>
      <c r="J360" s="52" t="s">
        <v>283</v>
      </c>
      <c r="K360" s="53">
        <v>48700</v>
      </c>
      <c r="L360" s="54">
        <v>3</v>
      </c>
    </row>
    <row r="361" spans="1:12" ht="15">
      <c r="A361" s="39" t="s">
        <v>793</v>
      </c>
      <c r="B361" s="46" t="s">
        <v>271</v>
      </c>
      <c r="C361" s="39" t="s">
        <v>767</v>
      </c>
      <c r="D361" s="72">
        <v>339488599</v>
      </c>
      <c r="E361" s="73">
        <v>9191267946</v>
      </c>
      <c r="F361" s="39" t="s">
        <v>247</v>
      </c>
      <c r="G361" s="81">
        <v>37404</v>
      </c>
      <c r="H361" s="105" t="str">
        <f>CHOOSE(MONTH(G361),"January","February","March","April","May","June","July","August","September","October","November","December")</f>
        <v>May</v>
      </c>
      <c r="I361" s="51">
        <f ca="1">DATEDIF(G361,TODAY(),"Y")</f>
        <v>14</v>
      </c>
      <c r="J361" s="52"/>
      <c r="K361" s="53">
        <v>60070</v>
      </c>
      <c r="L361" s="54">
        <v>3</v>
      </c>
    </row>
    <row r="362" spans="1:12" ht="15">
      <c r="A362" s="39" t="s">
        <v>582</v>
      </c>
      <c r="B362" s="46" t="s">
        <v>285</v>
      </c>
      <c r="C362" s="39" t="s">
        <v>767</v>
      </c>
      <c r="D362" s="72">
        <v>699386024</v>
      </c>
      <c r="E362" s="73">
        <v>2525842116</v>
      </c>
      <c r="F362" s="39" t="s">
        <v>252</v>
      </c>
      <c r="G362" s="81">
        <v>36028</v>
      </c>
      <c r="H362" s="105" t="str">
        <f>CHOOSE(MONTH(G362),"January","February","March","April","May","June","July","August","September","October","November","December")</f>
        <v>August</v>
      </c>
      <c r="I362" s="51">
        <f ca="1">DATEDIF(G362,TODAY(),"Y")</f>
        <v>18</v>
      </c>
      <c r="J362" s="52"/>
      <c r="K362" s="53">
        <v>16688</v>
      </c>
      <c r="L362" s="54">
        <v>3</v>
      </c>
    </row>
    <row r="363" spans="1:12" ht="15">
      <c r="A363" s="39" t="s">
        <v>310</v>
      </c>
      <c r="B363" s="46" t="s">
        <v>266</v>
      </c>
      <c r="C363" s="39" t="s">
        <v>767</v>
      </c>
      <c r="D363" s="72">
        <v>437460422</v>
      </c>
      <c r="E363" s="73">
        <v>2528439277</v>
      </c>
      <c r="F363" s="39" t="s">
        <v>261</v>
      </c>
      <c r="G363" s="81">
        <v>38723</v>
      </c>
      <c r="H363" s="105" t="str">
        <f>CHOOSE(MONTH(G363),"January","February","March","April","May","June","July","August","September","October","November","December")</f>
        <v>January</v>
      </c>
      <c r="I363" s="51">
        <f ca="1">DATEDIF(G363,TODAY(),"Y")</f>
        <v>10</v>
      </c>
      <c r="J363" s="52" t="s">
        <v>283</v>
      </c>
      <c r="K363" s="53">
        <v>10630</v>
      </c>
      <c r="L363" s="54">
        <v>3</v>
      </c>
    </row>
    <row r="364" spans="1:12" ht="15">
      <c r="A364" s="39" t="s">
        <v>455</v>
      </c>
      <c r="B364" s="46" t="s">
        <v>245</v>
      </c>
      <c r="C364" s="39" t="s">
        <v>767</v>
      </c>
      <c r="D364" s="72">
        <v>151277827</v>
      </c>
      <c r="E364" s="73">
        <v>9197179128</v>
      </c>
      <c r="F364" s="39" t="s">
        <v>256</v>
      </c>
      <c r="G364" s="81">
        <v>39899</v>
      </c>
      <c r="H364" s="105" t="str">
        <f>CHOOSE(MONTH(G364),"January","February","March","April","May","June","July","August","September","October","November","December")</f>
        <v>March</v>
      </c>
      <c r="I364" s="51">
        <f ca="1">DATEDIF(G364,TODAY(),"Y")</f>
        <v>7</v>
      </c>
      <c r="J364" s="52" t="s">
        <v>257</v>
      </c>
      <c r="K364" s="53">
        <v>24790</v>
      </c>
      <c r="L364" s="54">
        <v>3</v>
      </c>
    </row>
    <row r="365" spans="1:12" ht="15">
      <c r="A365" s="39" t="s">
        <v>379</v>
      </c>
      <c r="B365" s="46" t="s">
        <v>285</v>
      </c>
      <c r="C365" s="39" t="s">
        <v>856</v>
      </c>
      <c r="D365" s="72">
        <v>984881714</v>
      </c>
      <c r="E365" s="73">
        <v>9196973131</v>
      </c>
      <c r="F365" s="39" t="s">
        <v>256</v>
      </c>
      <c r="G365" s="81">
        <v>35408</v>
      </c>
      <c r="H365" s="105" t="str">
        <f>CHOOSE(MONTH(G365),"January","February","March","April","May","June","July","August","September","October","November","December")</f>
        <v>December</v>
      </c>
      <c r="I365" s="51">
        <f ca="1">DATEDIF(G365,TODAY(),"Y")</f>
        <v>19</v>
      </c>
      <c r="J365" s="52" t="s">
        <v>283</v>
      </c>
      <c r="K365" s="53">
        <v>34330</v>
      </c>
      <c r="L365" s="54">
        <v>3</v>
      </c>
    </row>
    <row r="366" spans="1:12" ht="15">
      <c r="A366" s="39" t="s">
        <v>590</v>
      </c>
      <c r="B366" s="46" t="s">
        <v>266</v>
      </c>
      <c r="C366" s="39" t="s">
        <v>856</v>
      </c>
      <c r="D366" s="72">
        <v>889210902</v>
      </c>
      <c r="E366" s="73">
        <v>2527422559</v>
      </c>
      <c r="F366" s="39" t="s">
        <v>256</v>
      </c>
      <c r="G366" s="81">
        <v>36514</v>
      </c>
      <c r="H366" s="105" t="str">
        <f>CHOOSE(MONTH(G366),"January","February","March","April","May","June","July","August","September","October","November","December")</f>
        <v>December</v>
      </c>
      <c r="I366" s="51">
        <f ca="1">DATEDIF(G366,TODAY(),"Y")</f>
        <v>16</v>
      </c>
      <c r="J366" s="52" t="s">
        <v>283</v>
      </c>
      <c r="K366" s="53">
        <v>48250</v>
      </c>
      <c r="L366" s="54">
        <v>3</v>
      </c>
    </row>
    <row r="367" spans="1:12" ht="15">
      <c r="A367" s="39" t="s">
        <v>1015</v>
      </c>
      <c r="B367" s="46" t="s">
        <v>280</v>
      </c>
      <c r="C367" s="39" t="s">
        <v>856</v>
      </c>
      <c r="D367" s="72">
        <v>666194498</v>
      </c>
      <c r="E367" s="73">
        <v>2526593848</v>
      </c>
      <c r="F367" s="39" t="s">
        <v>256</v>
      </c>
      <c r="G367" s="81">
        <v>38353</v>
      </c>
      <c r="H367" s="105" t="str">
        <f>CHOOSE(MONTH(G367),"January","February","March","April","May","June","July","August","September","October","November","December")</f>
        <v>January</v>
      </c>
      <c r="I367" s="51">
        <f ca="1">DATEDIF(G367,TODAY(),"Y")</f>
        <v>11</v>
      </c>
      <c r="J367" s="52" t="s">
        <v>283</v>
      </c>
      <c r="K367" s="53">
        <v>83710</v>
      </c>
      <c r="L367" s="54">
        <v>3</v>
      </c>
    </row>
    <row r="368" spans="1:12" ht="15">
      <c r="A368" s="39" t="s">
        <v>872</v>
      </c>
      <c r="B368" s="46" t="s">
        <v>285</v>
      </c>
      <c r="C368" s="39" t="s">
        <v>856</v>
      </c>
      <c r="D368" s="72">
        <v>744830329</v>
      </c>
      <c r="E368" s="73">
        <v>9196098293</v>
      </c>
      <c r="F368" s="39" t="s">
        <v>256</v>
      </c>
      <c r="G368" s="81">
        <v>34800</v>
      </c>
      <c r="H368" s="105" t="str">
        <f>CHOOSE(MONTH(G368),"January","February","March","April","May","June","July","August","September","October","November","December")</f>
        <v>April</v>
      </c>
      <c r="I368" s="51">
        <f ca="1">DATEDIF(G368,TODAY(),"Y")</f>
        <v>21</v>
      </c>
      <c r="J368" s="52" t="s">
        <v>262</v>
      </c>
      <c r="K368" s="53">
        <v>82700</v>
      </c>
      <c r="L368" s="54">
        <v>3</v>
      </c>
    </row>
    <row r="369" spans="1:12" ht="15">
      <c r="A369" s="39" t="s">
        <v>390</v>
      </c>
      <c r="B369" s="46" t="s">
        <v>285</v>
      </c>
      <c r="C369" s="39" t="s">
        <v>856</v>
      </c>
      <c r="D369" s="72">
        <v>323701315</v>
      </c>
      <c r="E369" s="73">
        <v>9194479196</v>
      </c>
      <c r="F369" s="39" t="s">
        <v>256</v>
      </c>
      <c r="G369" s="81">
        <v>40581</v>
      </c>
      <c r="H369" s="105" t="str">
        <f>CHOOSE(MONTH(G369),"January","February","March","April","May","June","July","August","September","October","November","December")</f>
        <v>February</v>
      </c>
      <c r="I369" s="51">
        <f ca="1">DATEDIF(G369,TODAY(),"Y")</f>
        <v>5</v>
      </c>
      <c r="J369" s="52" t="s">
        <v>267</v>
      </c>
      <c r="K369" s="53">
        <v>80260</v>
      </c>
      <c r="L369" s="54">
        <v>3</v>
      </c>
    </row>
    <row r="370" spans="1:12" ht="15">
      <c r="A370" s="39" t="s">
        <v>491</v>
      </c>
      <c r="B370" s="46" t="s">
        <v>271</v>
      </c>
      <c r="C370" s="39" t="s">
        <v>856</v>
      </c>
      <c r="D370" s="72">
        <v>975857784</v>
      </c>
      <c r="E370" s="73">
        <v>9192390604</v>
      </c>
      <c r="F370" s="39" t="s">
        <v>247</v>
      </c>
      <c r="G370" s="81">
        <v>36642</v>
      </c>
      <c r="H370" s="105" t="str">
        <f>CHOOSE(MONTH(G370),"January","February","March","April","May","June","July","August","September","October","November","December")</f>
        <v>April</v>
      </c>
      <c r="I370" s="51">
        <f ca="1">DATEDIF(G370,TODAY(),"Y")</f>
        <v>16</v>
      </c>
      <c r="J370" s="52"/>
      <c r="K370" s="53">
        <v>77760</v>
      </c>
      <c r="L370" s="54">
        <v>3</v>
      </c>
    </row>
    <row r="371" spans="1:12" ht="15">
      <c r="A371" s="39" t="s">
        <v>318</v>
      </c>
      <c r="B371" s="46" t="s">
        <v>285</v>
      </c>
      <c r="C371" s="39" t="s">
        <v>856</v>
      </c>
      <c r="D371" s="72">
        <v>647131956</v>
      </c>
      <c r="E371" s="73">
        <v>2521240785</v>
      </c>
      <c r="F371" s="39" t="s">
        <v>256</v>
      </c>
      <c r="G371" s="81">
        <v>38902</v>
      </c>
      <c r="H371" s="105" t="str">
        <f>CHOOSE(MONTH(G371),"January","February","March","April","May","June","July","August","September","October","November","December")</f>
        <v>July</v>
      </c>
      <c r="I371" s="51">
        <f ca="1">DATEDIF(G371,TODAY(),"Y")</f>
        <v>10</v>
      </c>
      <c r="J371" s="52" t="s">
        <v>257</v>
      </c>
      <c r="K371" s="53">
        <v>73560</v>
      </c>
      <c r="L371" s="54">
        <v>3</v>
      </c>
    </row>
    <row r="372" spans="1:12" ht="15">
      <c r="A372" s="39" t="s">
        <v>648</v>
      </c>
      <c r="B372" s="46" t="s">
        <v>271</v>
      </c>
      <c r="C372" s="39" t="s">
        <v>856</v>
      </c>
      <c r="D372" s="72">
        <v>750581894</v>
      </c>
      <c r="E372" s="73">
        <v>2528433766</v>
      </c>
      <c r="F372" s="39" t="s">
        <v>247</v>
      </c>
      <c r="G372" s="81">
        <v>40350</v>
      </c>
      <c r="H372" s="105" t="str">
        <f>CHOOSE(MONTH(G372),"January","February","March","April","May","June","July","August","September","October","November","December")</f>
        <v>June</v>
      </c>
      <c r="I372" s="51">
        <f ca="1">DATEDIF(G372,TODAY(),"Y")</f>
        <v>6</v>
      </c>
      <c r="J372" s="52"/>
      <c r="K372" s="53">
        <v>21580</v>
      </c>
      <c r="L372" s="54">
        <v>3</v>
      </c>
    </row>
    <row r="373" spans="1:12" ht="15">
      <c r="A373" s="39" t="s">
        <v>1034</v>
      </c>
      <c r="B373" s="46" t="s">
        <v>245</v>
      </c>
      <c r="C373" s="39" t="s">
        <v>856</v>
      </c>
      <c r="D373" s="72">
        <v>512404764</v>
      </c>
      <c r="E373" s="73">
        <v>9193976775</v>
      </c>
      <c r="F373" s="39" t="s">
        <v>256</v>
      </c>
      <c r="G373" s="81">
        <v>36290</v>
      </c>
      <c r="H373" s="105" t="str">
        <f>CHOOSE(MONTH(G373),"January","February","March","April","May","June","July","August","September","October","November","December")</f>
        <v>May</v>
      </c>
      <c r="I373" s="51">
        <f ca="1">DATEDIF(G373,TODAY(),"Y")</f>
        <v>17</v>
      </c>
      <c r="J373" s="52" t="s">
        <v>283</v>
      </c>
      <c r="K373" s="53">
        <v>39000</v>
      </c>
      <c r="L373" s="54">
        <v>3</v>
      </c>
    </row>
    <row r="374" spans="1:12" ht="15">
      <c r="A374" s="45" t="s">
        <v>278</v>
      </c>
      <c r="B374" s="46" t="s">
        <v>285</v>
      </c>
      <c r="C374" s="39" t="s">
        <v>856</v>
      </c>
      <c r="D374" s="72">
        <v>331251341</v>
      </c>
      <c r="E374" s="73">
        <v>2528678875</v>
      </c>
      <c r="F374" s="39" t="s">
        <v>256</v>
      </c>
      <c r="G374" s="81">
        <v>35896</v>
      </c>
      <c r="H374" s="105" t="str">
        <f>CHOOSE(MONTH(G374),"January","February","March","April","May","June","July","August","September","October","November","December")</f>
        <v>April</v>
      </c>
      <c r="I374" s="51">
        <f ca="1">DATEDIF(G374,TODAY(),"Y")</f>
        <v>18</v>
      </c>
      <c r="J374" s="52" t="s">
        <v>283</v>
      </c>
      <c r="K374" s="53">
        <v>70280</v>
      </c>
      <c r="L374" s="54">
        <v>3</v>
      </c>
    </row>
    <row r="375" spans="1:12" ht="15">
      <c r="A375" s="39" t="s">
        <v>523</v>
      </c>
      <c r="B375" s="46" t="s">
        <v>271</v>
      </c>
      <c r="C375" s="39" t="s">
        <v>856</v>
      </c>
      <c r="D375" s="72">
        <v>277925508</v>
      </c>
      <c r="E375" s="73">
        <v>2526584511</v>
      </c>
      <c r="F375" s="39" t="s">
        <v>256</v>
      </c>
      <c r="G375" s="81">
        <v>35373</v>
      </c>
      <c r="H375" s="105" t="str">
        <f>CHOOSE(MONTH(G375),"January","February","March","April","May","June","July","August","September","October","November","December")</f>
        <v>November</v>
      </c>
      <c r="I375" s="51">
        <f ca="1">DATEDIF(G375,TODAY(),"Y")</f>
        <v>20</v>
      </c>
      <c r="J375" s="52" t="s">
        <v>283</v>
      </c>
      <c r="K375" s="53">
        <v>66440</v>
      </c>
      <c r="L375" s="54">
        <v>3</v>
      </c>
    </row>
    <row r="376" spans="1:12" ht="15">
      <c r="A376" s="39" t="s">
        <v>1033</v>
      </c>
      <c r="B376" s="46" t="s">
        <v>285</v>
      </c>
      <c r="C376" s="39" t="s">
        <v>856</v>
      </c>
      <c r="D376" s="72">
        <v>622200296</v>
      </c>
      <c r="E376" s="73">
        <v>2526306545</v>
      </c>
      <c r="F376" s="39" t="s">
        <v>256</v>
      </c>
      <c r="G376" s="81">
        <v>33685</v>
      </c>
      <c r="H376" s="105" t="str">
        <f>CHOOSE(MONTH(G376),"January","February","March","April","May","June","July","August","September","October","November","December")</f>
        <v>March</v>
      </c>
      <c r="I376" s="51">
        <f ca="1">DATEDIF(G376,TODAY(),"Y")</f>
        <v>24</v>
      </c>
      <c r="J376" s="52" t="s">
        <v>257</v>
      </c>
      <c r="K376" s="53">
        <v>65571</v>
      </c>
      <c r="L376" s="54">
        <v>3</v>
      </c>
    </row>
    <row r="377" spans="1:12" ht="15">
      <c r="A377" s="39" t="s">
        <v>457</v>
      </c>
      <c r="B377" s="46" t="s">
        <v>266</v>
      </c>
      <c r="C377" s="39" t="s">
        <v>856</v>
      </c>
      <c r="D377" s="72">
        <v>781472289</v>
      </c>
      <c r="E377" s="73">
        <v>2528502926</v>
      </c>
      <c r="F377" s="39" t="s">
        <v>256</v>
      </c>
      <c r="G377" s="81">
        <v>33548</v>
      </c>
      <c r="H377" s="105" t="str">
        <f>CHOOSE(MONTH(G377),"January","February","March","April","May","June","July","August","September","October","November","December")</f>
        <v>November</v>
      </c>
      <c r="I377" s="51">
        <f ca="1">DATEDIF(G377,TODAY(),"Y")</f>
        <v>25</v>
      </c>
      <c r="J377" s="52" t="s">
        <v>283</v>
      </c>
      <c r="K377" s="53">
        <v>63050</v>
      </c>
      <c r="L377" s="54">
        <v>3</v>
      </c>
    </row>
    <row r="378" spans="1:12" ht="15">
      <c r="A378" s="39" t="s">
        <v>660</v>
      </c>
      <c r="B378" s="46" t="s">
        <v>245</v>
      </c>
      <c r="C378" s="39" t="s">
        <v>856</v>
      </c>
      <c r="D378" s="72">
        <v>186821354</v>
      </c>
      <c r="E378" s="73">
        <v>2528527032</v>
      </c>
      <c r="F378" s="39" t="s">
        <v>256</v>
      </c>
      <c r="G378" s="81">
        <v>34010</v>
      </c>
      <c r="H378" s="105" t="str">
        <f>CHOOSE(MONTH(G378),"January","February","March","April","May","June","July","August","September","October","November","December")</f>
        <v>February</v>
      </c>
      <c r="I378" s="51">
        <f ca="1">DATEDIF(G378,TODAY(),"Y")</f>
        <v>23</v>
      </c>
      <c r="J378" s="52" t="s">
        <v>257</v>
      </c>
      <c r="K378" s="53">
        <v>54270</v>
      </c>
      <c r="L378" s="54">
        <v>3</v>
      </c>
    </row>
    <row r="379" spans="1:12" ht="15">
      <c r="A379" s="39" t="s">
        <v>645</v>
      </c>
      <c r="B379" s="46" t="s">
        <v>271</v>
      </c>
      <c r="C379" s="39" t="s">
        <v>930</v>
      </c>
      <c r="D379" s="72">
        <v>671823263</v>
      </c>
      <c r="E379" s="73">
        <v>2526718651</v>
      </c>
      <c r="F379" s="39" t="s">
        <v>256</v>
      </c>
      <c r="G379" s="81">
        <v>40637</v>
      </c>
      <c r="H379" s="105" t="str">
        <f>CHOOSE(MONTH(G379),"January","February","March","April","May","June","July","August","September","October","November","December")</f>
        <v>April</v>
      </c>
      <c r="I379" s="51">
        <f ca="1">DATEDIF(G379,TODAY(),"Y")</f>
        <v>5</v>
      </c>
      <c r="J379" s="52" t="s">
        <v>257</v>
      </c>
      <c r="K379" s="53">
        <v>86640</v>
      </c>
      <c r="L379" s="54">
        <v>3</v>
      </c>
    </row>
    <row r="380" spans="1:12" ht="15">
      <c r="A380" s="39" t="s">
        <v>721</v>
      </c>
      <c r="B380" s="46" t="s">
        <v>271</v>
      </c>
      <c r="C380" s="39" t="s">
        <v>930</v>
      </c>
      <c r="D380" s="72">
        <v>964255290</v>
      </c>
      <c r="E380" s="73">
        <v>9197446192</v>
      </c>
      <c r="F380" s="39" t="s">
        <v>256</v>
      </c>
      <c r="G380" s="81">
        <v>40018</v>
      </c>
      <c r="H380" s="105" t="str">
        <f>CHOOSE(MONTH(G380),"January","February","March","April","May","June","July","August","September","October","November","December")</f>
        <v>July</v>
      </c>
      <c r="I380" s="51">
        <f ca="1">DATEDIF(G380,TODAY(),"Y")</f>
        <v>7</v>
      </c>
      <c r="J380" s="52" t="s">
        <v>283</v>
      </c>
      <c r="K380" s="53">
        <v>34990</v>
      </c>
      <c r="L380" s="54">
        <v>3</v>
      </c>
    </row>
    <row r="381" spans="1:12" ht="15">
      <c r="A381" s="39" t="s">
        <v>298</v>
      </c>
      <c r="B381" s="46" t="s">
        <v>285</v>
      </c>
      <c r="C381" s="39" t="s">
        <v>930</v>
      </c>
      <c r="D381" s="72">
        <v>794814501</v>
      </c>
      <c r="E381" s="73">
        <v>2525604891</v>
      </c>
      <c r="F381" s="39" t="s">
        <v>247</v>
      </c>
      <c r="G381" s="81">
        <v>40235</v>
      </c>
      <c r="H381" s="105" t="str">
        <f>CHOOSE(MONTH(G381),"January","February","March","April","May","June","July","August","September","October","November","December")</f>
        <v>February</v>
      </c>
      <c r="I381" s="51">
        <f ca="1">DATEDIF(G381,TODAY(),"Y")</f>
        <v>6</v>
      </c>
      <c r="J381" s="52"/>
      <c r="K381" s="53">
        <v>80729</v>
      </c>
      <c r="L381" s="54">
        <v>3</v>
      </c>
    </row>
    <row r="382" spans="1:12" ht="15">
      <c r="A382" s="39" t="s">
        <v>395</v>
      </c>
      <c r="B382" s="46" t="s">
        <v>285</v>
      </c>
      <c r="C382" s="39" t="s">
        <v>930</v>
      </c>
      <c r="D382" s="72">
        <v>101829876</v>
      </c>
      <c r="E382" s="73">
        <v>2522552565</v>
      </c>
      <c r="F382" s="39" t="s">
        <v>252</v>
      </c>
      <c r="G382" s="81">
        <v>35247</v>
      </c>
      <c r="H382" s="105" t="str">
        <f>CHOOSE(MONTH(G382),"January","February","March","April","May","June","July","August","September","October","November","December")</f>
        <v>July</v>
      </c>
      <c r="I382" s="51">
        <f ca="1">DATEDIF(G382,TODAY(),"Y")</f>
        <v>20</v>
      </c>
      <c r="J382" s="52"/>
      <c r="K382" s="53">
        <v>33752</v>
      </c>
      <c r="L382" s="54">
        <v>3</v>
      </c>
    </row>
    <row r="383" spans="1:12" ht="15">
      <c r="A383" s="39" t="s">
        <v>366</v>
      </c>
      <c r="B383" s="46" t="s">
        <v>280</v>
      </c>
      <c r="C383" s="39" t="s">
        <v>930</v>
      </c>
      <c r="D383" s="72">
        <v>311309049</v>
      </c>
      <c r="E383" s="73">
        <v>2527560634</v>
      </c>
      <c r="F383" s="39" t="s">
        <v>256</v>
      </c>
      <c r="G383" s="81">
        <v>36243</v>
      </c>
      <c r="H383" s="105" t="str">
        <f>CHOOSE(MONTH(G383),"January","February","March","April","May","June","July","August","September","October","November","December")</f>
        <v>March</v>
      </c>
      <c r="I383" s="51">
        <f ca="1">DATEDIF(G383,TODAY(),"Y")</f>
        <v>17</v>
      </c>
      <c r="J383" s="52" t="s">
        <v>276</v>
      </c>
      <c r="K383" s="53">
        <v>77680</v>
      </c>
      <c r="L383" s="54">
        <v>3</v>
      </c>
    </row>
    <row r="384" spans="1:12" ht="15">
      <c r="A384" s="39" t="s">
        <v>452</v>
      </c>
      <c r="B384" s="46" t="s">
        <v>285</v>
      </c>
      <c r="C384" s="39" t="s">
        <v>930</v>
      </c>
      <c r="D384" s="72">
        <v>763182349</v>
      </c>
      <c r="E384" s="73">
        <v>2527780776</v>
      </c>
      <c r="F384" s="39" t="s">
        <v>247</v>
      </c>
      <c r="G384" s="81">
        <v>34126</v>
      </c>
      <c r="H384" s="105" t="str">
        <f>CHOOSE(MONTH(G384),"January","February","March","April","May","June","July","August","September","October","November","December")</f>
        <v>June</v>
      </c>
      <c r="I384" s="51">
        <f ca="1">DATEDIF(G384,TODAY(),"Y")</f>
        <v>23</v>
      </c>
      <c r="J384" s="52"/>
      <c r="K384" s="53">
        <v>75550</v>
      </c>
      <c r="L384" s="54">
        <v>3</v>
      </c>
    </row>
    <row r="385" spans="1:12" ht="15">
      <c r="A385" s="39" t="s">
        <v>643</v>
      </c>
      <c r="B385" s="46" t="s">
        <v>245</v>
      </c>
      <c r="C385" s="39" t="s">
        <v>930</v>
      </c>
      <c r="D385" s="72">
        <v>610340294</v>
      </c>
      <c r="E385" s="73">
        <v>9198443818</v>
      </c>
      <c r="F385" s="39" t="s">
        <v>247</v>
      </c>
      <c r="G385" s="81">
        <v>33820</v>
      </c>
      <c r="H385" s="105" t="str">
        <f>CHOOSE(MONTH(G385),"January","February","March","April","May","June","July","August","September","October","November","December")</f>
        <v>August</v>
      </c>
      <c r="I385" s="51">
        <f ca="1">DATEDIF(G385,TODAY(),"Y")</f>
        <v>24</v>
      </c>
      <c r="J385" s="52"/>
      <c r="K385" s="53">
        <v>70300</v>
      </c>
      <c r="L385" s="54">
        <v>3</v>
      </c>
    </row>
    <row r="386" spans="1:12" ht="15">
      <c r="A386" s="39" t="s">
        <v>919</v>
      </c>
      <c r="B386" s="46" t="s">
        <v>285</v>
      </c>
      <c r="C386" s="39" t="s">
        <v>930</v>
      </c>
      <c r="D386" s="72">
        <v>240241467</v>
      </c>
      <c r="E386" s="73">
        <v>2524914916</v>
      </c>
      <c r="F386" s="39" t="s">
        <v>252</v>
      </c>
      <c r="G386" s="81">
        <v>35576</v>
      </c>
      <c r="H386" s="105" t="str">
        <f>CHOOSE(MONTH(G386),"January","February","March","April","May","June","July","August","September","October","November","December")</f>
        <v>May</v>
      </c>
      <c r="I386" s="51">
        <f ca="1">DATEDIF(G386,TODAY(),"Y")</f>
        <v>19</v>
      </c>
      <c r="J386" s="52"/>
      <c r="K386" s="53">
        <v>28768</v>
      </c>
      <c r="L386" s="54">
        <v>3</v>
      </c>
    </row>
    <row r="387" spans="1:12" ht="15">
      <c r="A387" s="39" t="s">
        <v>777</v>
      </c>
      <c r="B387" s="46" t="s">
        <v>280</v>
      </c>
      <c r="C387" s="39" t="s">
        <v>930</v>
      </c>
      <c r="D387" s="72">
        <v>426812736</v>
      </c>
      <c r="E387" s="73">
        <v>9198399625</v>
      </c>
      <c r="F387" s="39" t="s">
        <v>247</v>
      </c>
      <c r="G387" s="81">
        <v>34159</v>
      </c>
      <c r="H387" s="105" t="str">
        <f>CHOOSE(MONTH(G387),"January","February","March","April","May","June","July","August","September","October","November","December")</f>
        <v>July</v>
      </c>
      <c r="I387" s="51">
        <f ca="1">DATEDIF(G387,TODAY(),"Y")</f>
        <v>23</v>
      </c>
      <c r="J387" s="52"/>
      <c r="K387" s="53">
        <v>35240</v>
      </c>
      <c r="L387" s="54">
        <v>3</v>
      </c>
    </row>
    <row r="388" spans="1:12" ht="15">
      <c r="A388" s="39" t="s">
        <v>610</v>
      </c>
      <c r="B388" s="46" t="s">
        <v>285</v>
      </c>
      <c r="C388" s="39" t="s">
        <v>930</v>
      </c>
      <c r="D388" s="72">
        <v>695198896</v>
      </c>
      <c r="E388" s="73">
        <v>2523533906</v>
      </c>
      <c r="F388" s="39" t="s">
        <v>247</v>
      </c>
      <c r="G388" s="81">
        <v>35826</v>
      </c>
      <c r="H388" s="105" t="str">
        <f>CHOOSE(MONTH(G388),"January","February","March","April","May","June","July","August","September","October","November","December")</f>
        <v>January</v>
      </c>
      <c r="I388" s="51">
        <f ca="1">DATEDIF(G388,TODAY(),"Y")</f>
        <v>18</v>
      </c>
      <c r="J388" s="52"/>
      <c r="K388" s="53">
        <v>45030</v>
      </c>
      <c r="L388" s="54">
        <v>3</v>
      </c>
    </row>
    <row r="389" spans="1:12" ht="15">
      <c r="A389" s="39" t="s">
        <v>812</v>
      </c>
      <c r="B389" s="46" t="s">
        <v>271</v>
      </c>
      <c r="C389" s="39" t="s">
        <v>930</v>
      </c>
      <c r="D389" s="72">
        <v>375875723</v>
      </c>
      <c r="E389" s="73">
        <v>2526026842</v>
      </c>
      <c r="F389" s="39" t="s">
        <v>247</v>
      </c>
      <c r="G389" s="81">
        <v>34723</v>
      </c>
      <c r="H389" s="105" t="str">
        <f>CHOOSE(MONTH(G389),"January","February","March","April","May","June","July","August","September","October","November","December")</f>
        <v>January</v>
      </c>
      <c r="I389" s="51">
        <f ca="1">DATEDIF(G389,TODAY(),"Y")</f>
        <v>21</v>
      </c>
      <c r="J389" s="52"/>
      <c r="K389" s="53">
        <v>64263</v>
      </c>
      <c r="L389" s="54">
        <v>3</v>
      </c>
    </row>
    <row r="390" spans="1:12" ht="15">
      <c r="A390" s="39" t="s">
        <v>960</v>
      </c>
      <c r="B390" s="46" t="s">
        <v>251</v>
      </c>
      <c r="C390" s="39" t="s">
        <v>930</v>
      </c>
      <c r="D390" s="72">
        <v>635240617</v>
      </c>
      <c r="E390" s="73">
        <v>9192259651</v>
      </c>
      <c r="F390" s="39" t="s">
        <v>256</v>
      </c>
      <c r="G390" s="81">
        <v>36843</v>
      </c>
      <c r="H390" s="105" t="str">
        <f>CHOOSE(MONTH(G390),"January","February","March","April","May","June","July","August","September","October","November","December")</f>
        <v>November</v>
      </c>
      <c r="I390" s="51">
        <f ca="1">DATEDIF(G390,TODAY(),"Y")</f>
        <v>15</v>
      </c>
      <c r="J390" s="52" t="s">
        <v>283</v>
      </c>
      <c r="K390" s="53">
        <v>47630</v>
      </c>
      <c r="L390" s="54">
        <v>3</v>
      </c>
    </row>
    <row r="391" spans="1:12" ht="15">
      <c r="A391" s="39" t="s">
        <v>358</v>
      </c>
      <c r="B391" s="46" t="s">
        <v>271</v>
      </c>
      <c r="C391" s="39" t="s">
        <v>930</v>
      </c>
      <c r="D391" s="72">
        <v>750006979</v>
      </c>
      <c r="E391" s="73">
        <v>2528444054</v>
      </c>
      <c r="F391" s="39" t="s">
        <v>261</v>
      </c>
      <c r="G391" s="81">
        <v>34042</v>
      </c>
      <c r="H391" s="105" t="str">
        <f>CHOOSE(MONTH(G391),"January","February","March","April","May","June","July","August","September","October","November","December")</f>
        <v>March</v>
      </c>
      <c r="I391" s="51">
        <f ca="1">DATEDIF(G391,TODAY(),"Y")</f>
        <v>23</v>
      </c>
      <c r="J391" s="52" t="s">
        <v>267</v>
      </c>
      <c r="K391" s="53">
        <v>27710</v>
      </c>
      <c r="L391" s="54">
        <v>3</v>
      </c>
    </row>
    <row r="392" spans="1:12" ht="15">
      <c r="A392" s="39" t="s">
        <v>509</v>
      </c>
      <c r="B392" s="46" t="s">
        <v>271</v>
      </c>
      <c r="C392" s="39" t="s">
        <v>930</v>
      </c>
      <c r="D392" s="72">
        <v>693214759</v>
      </c>
      <c r="E392" s="73">
        <v>9192683895</v>
      </c>
      <c r="F392" s="39" t="s">
        <v>256</v>
      </c>
      <c r="G392" s="81">
        <v>33806</v>
      </c>
      <c r="H392" s="105" t="str">
        <f>CHOOSE(MONTH(G392),"January","February","March","April","May","June","July","August","September","October","November","December")</f>
        <v>July</v>
      </c>
      <c r="I392" s="51">
        <f ca="1">DATEDIF(G392,TODAY(),"Y")</f>
        <v>24</v>
      </c>
      <c r="J392" s="52" t="s">
        <v>262</v>
      </c>
      <c r="K392" s="53">
        <v>62780</v>
      </c>
      <c r="L392" s="54">
        <v>3</v>
      </c>
    </row>
    <row r="393" spans="1:12" ht="15">
      <c r="A393" s="39" t="s">
        <v>773</v>
      </c>
      <c r="B393" s="46" t="s">
        <v>285</v>
      </c>
      <c r="C393" s="39" t="s">
        <v>930</v>
      </c>
      <c r="D393" s="72">
        <v>771110153</v>
      </c>
      <c r="E393" s="73">
        <v>9196799516</v>
      </c>
      <c r="F393" s="39" t="s">
        <v>256</v>
      </c>
      <c r="G393" s="81">
        <v>39283</v>
      </c>
      <c r="H393" s="105" t="str">
        <f>CHOOSE(MONTH(G393),"January","February","March","April","May","June","July","August","September","October","November","December")</f>
        <v>July</v>
      </c>
      <c r="I393" s="51">
        <f ca="1">DATEDIF(G393,TODAY(),"Y")</f>
        <v>9</v>
      </c>
      <c r="J393" s="52" t="s">
        <v>257</v>
      </c>
      <c r="K393" s="53">
        <v>24980</v>
      </c>
      <c r="L393" s="54">
        <v>3</v>
      </c>
    </row>
    <row r="394" spans="1:12" ht="15">
      <c r="A394" s="39" t="s">
        <v>428</v>
      </c>
      <c r="B394" s="46" t="s">
        <v>280</v>
      </c>
      <c r="C394" s="39" t="s">
        <v>930</v>
      </c>
      <c r="D394" s="72">
        <v>723066626</v>
      </c>
      <c r="E394" s="73">
        <v>2525399385</v>
      </c>
      <c r="F394" s="39" t="s">
        <v>247</v>
      </c>
      <c r="G394" s="81">
        <v>38438</v>
      </c>
      <c r="H394" s="105" t="str">
        <f>CHOOSE(MONTH(G394),"January","February","March","April","May","June","July","August","September","October","November","December")</f>
        <v>March</v>
      </c>
      <c r="I394" s="51">
        <f ca="1">DATEDIF(G394,TODAY(),"Y")</f>
        <v>11</v>
      </c>
      <c r="J394" s="52"/>
      <c r="K394" s="53">
        <v>32880</v>
      </c>
      <c r="L394" s="54">
        <v>3</v>
      </c>
    </row>
    <row r="395" spans="1:12" ht="15">
      <c r="A395" s="39" t="s">
        <v>701</v>
      </c>
      <c r="B395" s="46" t="s">
        <v>271</v>
      </c>
      <c r="C395" s="39" t="s">
        <v>930</v>
      </c>
      <c r="D395" s="72">
        <v>595022550</v>
      </c>
      <c r="E395" s="73">
        <v>9195621928</v>
      </c>
      <c r="F395" s="39" t="s">
        <v>256</v>
      </c>
      <c r="G395" s="81">
        <v>33957</v>
      </c>
      <c r="H395" s="105" t="str">
        <f>CHOOSE(MONTH(G395),"January","February","March","April","May","June","July","August","September","October","November","December")</f>
        <v>December</v>
      </c>
      <c r="I395" s="51">
        <f ca="1">DATEDIF(G395,TODAY(),"Y")</f>
        <v>23</v>
      </c>
      <c r="J395" s="52" t="s">
        <v>262</v>
      </c>
      <c r="K395" s="53">
        <v>59490</v>
      </c>
      <c r="L395" s="54">
        <v>3</v>
      </c>
    </row>
    <row r="396" spans="1:12" ht="15">
      <c r="A396" s="39" t="s">
        <v>399</v>
      </c>
      <c r="B396" s="46" t="s">
        <v>266</v>
      </c>
      <c r="C396" s="39" t="s">
        <v>930</v>
      </c>
      <c r="D396" s="72">
        <v>616055292</v>
      </c>
      <c r="E396" s="73">
        <v>9192913490</v>
      </c>
      <c r="F396" s="39" t="s">
        <v>256</v>
      </c>
      <c r="G396" s="81">
        <v>33921</v>
      </c>
      <c r="H396" s="105" t="str">
        <f>CHOOSE(MONTH(G396),"January","February","March","April","May","June","July","August","September","October","November","December")</f>
        <v>November</v>
      </c>
      <c r="I396" s="51">
        <f ca="1">DATEDIF(G396,TODAY(),"Y")</f>
        <v>23</v>
      </c>
      <c r="J396" s="52" t="s">
        <v>267</v>
      </c>
      <c r="K396" s="53">
        <v>32160</v>
      </c>
      <c r="L396" s="54">
        <v>3</v>
      </c>
    </row>
    <row r="397" spans="1:12" ht="15">
      <c r="A397" s="39" t="s">
        <v>526</v>
      </c>
      <c r="B397" s="46" t="s">
        <v>285</v>
      </c>
      <c r="C397" s="39" t="s">
        <v>930</v>
      </c>
      <c r="D397" s="72">
        <v>151532569</v>
      </c>
      <c r="E397" s="73">
        <v>2525202015</v>
      </c>
      <c r="F397" s="39" t="s">
        <v>247</v>
      </c>
      <c r="G397" s="103">
        <v>40563</v>
      </c>
      <c r="H397" s="105" t="str">
        <f>CHOOSE(MONTH(G397),"January","February","March","April","May","June","July","August","September","October","November","December")</f>
        <v>January</v>
      </c>
      <c r="I397" s="51">
        <f ca="1">DATEDIF(G397,TODAY(),"Y")</f>
        <v>5</v>
      </c>
      <c r="J397" s="52"/>
      <c r="K397" s="53">
        <v>55510</v>
      </c>
      <c r="L397" s="54">
        <v>3</v>
      </c>
    </row>
    <row r="398" spans="1:12" ht="15">
      <c r="A398" s="39" t="s">
        <v>983</v>
      </c>
      <c r="B398" s="46" t="s">
        <v>285</v>
      </c>
      <c r="C398" s="39" t="s">
        <v>930</v>
      </c>
      <c r="D398" s="72">
        <v>177324163</v>
      </c>
      <c r="E398" s="73">
        <v>2527091949</v>
      </c>
      <c r="F398" s="39" t="s">
        <v>256</v>
      </c>
      <c r="G398" s="81">
        <v>37810</v>
      </c>
      <c r="H398" s="105" t="str">
        <f>CHOOSE(MONTH(G398),"January","February","March","April","May","June","July","August","September","October","November","December")</f>
        <v>July</v>
      </c>
      <c r="I398" s="51">
        <f ca="1">DATEDIF(G398,TODAY(),"Y")</f>
        <v>13</v>
      </c>
      <c r="J398" s="52" t="s">
        <v>283</v>
      </c>
      <c r="K398" s="53">
        <v>48010</v>
      </c>
      <c r="L398" s="54">
        <v>3</v>
      </c>
    </row>
    <row r="399" spans="1:12" ht="15">
      <c r="A399" s="39" t="s">
        <v>427</v>
      </c>
      <c r="B399" s="46" t="s">
        <v>266</v>
      </c>
      <c r="C399" s="39" t="s">
        <v>930</v>
      </c>
      <c r="D399" s="72">
        <v>971128623</v>
      </c>
      <c r="E399" s="73">
        <v>9194375399</v>
      </c>
      <c r="F399" s="39" t="s">
        <v>247</v>
      </c>
      <c r="G399" s="81">
        <v>37141</v>
      </c>
      <c r="H399" s="105" t="str">
        <f>CHOOSE(MONTH(G399),"January","February","March","April","May","June","July","August","September","October","November","December")</f>
        <v>September</v>
      </c>
      <c r="I399" s="51">
        <f ca="1">DATEDIF(G399,TODAY(),"Y")</f>
        <v>15</v>
      </c>
      <c r="J399" s="52"/>
      <c r="K399" s="53">
        <v>25530</v>
      </c>
      <c r="L399" s="54">
        <v>3</v>
      </c>
    </row>
    <row r="400" spans="1:12" ht="15">
      <c r="A400" s="39" t="s">
        <v>357</v>
      </c>
      <c r="B400" s="46" t="s">
        <v>245</v>
      </c>
      <c r="C400" s="45" t="s">
        <v>246</v>
      </c>
      <c r="D400" s="47">
        <v>914428485</v>
      </c>
      <c r="E400" s="48">
        <v>2521774590</v>
      </c>
      <c r="F400" s="45" t="s">
        <v>261</v>
      </c>
      <c r="G400" s="105">
        <v>33290</v>
      </c>
      <c r="H400" s="105" t="str">
        <f>CHOOSE(MONTH(G400),"January","February","March","April","May","June","July","August","September","October","November","December")</f>
        <v>February</v>
      </c>
      <c r="I400" s="51">
        <f ca="1">DATEDIF(G400,TODAY(),"Y")</f>
        <v>25</v>
      </c>
      <c r="J400" s="52" t="s">
        <v>262</v>
      </c>
      <c r="K400" s="53">
        <v>26795</v>
      </c>
      <c r="L400" s="54">
        <v>4</v>
      </c>
    </row>
    <row r="401" spans="1:12" ht="15">
      <c r="A401" s="39" t="s">
        <v>766</v>
      </c>
      <c r="B401" s="46" t="s">
        <v>245</v>
      </c>
      <c r="C401" s="45" t="s">
        <v>272</v>
      </c>
      <c r="D401" s="47">
        <v>771277493</v>
      </c>
      <c r="E401" s="48">
        <v>2522872439</v>
      </c>
      <c r="F401" s="45" t="s">
        <v>252</v>
      </c>
      <c r="G401" s="105">
        <v>40126</v>
      </c>
      <c r="H401" s="105" t="str">
        <f>CHOOSE(MONTH(G401),"January","February","March","April","May","June","July","August","September","October","November","December")</f>
        <v>November</v>
      </c>
      <c r="I401" s="51">
        <f ca="1">DATEDIF(G401,TODAY(),"Y")</f>
        <v>7</v>
      </c>
      <c r="J401" s="52"/>
      <c r="K401" s="53">
        <v>10636</v>
      </c>
      <c r="L401" s="54">
        <v>4</v>
      </c>
    </row>
    <row r="402" spans="1:12" ht="15">
      <c r="A402" s="39" t="s">
        <v>1005</v>
      </c>
      <c r="B402" s="46" t="s">
        <v>266</v>
      </c>
      <c r="C402" s="39" t="s">
        <v>272</v>
      </c>
      <c r="D402" s="72">
        <v>456946966</v>
      </c>
      <c r="E402" s="73">
        <v>9194680033</v>
      </c>
      <c r="F402" s="39" t="s">
        <v>256</v>
      </c>
      <c r="G402" s="81">
        <v>36764</v>
      </c>
      <c r="H402" s="105" t="str">
        <f>CHOOSE(MONTH(G402),"January","February","March","April","May","June","July","August","September","October","November","December")</f>
        <v>August</v>
      </c>
      <c r="I402" s="51">
        <f ca="1">DATEDIF(G402,TODAY(),"Y")</f>
        <v>16</v>
      </c>
      <c r="J402" s="52" t="s">
        <v>276</v>
      </c>
      <c r="K402" s="53">
        <v>74840</v>
      </c>
      <c r="L402" s="54">
        <v>4</v>
      </c>
    </row>
    <row r="403" spans="1:12" ht="15">
      <c r="A403" s="39" t="s">
        <v>632</v>
      </c>
      <c r="B403" s="46" t="s">
        <v>251</v>
      </c>
      <c r="C403" s="39" t="s">
        <v>272</v>
      </c>
      <c r="D403" s="72">
        <v>975603308</v>
      </c>
      <c r="E403" s="73">
        <v>9192693355</v>
      </c>
      <c r="F403" s="39" t="s">
        <v>256</v>
      </c>
      <c r="G403" s="81">
        <v>37404</v>
      </c>
      <c r="H403" s="105" t="str">
        <f>CHOOSE(MONTH(G403),"January","February","March","April","May","June","July","August","September","October","November","December")</f>
        <v>May</v>
      </c>
      <c r="I403" s="51">
        <f ca="1">DATEDIF(G403,TODAY(),"Y")</f>
        <v>14</v>
      </c>
      <c r="J403" s="52" t="s">
        <v>257</v>
      </c>
      <c r="K403" s="53">
        <v>30780</v>
      </c>
      <c r="L403" s="54">
        <v>4</v>
      </c>
    </row>
    <row r="404" spans="1:12" ht="15">
      <c r="A404" s="39" t="s">
        <v>768</v>
      </c>
      <c r="B404" s="46" t="s">
        <v>271</v>
      </c>
      <c r="C404" s="45" t="s">
        <v>272</v>
      </c>
      <c r="D404" s="47">
        <v>638271383</v>
      </c>
      <c r="E404" s="48">
        <v>2521641031</v>
      </c>
      <c r="F404" s="45" t="s">
        <v>256</v>
      </c>
      <c r="G404" s="105">
        <v>38142</v>
      </c>
      <c r="H404" s="105" t="str">
        <f>CHOOSE(MONTH(G404),"January","February","March","April","May","June","July","August","September","October","November","December")</f>
        <v>June</v>
      </c>
      <c r="I404" s="51">
        <f ca="1">DATEDIF(G404,TODAY(),"Y")</f>
        <v>12</v>
      </c>
      <c r="J404" s="52" t="s">
        <v>257</v>
      </c>
      <c r="K404" s="53">
        <v>49350</v>
      </c>
      <c r="L404" s="54">
        <v>4</v>
      </c>
    </row>
    <row r="405" spans="1:12" ht="15">
      <c r="A405" s="39" t="s">
        <v>547</v>
      </c>
      <c r="B405" s="46" t="s">
        <v>271</v>
      </c>
      <c r="C405" s="39" t="s">
        <v>296</v>
      </c>
      <c r="D405" s="72">
        <v>243350742</v>
      </c>
      <c r="E405" s="73">
        <v>2528304204</v>
      </c>
      <c r="F405" s="39" t="s">
        <v>252</v>
      </c>
      <c r="G405" s="81">
        <v>35674</v>
      </c>
      <c r="H405" s="105" t="str">
        <f>CHOOSE(MONTH(G405),"January","February","March","April","May","June","July","August","September","October","November","December")</f>
        <v>September</v>
      </c>
      <c r="I405" s="51">
        <f ca="1">DATEDIF(G405,TODAY(),"Y")</f>
        <v>19</v>
      </c>
      <c r="J405" s="52"/>
      <c r="K405" s="53">
        <v>20028</v>
      </c>
      <c r="L405" s="54">
        <v>4</v>
      </c>
    </row>
    <row r="406" spans="1:12" ht="15">
      <c r="A406" s="39" t="s">
        <v>999</v>
      </c>
      <c r="B406" s="46" t="s">
        <v>245</v>
      </c>
      <c r="C406" s="39" t="s">
        <v>312</v>
      </c>
      <c r="D406" s="72">
        <v>936730279</v>
      </c>
      <c r="E406" s="73">
        <v>2528033253</v>
      </c>
      <c r="F406" s="39" t="s">
        <v>261</v>
      </c>
      <c r="G406" s="81">
        <v>35517</v>
      </c>
      <c r="H406" s="105" t="str">
        <f>CHOOSE(MONTH(G406),"January","February","March","April","May","June","July","August","September","October","November","December")</f>
        <v>March</v>
      </c>
      <c r="I406" s="51">
        <f ca="1">DATEDIF(G406,TODAY(),"Y")</f>
        <v>19</v>
      </c>
      <c r="J406" s="52" t="s">
        <v>267</v>
      </c>
      <c r="K406" s="53">
        <v>48415</v>
      </c>
      <c r="L406" s="54">
        <v>4</v>
      </c>
    </row>
    <row r="407" spans="1:12" ht="15">
      <c r="A407" s="39" t="s">
        <v>844</v>
      </c>
      <c r="B407" s="46" t="s">
        <v>285</v>
      </c>
      <c r="C407" s="39" t="s">
        <v>312</v>
      </c>
      <c r="D407" s="72">
        <v>252276921</v>
      </c>
      <c r="E407" s="73">
        <v>2525777345</v>
      </c>
      <c r="F407" s="39" t="s">
        <v>256</v>
      </c>
      <c r="G407" s="81">
        <v>37785</v>
      </c>
      <c r="H407" s="105" t="str">
        <f>CHOOSE(MONTH(G407),"January","February","March","April","May","June","July","August","September","October","November","December")</f>
        <v>June</v>
      </c>
      <c r="I407" s="51">
        <f ca="1">DATEDIF(G407,TODAY(),"Y")</f>
        <v>13</v>
      </c>
      <c r="J407" s="52" t="s">
        <v>283</v>
      </c>
      <c r="K407" s="53">
        <v>87280</v>
      </c>
      <c r="L407" s="54">
        <v>4</v>
      </c>
    </row>
    <row r="408" spans="1:12" ht="15">
      <c r="A408" s="39" t="s">
        <v>522</v>
      </c>
      <c r="B408" s="46" t="s">
        <v>285</v>
      </c>
      <c r="C408" s="39" t="s">
        <v>312</v>
      </c>
      <c r="D408" s="72">
        <v>870106287</v>
      </c>
      <c r="E408" s="73">
        <v>2528611970</v>
      </c>
      <c r="F408" s="39" t="s">
        <v>261</v>
      </c>
      <c r="G408" s="81">
        <v>34548</v>
      </c>
      <c r="H408" s="105" t="str">
        <f>CHOOSE(MONTH(G408),"January","February","March","April","May","June","July","August","September","October","November","December")</f>
        <v>August</v>
      </c>
      <c r="I408" s="51">
        <f ca="1">DATEDIF(G408,TODAY(),"Y")</f>
        <v>22</v>
      </c>
      <c r="J408" s="52" t="s">
        <v>276</v>
      </c>
      <c r="K408" s="53">
        <v>38920</v>
      </c>
      <c r="L408" s="54">
        <v>4</v>
      </c>
    </row>
    <row r="409" spans="1:12" ht="15">
      <c r="A409" s="39" t="s">
        <v>870</v>
      </c>
      <c r="B409" s="46" t="s">
        <v>271</v>
      </c>
      <c r="C409" s="39" t="s">
        <v>312</v>
      </c>
      <c r="D409" s="72">
        <v>631405285</v>
      </c>
      <c r="E409" s="73">
        <v>2527491979</v>
      </c>
      <c r="F409" s="39" t="s">
        <v>256</v>
      </c>
      <c r="G409" s="81">
        <v>33527</v>
      </c>
      <c r="H409" s="105" t="str">
        <f>CHOOSE(MONTH(G409),"January","February","March","April","May","June","July","August","September","October","November","December")</f>
        <v>October</v>
      </c>
      <c r="I409" s="51">
        <f ca="1">DATEDIF(G409,TODAY(),"Y")</f>
        <v>25</v>
      </c>
      <c r="J409" s="52" t="s">
        <v>283</v>
      </c>
      <c r="K409" s="53">
        <v>85920</v>
      </c>
      <c r="L409" s="54">
        <v>4</v>
      </c>
    </row>
    <row r="410" spans="1:12" ht="15">
      <c r="A410" s="39" t="s">
        <v>624</v>
      </c>
      <c r="B410" s="46" t="s">
        <v>245</v>
      </c>
      <c r="C410" s="39" t="s">
        <v>312</v>
      </c>
      <c r="D410" s="72">
        <v>648911225</v>
      </c>
      <c r="E410" s="73">
        <v>2525829090</v>
      </c>
      <c r="F410" s="39" t="s">
        <v>247</v>
      </c>
      <c r="G410" s="81">
        <v>33981</v>
      </c>
      <c r="H410" s="105" t="str">
        <f>CHOOSE(MONTH(G410),"January","February","March","April","May","June","July","August","September","October","November","December")</f>
        <v>January</v>
      </c>
      <c r="I410" s="51">
        <f ca="1">DATEDIF(G410,TODAY(),"Y")</f>
        <v>23</v>
      </c>
      <c r="J410" s="52"/>
      <c r="K410" s="53">
        <v>83020</v>
      </c>
      <c r="L410" s="54">
        <v>4</v>
      </c>
    </row>
    <row r="411" spans="1:12" ht="15">
      <c r="A411" s="39" t="s">
        <v>800</v>
      </c>
      <c r="B411" s="46" t="s">
        <v>245</v>
      </c>
      <c r="C411" s="39" t="s">
        <v>312</v>
      </c>
      <c r="D411" s="72">
        <v>415228597</v>
      </c>
      <c r="E411" s="73">
        <v>9196252690</v>
      </c>
      <c r="F411" s="39" t="s">
        <v>256</v>
      </c>
      <c r="G411" s="81">
        <v>35667</v>
      </c>
      <c r="H411" s="105" t="str">
        <f>CHOOSE(MONTH(G411),"January","February","March","April","May","June","July","August","September","October","November","December")</f>
        <v>August</v>
      </c>
      <c r="I411" s="51">
        <f ca="1">DATEDIF(G411,TODAY(),"Y")</f>
        <v>19</v>
      </c>
      <c r="J411" s="52" t="s">
        <v>257</v>
      </c>
      <c r="K411" s="53">
        <v>40920</v>
      </c>
      <c r="L411" s="54">
        <v>4</v>
      </c>
    </row>
    <row r="412" spans="1:12" ht="15">
      <c r="A412" s="39" t="s">
        <v>893</v>
      </c>
      <c r="B412" s="46" t="s">
        <v>285</v>
      </c>
      <c r="C412" s="39" t="s">
        <v>312</v>
      </c>
      <c r="D412" s="72">
        <v>411058865</v>
      </c>
      <c r="E412" s="73">
        <v>2523883919</v>
      </c>
      <c r="F412" s="39" t="s">
        <v>256</v>
      </c>
      <c r="G412" s="81">
        <v>37008</v>
      </c>
      <c r="H412" s="105" t="str">
        <f>CHOOSE(MONTH(G412),"January","February","March","April","May","June","July","August","September","October","November","December")</f>
        <v>April</v>
      </c>
      <c r="I412" s="51">
        <f ca="1">DATEDIF(G412,TODAY(),"Y")</f>
        <v>15</v>
      </c>
      <c r="J412" s="52" t="s">
        <v>257</v>
      </c>
      <c r="K412" s="53">
        <v>27180</v>
      </c>
      <c r="L412" s="54">
        <v>4</v>
      </c>
    </row>
    <row r="413" spans="1:12" ht="15">
      <c r="A413" s="39" t="s">
        <v>647</v>
      </c>
      <c r="B413" s="46" t="s">
        <v>285</v>
      </c>
      <c r="C413" s="39" t="s">
        <v>312</v>
      </c>
      <c r="D413" s="72">
        <v>951516517</v>
      </c>
      <c r="E413" s="73">
        <v>2524936058</v>
      </c>
      <c r="F413" s="39" t="s">
        <v>256</v>
      </c>
      <c r="G413" s="81">
        <v>33895</v>
      </c>
      <c r="H413" s="105" t="str">
        <f>CHOOSE(MONTH(G413),"January","February","March","April","May","June","July","August","September","October","November","December")</f>
        <v>October</v>
      </c>
      <c r="I413" s="51">
        <f ca="1">DATEDIF(G413,TODAY(),"Y")</f>
        <v>24</v>
      </c>
      <c r="J413" s="52" t="s">
        <v>283</v>
      </c>
      <c r="K413" s="53">
        <v>71670</v>
      </c>
      <c r="L413" s="54">
        <v>4</v>
      </c>
    </row>
    <row r="414" spans="1:12" ht="15">
      <c r="A414" s="39" t="s">
        <v>340</v>
      </c>
      <c r="B414" s="46" t="s">
        <v>245</v>
      </c>
      <c r="C414" s="39" t="s">
        <v>312</v>
      </c>
      <c r="D414" s="72">
        <v>339398339</v>
      </c>
      <c r="E414" s="73">
        <v>2527682821</v>
      </c>
      <c r="F414" s="39" t="s">
        <v>256</v>
      </c>
      <c r="G414" s="81">
        <v>35965</v>
      </c>
      <c r="H414" s="105" t="str">
        <f>CHOOSE(MONTH(G414),"January","February","March","April","May","June","July","August","September","October","November","December")</f>
        <v>June</v>
      </c>
      <c r="I414" s="76">
        <f ca="1">DATEDIF(G414,TODAY(),"Y")</f>
        <v>18</v>
      </c>
      <c r="J414" s="77" t="s">
        <v>267</v>
      </c>
      <c r="K414" s="53">
        <v>34780</v>
      </c>
      <c r="L414" s="54">
        <v>4</v>
      </c>
    </row>
    <row r="415" spans="1:12" ht="15">
      <c r="A415" s="39" t="s">
        <v>887</v>
      </c>
      <c r="B415" s="46" t="s">
        <v>285</v>
      </c>
      <c r="C415" s="39" t="s">
        <v>312</v>
      </c>
      <c r="D415" s="72">
        <v>349979288</v>
      </c>
      <c r="E415" s="73">
        <v>9194629972</v>
      </c>
      <c r="F415" s="39" t="s">
        <v>256</v>
      </c>
      <c r="G415" s="81">
        <v>37018</v>
      </c>
      <c r="H415" s="105" t="str">
        <f>CHOOSE(MONTH(G415),"January","February","March","April","May","June","July","August","September","October","November","December")</f>
        <v>May</v>
      </c>
      <c r="I415" s="51">
        <f ca="1">DATEDIF(G415,TODAY(),"Y")</f>
        <v>15</v>
      </c>
      <c r="J415" s="52" t="s">
        <v>283</v>
      </c>
      <c r="K415" s="53">
        <v>28650</v>
      </c>
      <c r="L415" s="54">
        <v>4</v>
      </c>
    </row>
    <row r="416" spans="1:12" ht="15">
      <c r="A416" s="39" t="s">
        <v>811</v>
      </c>
      <c r="B416" s="46" t="s">
        <v>271</v>
      </c>
      <c r="C416" s="39" t="s">
        <v>312</v>
      </c>
      <c r="D416" s="72">
        <v>639314672</v>
      </c>
      <c r="E416" s="73">
        <v>9191919478</v>
      </c>
      <c r="F416" s="39" t="s">
        <v>261</v>
      </c>
      <c r="G416" s="81">
        <v>35842</v>
      </c>
      <c r="H416" s="105" t="str">
        <f>CHOOSE(MONTH(G416),"January","February","March","April","May","June","July","August","September","October","November","December")</f>
        <v>February</v>
      </c>
      <c r="I416" s="51">
        <f ca="1">DATEDIF(G416,TODAY(),"Y")</f>
        <v>18</v>
      </c>
      <c r="J416" s="52" t="s">
        <v>276</v>
      </c>
      <c r="K416" s="53">
        <v>23380</v>
      </c>
      <c r="L416" s="54">
        <v>4</v>
      </c>
    </row>
    <row r="417" spans="1:12" ht="15">
      <c r="A417" s="39" t="s">
        <v>371</v>
      </c>
      <c r="B417" s="46" t="s">
        <v>245</v>
      </c>
      <c r="C417" s="39" t="s">
        <v>312</v>
      </c>
      <c r="D417" s="72">
        <v>580960042</v>
      </c>
      <c r="E417" s="73">
        <v>9197528456</v>
      </c>
      <c r="F417" s="39" t="s">
        <v>247</v>
      </c>
      <c r="G417" s="81">
        <v>39040</v>
      </c>
      <c r="H417" s="105" t="str">
        <f>CHOOSE(MONTH(G417),"January","February","March","April","May","June","July","August","September","October","November","December")</f>
        <v>November</v>
      </c>
      <c r="I417" s="51">
        <f ca="1">DATEDIF(G417,TODAY(),"Y")</f>
        <v>9</v>
      </c>
      <c r="J417" s="52"/>
      <c r="K417" s="53">
        <v>62150</v>
      </c>
      <c r="L417" s="54">
        <v>4</v>
      </c>
    </row>
    <row r="418" spans="1:12" ht="15">
      <c r="A418" s="39" t="s">
        <v>563</v>
      </c>
      <c r="B418" s="46" t="s">
        <v>271</v>
      </c>
      <c r="C418" s="39" t="s">
        <v>372</v>
      </c>
      <c r="D418" s="72">
        <v>759350847</v>
      </c>
      <c r="E418" s="73">
        <v>2527474942</v>
      </c>
      <c r="F418" s="39" t="s">
        <v>256</v>
      </c>
      <c r="G418" s="81">
        <v>38397</v>
      </c>
      <c r="H418" s="105" t="str">
        <f>CHOOSE(MONTH(G418),"January","February","March","April","May","June","July","August","September","October","November","December")</f>
        <v>February</v>
      </c>
      <c r="I418" s="51">
        <f ca="1">DATEDIF(G418,TODAY(),"Y")</f>
        <v>11</v>
      </c>
      <c r="J418" s="52" t="s">
        <v>257</v>
      </c>
      <c r="K418" s="53">
        <v>36630</v>
      </c>
      <c r="L418" s="54">
        <v>4</v>
      </c>
    </row>
    <row r="419" spans="1:12" ht="15">
      <c r="A419" s="39" t="s">
        <v>448</v>
      </c>
      <c r="B419" s="46" t="s">
        <v>271</v>
      </c>
      <c r="C419" s="39" t="s">
        <v>372</v>
      </c>
      <c r="D419" s="72">
        <v>106966222</v>
      </c>
      <c r="E419" s="73">
        <v>9198310129</v>
      </c>
      <c r="F419" s="39" t="s">
        <v>247</v>
      </c>
      <c r="G419" s="81">
        <v>39529</v>
      </c>
      <c r="H419" s="105" t="str">
        <f>CHOOSE(MONTH(G419),"January","February","March","April","May","June","July","August","September","October","November","December")</f>
        <v>March</v>
      </c>
      <c r="I419" s="51">
        <f ca="1">DATEDIF(G419,TODAY(),"Y")</f>
        <v>8</v>
      </c>
      <c r="J419" s="52"/>
      <c r="K419" s="53">
        <v>35620</v>
      </c>
      <c r="L419" s="54">
        <v>4</v>
      </c>
    </row>
    <row r="420" spans="1:12" ht="15">
      <c r="A420" s="39" t="s">
        <v>591</v>
      </c>
      <c r="B420" s="46" t="s">
        <v>280</v>
      </c>
      <c r="C420" s="39" t="s">
        <v>372</v>
      </c>
      <c r="D420" s="72">
        <v>676831149</v>
      </c>
      <c r="E420" s="73">
        <v>9192824485</v>
      </c>
      <c r="F420" s="39" t="s">
        <v>256</v>
      </c>
      <c r="G420" s="81">
        <v>39388</v>
      </c>
      <c r="H420" s="105" t="str">
        <f>CHOOSE(MONTH(G420),"January","February","March","April","May","June","July","August","September","October","November","December")</f>
        <v>November</v>
      </c>
      <c r="I420" s="51">
        <f ca="1">DATEDIF(G420,TODAY(),"Y")</f>
        <v>9</v>
      </c>
      <c r="J420" s="52" t="s">
        <v>257</v>
      </c>
      <c r="K420" s="53">
        <v>71120</v>
      </c>
      <c r="L420" s="54">
        <v>4</v>
      </c>
    </row>
    <row r="421" spans="1:12" ht="15">
      <c r="A421" s="39" t="s">
        <v>370</v>
      </c>
      <c r="B421" s="46" t="s">
        <v>271</v>
      </c>
      <c r="C421" s="39" t="s">
        <v>381</v>
      </c>
      <c r="D421" s="72">
        <v>651995963</v>
      </c>
      <c r="E421" s="73">
        <v>9194944945</v>
      </c>
      <c r="F421" s="39" t="s">
        <v>252</v>
      </c>
      <c r="G421" s="103">
        <v>40313</v>
      </c>
      <c r="H421" s="105" t="str">
        <f>CHOOSE(MONTH(G421),"January","February","March","April","May","June","July","August","September","October","November","December")</f>
        <v>May</v>
      </c>
      <c r="I421" s="51">
        <f ca="1">DATEDIF(G421,TODAY(),"Y")</f>
        <v>6</v>
      </c>
      <c r="J421" s="52"/>
      <c r="K421" s="53">
        <v>27484</v>
      </c>
      <c r="L421" s="54">
        <v>4</v>
      </c>
    </row>
    <row r="422" spans="1:12" ht="15">
      <c r="A422" s="39" t="s">
        <v>927</v>
      </c>
      <c r="B422" s="46" t="s">
        <v>285</v>
      </c>
      <c r="C422" s="39" t="s">
        <v>381</v>
      </c>
      <c r="D422" s="72">
        <v>124203063</v>
      </c>
      <c r="E422" s="73">
        <v>9192229885</v>
      </c>
      <c r="F422" s="39" t="s">
        <v>261</v>
      </c>
      <c r="G422" s="81">
        <v>40572</v>
      </c>
      <c r="H422" s="105" t="str">
        <f>CHOOSE(MONTH(G422),"January","February","March","April","May","June","July","August","September","October","November","December")</f>
        <v>January</v>
      </c>
      <c r="I422" s="51">
        <f ca="1">DATEDIF(G422,TODAY(),"Y")</f>
        <v>5</v>
      </c>
      <c r="J422" s="52" t="s">
        <v>283</v>
      </c>
      <c r="K422" s="53">
        <v>10520</v>
      </c>
      <c r="L422" s="54">
        <v>4</v>
      </c>
    </row>
    <row r="423" spans="1:12" ht="15">
      <c r="A423" s="39" t="s">
        <v>314</v>
      </c>
      <c r="B423" s="46" t="s">
        <v>266</v>
      </c>
      <c r="C423" s="39" t="s">
        <v>391</v>
      </c>
      <c r="D423" s="72">
        <v>707882019</v>
      </c>
      <c r="E423" s="73">
        <v>2523373445</v>
      </c>
      <c r="F423" s="39" t="s">
        <v>247</v>
      </c>
      <c r="G423" s="81">
        <v>36342</v>
      </c>
      <c r="H423" s="105" t="str">
        <f>CHOOSE(MONTH(G423),"January","February","March","April","May","June","July","August","September","October","November","December")</f>
        <v>July</v>
      </c>
      <c r="I423" s="51">
        <f ca="1">DATEDIF(G423,TODAY(),"Y")</f>
        <v>17</v>
      </c>
      <c r="J423" s="52"/>
      <c r="K423" s="53">
        <v>86970</v>
      </c>
      <c r="L423" s="54">
        <v>4</v>
      </c>
    </row>
    <row r="424" spans="1:12" ht="15">
      <c r="A424" s="39" t="s">
        <v>895</v>
      </c>
      <c r="B424" s="46" t="s">
        <v>285</v>
      </c>
      <c r="C424" s="39" t="s">
        <v>391</v>
      </c>
      <c r="D424" s="72">
        <v>685953695</v>
      </c>
      <c r="E424" s="73">
        <v>9196756847</v>
      </c>
      <c r="F424" s="39" t="s">
        <v>256</v>
      </c>
      <c r="G424" s="81">
        <v>33823</v>
      </c>
      <c r="H424" s="105" t="str">
        <f>CHOOSE(MONTH(G424),"January","February","March","April","May","June","July","August","September","October","November","December")</f>
        <v>August</v>
      </c>
      <c r="I424" s="51">
        <f ca="1">DATEDIF(G424,TODAY(),"Y")</f>
        <v>24</v>
      </c>
      <c r="J424" s="52" t="s">
        <v>283</v>
      </c>
      <c r="K424" s="53">
        <v>82760</v>
      </c>
      <c r="L424" s="54">
        <v>4</v>
      </c>
    </row>
    <row r="425" spans="1:12" ht="15">
      <c r="A425" s="39" t="s">
        <v>805</v>
      </c>
      <c r="B425" s="46" t="s">
        <v>266</v>
      </c>
      <c r="C425" s="39" t="s">
        <v>391</v>
      </c>
      <c r="D425" s="72">
        <v>291798311</v>
      </c>
      <c r="E425" s="73">
        <v>2526742736</v>
      </c>
      <c r="F425" s="39" t="s">
        <v>256</v>
      </c>
      <c r="G425" s="81">
        <v>35487</v>
      </c>
      <c r="H425" s="105" t="str">
        <f>CHOOSE(MONTH(G425),"January","February","March","April","May","June","July","August","September","October","November","December")</f>
        <v>February</v>
      </c>
      <c r="I425" s="51">
        <f ca="1">DATEDIF(G425,TODAY(),"Y")</f>
        <v>19</v>
      </c>
      <c r="J425" s="52" t="s">
        <v>257</v>
      </c>
      <c r="K425" s="53">
        <v>80120</v>
      </c>
      <c r="L425" s="54">
        <v>4</v>
      </c>
    </row>
    <row r="426" spans="1:12" ht="15">
      <c r="A426" s="39" t="s">
        <v>569</v>
      </c>
      <c r="B426" s="46" t="s">
        <v>285</v>
      </c>
      <c r="C426" s="39" t="s">
        <v>391</v>
      </c>
      <c r="D426" s="72">
        <v>585815837</v>
      </c>
      <c r="E426" s="73">
        <v>9194983657</v>
      </c>
      <c r="F426" s="39" t="s">
        <v>261</v>
      </c>
      <c r="G426" s="81">
        <v>33994</v>
      </c>
      <c r="H426" s="105" t="str">
        <f>CHOOSE(MONTH(G426),"January","February","March","April","May","June","July","August","September","October","November","December")</f>
        <v>January</v>
      </c>
      <c r="I426" s="51">
        <f ca="1">DATEDIF(G426,TODAY(),"Y")</f>
        <v>23</v>
      </c>
      <c r="J426" s="52" t="s">
        <v>276</v>
      </c>
      <c r="K426" s="53">
        <v>18655</v>
      </c>
      <c r="L426" s="54">
        <v>4</v>
      </c>
    </row>
    <row r="427" spans="1:12" ht="15">
      <c r="A427" s="39" t="s">
        <v>378</v>
      </c>
      <c r="B427" s="46" t="s">
        <v>271</v>
      </c>
      <c r="C427" s="39" t="s">
        <v>391</v>
      </c>
      <c r="D427" s="72">
        <v>469591073</v>
      </c>
      <c r="E427" s="73">
        <v>2523327522</v>
      </c>
      <c r="F427" s="39" t="s">
        <v>256</v>
      </c>
      <c r="G427" s="81">
        <v>37113</v>
      </c>
      <c r="H427" s="105" t="str">
        <f>CHOOSE(MONTH(G427),"January","February","March","April","May","June","July","August","September","October","November","December")</f>
        <v>August</v>
      </c>
      <c r="I427" s="51">
        <f ca="1">DATEDIF(G427,TODAY(),"Y")</f>
        <v>15</v>
      </c>
      <c r="J427" s="52" t="s">
        <v>267</v>
      </c>
      <c r="K427" s="53">
        <v>61150</v>
      </c>
      <c r="L427" s="54">
        <v>4</v>
      </c>
    </row>
    <row r="428" spans="1:12" ht="15">
      <c r="A428" s="39" t="s">
        <v>349</v>
      </c>
      <c r="B428" s="46" t="s">
        <v>285</v>
      </c>
      <c r="C428" s="39" t="s">
        <v>417</v>
      </c>
      <c r="D428" s="72">
        <v>116869057</v>
      </c>
      <c r="E428" s="73">
        <v>2521614846</v>
      </c>
      <c r="F428" s="39" t="s">
        <v>261</v>
      </c>
      <c r="G428" s="81">
        <v>34755</v>
      </c>
      <c r="H428" s="105" t="str">
        <f>CHOOSE(MONTH(G428),"January","February","March","April","May","June","July","August","September","October","November","December")</f>
        <v>February</v>
      </c>
      <c r="I428" s="51">
        <f ca="1">DATEDIF(G428,TODAY(),"Y")</f>
        <v>21</v>
      </c>
      <c r="J428" s="52" t="s">
        <v>267</v>
      </c>
      <c r="K428" s="53">
        <v>15005</v>
      </c>
      <c r="L428" s="54">
        <v>4</v>
      </c>
    </row>
    <row r="429" spans="1:12" ht="15">
      <c r="A429" s="39" t="s">
        <v>677</v>
      </c>
      <c r="B429" s="46" t="s">
        <v>285</v>
      </c>
      <c r="C429" s="39" t="s">
        <v>417</v>
      </c>
      <c r="D429" s="72">
        <v>659929807</v>
      </c>
      <c r="E429" s="73">
        <v>9193089561</v>
      </c>
      <c r="F429" s="39" t="s">
        <v>256</v>
      </c>
      <c r="G429" s="81">
        <v>38753</v>
      </c>
      <c r="H429" s="105" t="str">
        <f>CHOOSE(MONTH(G429),"January","February","March","April","May","June","July","August","September","October","November","December")</f>
        <v>February</v>
      </c>
      <c r="I429" s="51">
        <f ca="1">DATEDIF(G429,TODAY(),"Y")</f>
        <v>10</v>
      </c>
      <c r="J429" s="52" t="s">
        <v>257</v>
      </c>
      <c r="K429" s="53">
        <v>22410</v>
      </c>
      <c r="L429" s="54">
        <v>4</v>
      </c>
    </row>
    <row r="430" spans="1:12" ht="15">
      <c r="A430" s="39" t="s">
        <v>472</v>
      </c>
      <c r="B430" s="46" t="s">
        <v>271</v>
      </c>
      <c r="C430" s="39" t="s">
        <v>417</v>
      </c>
      <c r="D430" s="72">
        <v>518690148</v>
      </c>
      <c r="E430" s="73">
        <v>2526500529</v>
      </c>
      <c r="F430" s="39" t="s">
        <v>256</v>
      </c>
      <c r="G430" s="81">
        <v>40399</v>
      </c>
      <c r="H430" s="105" t="str">
        <f>CHOOSE(MONTH(G430),"January","February","March","April","May","June","July","August","September","October","November","December")</f>
        <v>August</v>
      </c>
      <c r="I430" s="51">
        <f ca="1">DATEDIF(G430,TODAY(),"Y")</f>
        <v>6</v>
      </c>
      <c r="J430" s="52" t="s">
        <v>267</v>
      </c>
      <c r="K430" s="53">
        <v>32640</v>
      </c>
      <c r="L430" s="54">
        <v>4</v>
      </c>
    </row>
    <row r="431" spans="1:12" ht="15">
      <c r="A431" s="39" t="s">
        <v>661</v>
      </c>
      <c r="B431" s="46" t="s">
        <v>271</v>
      </c>
      <c r="C431" s="39" t="s">
        <v>417</v>
      </c>
      <c r="D431" s="72">
        <v>232896341</v>
      </c>
      <c r="E431" s="73">
        <v>9197288082</v>
      </c>
      <c r="F431" s="39" t="s">
        <v>247</v>
      </c>
      <c r="G431" s="103">
        <v>40236</v>
      </c>
      <c r="H431" s="105" t="str">
        <f>CHOOSE(MONTH(G431),"January","February","March","April","May","June","July","August","September","October","November","December")</f>
        <v>February</v>
      </c>
      <c r="I431" s="51">
        <f ca="1">DATEDIF(G431,TODAY(),"Y")</f>
        <v>6</v>
      </c>
      <c r="J431" s="52"/>
      <c r="K431" s="53">
        <v>45830</v>
      </c>
      <c r="L431" s="54">
        <v>4</v>
      </c>
    </row>
    <row r="432" spans="1:12" ht="15">
      <c r="A432" s="39" t="s">
        <v>533</v>
      </c>
      <c r="B432" s="46" t="s">
        <v>245</v>
      </c>
      <c r="C432" s="39" t="s">
        <v>417</v>
      </c>
      <c r="D432" s="72">
        <v>304068732</v>
      </c>
      <c r="E432" s="73">
        <v>2523919445</v>
      </c>
      <c r="F432" s="39" t="s">
        <v>261</v>
      </c>
      <c r="G432" s="81">
        <v>33709</v>
      </c>
      <c r="H432" s="105" t="str">
        <f>CHOOSE(MONTH(G432),"January","February","March","April","May","June","July","August","September","October","November","December")</f>
        <v>April</v>
      </c>
      <c r="I432" s="51">
        <f ca="1">DATEDIF(G432,TODAY(),"Y")</f>
        <v>24</v>
      </c>
      <c r="J432" s="52" t="s">
        <v>257</v>
      </c>
      <c r="K432" s="53">
        <v>34110</v>
      </c>
      <c r="L432" s="54">
        <v>4</v>
      </c>
    </row>
    <row r="433" spans="1:12" ht="15">
      <c r="A433" s="39" t="s">
        <v>439</v>
      </c>
      <c r="B433" s="46" t="s">
        <v>280</v>
      </c>
      <c r="C433" s="39" t="s">
        <v>417</v>
      </c>
      <c r="D433" s="72">
        <v>279591317</v>
      </c>
      <c r="E433" s="73">
        <v>2522381391</v>
      </c>
      <c r="F433" s="39" t="s">
        <v>252</v>
      </c>
      <c r="G433" s="81">
        <v>36263</v>
      </c>
      <c r="H433" s="105" t="str">
        <f>CHOOSE(MONTH(G433),"January","February","March","April","May","June","July","August","September","October","November","December")</f>
        <v>April</v>
      </c>
      <c r="I433" s="51">
        <f ca="1">DATEDIF(G433,TODAY(),"Y")</f>
        <v>17</v>
      </c>
      <c r="J433" s="52"/>
      <c r="K433" s="53">
        <v>38768</v>
      </c>
      <c r="L433" s="54">
        <v>4</v>
      </c>
    </row>
    <row r="434" spans="1:12" ht="15">
      <c r="A434" s="39" t="s">
        <v>363</v>
      </c>
      <c r="B434" s="46" t="s">
        <v>280</v>
      </c>
      <c r="C434" s="39" t="s">
        <v>417</v>
      </c>
      <c r="D434" s="72">
        <v>171868795</v>
      </c>
      <c r="E434" s="73">
        <v>9194323329</v>
      </c>
      <c r="F434" s="39" t="s">
        <v>256</v>
      </c>
      <c r="G434" s="81">
        <v>33079</v>
      </c>
      <c r="H434" s="105" t="str">
        <f>CHOOSE(MONTH(G434),"January","February","March","April","May","June","July","August","September","October","November","December")</f>
        <v>July</v>
      </c>
      <c r="I434" s="51">
        <f ca="1">DATEDIF(G434,TODAY(),"Y")</f>
        <v>26</v>
      </c>
      <c r="J434" s="52" t="s">
        <v>276</v>
      </c>
      <c r="K434" s="53">
        <v>32360</v>
      </c>
      <c r="L434" s="54">
        <v>4</v>
      </c>
    </row>
    <row r="435" spans="1:12" ht="15">
      <c r="A435" s="45" t="s">
        <v>265</v>
      </c>
      <c r="B435" s="46" t="s">
        <v>271</v>
      </c>
      <c r="C435" s="39" t="s">
        <v>417</v>
      </c>
      <c r="D435" s="72">
        <v>622274162</v>
      </c>
      <c r="E435" s="73">
        <v>9191264786</v>
      </c>
      <c r="F435" s="39" t="s">
        <v>247</v>
      </c>
      <c r="G435" s="81">
        <v>34771</v>
      </c>
      <c r="H435" s="105" t="str">
        <f>CHOOSE(MONTH(G435),"January","February","March","April","May","June","July","August","September","October","November","December")</f>
        <v>March</v>
      </c>
      <c r="I435" s="51">
        <f ca="1">DATEDIF(G435,TODAY(),"Y")</f>
        <v>21</v>
      </c>
      <c r="J435" s="52"/>
      <c r="K435" s="53">
        <v>26360</v>
      </c>
      <c r="L435" s="54">
        <v>4</v>
      </c>
    </row>
    <row r="436" spans="1:12" ht="15">
      <c r="A436" s="39" t="s">
        <v>668</v>
      </c>
      <c r="B436" s="46" t="s">
        <v>251</v>
      </c>
      <c r="C436" s="39" t="s">
        <v>417</v>
      </c>
      <c r="D436" s="72">
        <v>281005046</v>
      </c>
      <c r="E436" s="73">
        <v>2527051004</v>
      </c>
      <c r="F436" s="39" t="s">
        <v>247</v>
      </c>
      <c r="G436" s="81">
        <v>40054</v>
      </c>
      <c r="H436" s="105" t="str">
        <f>CHOOSE(MONTH(G436),"January","February","March","April","May","June","July","August","September","October","November","December")</f>
        <v>August</v>
      </c>
      <c r="I436" s="51">
        <f ca="1">DATEDIF(G436,TODAY(),"Y")</f>
        <v>7</v>
      </c>
      <c r="J436" s="52"/>
      <c r="K436" s="53">
        <v>56920</v>
      </c>
      <c r="L436" s="54">
        <v>4</v>
      </c>
    </row>
    <row r="437" spans="1:12" ht="15">
      <c r="A437" s="39" t="s">
        <v>532</v>
      </c>
      <c r="B437" s="46" t="s">
        <v>271</v>
      </c>
      <c r="C437" s="39" t="s">
        <v>456</v>
      </c>
      <c r="D437" s="72">
        <v>244171882</v>
      </c>
      <c r="E437" s="73">
        <v>2527577867</v>
      </c>
      <c r="F437" s="39" t="s">
        <v>261</v>
      </c>
      <c r="G437" s="81">
        <v>34401</v>
      </c>
      <c r="H437" s="105" t="str">
        <f>CHOOSE(MONTH(G437),"January","February","March","April","May","June","July","August","September","October","November","December")</f>
        <v>March</v>
      </c>
      <c r="I437" s="51">
        <f ca="1">DATEDIF(G437,TODAY(),"Y")</f>
        <v>22</v>
      </c>
      <c r="J437" s="52" t="s">
        <v>267</v>
      </c>
      <c r="K437" s="53">
        <v>89780</v>
      </c>
      <c r="L437" s="54">
        <v>4</v>
      </c>
    </row>
    <row r="438" spans="1:12" ht="15">
      <c r="A438" s="39" t="s">
        <v>412</v>
      </c>
      <c r="B438" s="46" t="s">
        <v>251</v>
      </c>
      <c r="C438" s="39" t="s">
        <v>456</v>
      </c>
      <c r="D438" s="72">
        <v>117896630</v>
      </c>
      <c r="E438" s="73">
        <v>9197173558</v>
      </c>
      <c r="F438" s="39" t="s">
        <v>247</v>
      </c>
      <c r="G438" s="81">
        <v>40263</v>
      </c>
      <c r="H438" s="105" t="str">
        <f>CHOOSE(MONTH(G438),"January","February","March","April","May","June","July","August","September","October","November","December")</f>
        <v>March</v>
      </c>
      <c r="I438" s="51">
        <f ca="1">DATEDIF(G438,TODAY(),"Y")</f>
        <v>6</v>
      </c>
      <c r="J438" s="52" t="s">
        <v>267</v>
      </c>
      <c r="K438" s="53">
        <v>71190</v>
      </c>
      <c r="L438" s="54">
        <v>4</v>
      </c>
    </row>
    <row r="439" spans="1:12" ht="15">
      <c r="A439" s="39" t="s">
        <v>698</v>
      </c>
      <c r="B439" s="46" t="s">
        <v>280</v>
      </c>
      <c r="C439" s="39" t="s">
        <v>456</v>
      </c>
      <c r="D439" s="72">
        <v>746497232</v>
      </c>
      <c r="E439" s="73">
        <v>9196681578</v>
      </c>
      <c r="F439" s="39" t="s">
        <v>247</v>
      </c>
      <c r="G439" s="81">
        <v>36673</v>
      </c>
      <c r="H439" s="105" t="str">
        <f>CHOOSE(MONTH(G439),"January","February","March","April","May","June","July","August","September","October","November","December")</f>
        <v>May</v>
      </c>
      <c r="I439" s="51">
        <f ca="1">DATEDIF(G439,TODAY(),"Y")</f>
        <v>16</v>
      </c>
      <c r="J439" s="52" t="s">
        <v>283</v>
      </c>
      <c r="K439" s="53">
        <v>69410</v>
      </c>
      <c r="L439" s="54">
        <v>4</v>
      </c>
    </row>
    <row r="440" spans="1:12" ht="15">
      <c r="A440" s="39" t="s">
        <v>970</v>
      </c>
      <c r="B440" s="46" t="s">
        <v>271</v>
      </c>
      <c r="C440" s="39" t="s">
        <v>465</v>
      </c>
      <c r="D440" s="72">
        <v>371001908</v>
      </c>
      <c r="E440" s="73">
        <v>2527061632</v>
      </c>
      <c r="F440" s="39" t="s">
        <v>256</v>
      </c>
      <c r="G440" s="81">
        <v>35356</v>
      </c>
      <c r="H440" s="105" t="str">
        <f>CHOOSE(MONTH(G440),"January","February","March","April","May","June","July","August","September","October","November","December")</f>
        <v>October</v>
      </c>
      <c r="I440" s="51">
        <f ca="1">DATEDIF(G440,TODAY(),"Y")</f>
        <v>20</v>
      </c>
      <c r="J440" s="52" t="s">
        <v>262</v>
      </c>
      <c r="K440" s="53">
        <v>45480</v>
      </c>
      <c r="L440" s="54">
        <v>4</v>
      </c>
    </row>
    <row r="441" spans="1:12" ht="15">
      <c r="A441" s="39" t="s">
        <v>573</v>
      </c>
      <c r="B441" s="46" t="s">
        <v>251</v>
      </c>
      <c r="C441" s="39" t="s">
        <v>465</v>
      </c>
      <c r="D441" s="72">
        <v>720538680</v>
      </c>
      <c r="E441" s="73">
        <v>2522126686</v>
      </c>
      <c r="F441" s="39" t="s">
        <v>256</v>
      </c>
      <c r="G441" s="81">
        <v>34483</v>
      </c>
      <c r="H441" s="105" t="str">
        <f>CHOOSE(MONTH(G441),"January","February","March","April","May","June","July","August","September","October","November","December")</f>
        <v>May</v>
      </c>
      <c r="I441" s="51">
        <f ca="1">DATEDIF(G441,TODAY(),"Y")</f>
        <v>22</v>
      </c>
      <c r="J441" s="52" t="s">
        <v>257</v>
      </c>
      <c r="K441" s="53">
        <v>81010</v>
      </c>
      <c r="L441" s="54">
        <v>4</v>
      </c>
    </row>
    <row r="442" spans="1:12" ht="15">
      <c r="A442" s="39" t="s">
        <v>1019</v>
      </c>
      <c r="B442" s="46" t="s">
        <v>251</v>
      </c>
      <c r="C442" s="39" t="s">
        <v>465</v>
      </c>
      <c r="D442" s="72">
        <v>240272873</v>
      </c>
      <c r="E442" s="73">
        <v>9198912054</v>
      </c>
      <c r="F442" s="39" t="s">
        <v>247</v>
      </c>
      <c r="G442" s="81">
        <v>38912</v>
      </c>
      <c r="H442" s="105" t="str">
        <f>CHOOSE(MONTH(G442),"January","February","March","April","May","June","July","August","September","October","November","December")</f>
        <v>July</v>
      </c>
      <c r="I442" s="51">
        <f ca="1">DATEDIF(G442,TODAY(),"Y")</f>
        <v>10</v>
      </c>
      <c r="J442" s="52"/>
      <c r="K442" s="53">
        <v>80330</v>
      </c>
      <c r="L442" s="54">
        <v>4</v>
      </c>
    </row>
    <row r="443" spans="1:12" ht="15">
      <c r="A443" s="39" t="s">
        <v>355</v>
      </c>
      <c r="B443" s="46" t="s">
        <v>245</v>
      </c>
      <c r="C443" s="39" t="s">
        <v>465</v>
      </c>
      <c r="D443" s="72">
        <v>138607245</v>
      </c>
      <c r="E443" s="73">
        <v>2522140101</v>
      </c>
      <c r="F443" s="39" t="s">
        <v>247</v>
      </c>
      <c r="G443" s="81">
        <v>34053</v>
      </c>
      <c r="H443" s="105" t="str">
        <f>CHOOSE(MONTH(G443),"January","February","March","April","May","June","July","August","September","October","November","December")</f>
        <v>March</v>
      </c>
      <c r="I443" s="51">
        <f ca="1">DATEDIF(G443,TODAY(),"Y")</f>
        <v>23</v>
      </c>
      <c r="J443" s="52"/>
      <c r="K443" s="53">
        <v>79220</v>
      </c>
      <c r="L443" s="54">
        <v>4</v>
      </c>
    </row>
    <row r="444" spans="1:12" ht="15">
      <c r="A444" s="39" t="s">
        <v>881</v>
      </c>
      <c r="B444" s="46" t="s">
        <v>245</v>
      </c>
      <c r="C444" s="39" t="s">
        <v>465</v>
      </c>
      <c r="D444" s="72">
        <v>159117255</v>
      </c>
      <c r="E444" s="73">
        <v>9198426889</v>
      </c>
      <c r="F444" s="39" t="s">
        <v>247</v>
      </c>
      <c r="G444" s="81">
        <v>39830</v>
      </c>
      <c r="H444" s="105" t="str">
        <f>CHOOSE(MONTH(G444),"January","February","March","April","May","June","July","August","September","October","November","December")</f>
        <v>January</v>
      </c>
      <c r="I444" s="51">
        <f ca="1">DATEDIF(G444,TODAY(),"Y")</f>
        <v>7</v>
      </c>
      <c r="J444" s="52"/>
      <c r="K444" s="53">
        <v>78520</v>
      </c>
      <c r="L444" s="54">
        <v>4</v>
      </c>
    </row>
    <row r="445" spans="1:12" ht="15">
      <c r="A445" s="39" t="s">
        <v>857</v>
      </c>
      <c r="B445" s="46" t="s">
        <v>266</v>
      </c>
      <c r="C445" s="39" t="s">
        <v>465</v>
      </c>
      <c r="D445" s="72">
        <v>484217278</v>
      </c>
      <c r="E445" s="73">
        <v>9195627374</v>
      </c>
      <c r="F445" s="39" t="s">
        <v>252</v>
      </c>
      <c r="G445" s="81">
        <v>39747</v>
      </c>
      <c r="H445" s="105" t="str">
        <f>CHOOSE(MONTH(G445),"January","February","March","April","May","June","July","August","September","October","November","December")</f>
        <v>October</v>
      </c>
      <c r="I445" s="51">
        <f ca="1">DATEDIF(G445,TODAY(),"Y")</f>
        <v>8</v>
      </c>
      <c r="J445" s="52"/>
      <c r="K445" s="53">
        <v>10572</v>
      </c>
      <c r="L445" s="54">
        <v>4</v>
      </c>
    </row>
    <row r="446" spans="1:12" ht="15">
      <c r="A446" s="39" t="s">
        <v>691</v>
      </c>
      <c r="B446" s="46" t="s">
        <v>271</v>
      </c>
      <c r="C446" s="39" t="s">
        <v>465</v>
      </c>
      <c r="D446" s="72">
        <v>914326052</v>
      </c>
      <c r="E446" s="73">
        <v>2524249228</v>
      </c>
      <c r="F446" s="39" t="s">
        <v>256</v>
      </c>
      <c r="G446" s="81">
        <v>36535</v>
      </c>
      <c r="H446" s="105" t="str">
        <f>CHOOSE(MONTH(G446),"January","February","March","April","May","June","July","August","September","October","November","December")</f>
        <v>January</v>
      </c>
      <c r="I446" s="51">
        <f ca="1">DATEDIF(G446,TODAY(),"Y")</f>
        <v>16</v>
      </c>
      <c r="J446" s="52" t="s">
        <v>257</v>
      </c>
      <c r="K446" s="53">
        <v>76192</v>
      </c>
      <c r="L446" s="54">
        <v>4</v>
      </c>
    </row>
    <row r="447" spans="1:12" ht="15">
      <c r="A447" s="39" t="s">
        <v>550</v>
      </c>
      <c r="B447" s="46" t="s">
        <v>280</v>
      </c>
      <c r="C447" s="39" t="s">
        <v>465</v>
      </c>
      <c r="D447" s="72">
        <v>504914685</v>
      </c>
      <c r="E447" s="73">
        <v>9195250630</v>
      </c>
      <c r="F447" s="39" t="s">
        <v>256</v>
      </c>
      <c r="G447" s="81">
        <v>36084</v>
      </c>
      <c r="H447" s="105" t="str">
        <f>CHOOSE(MONTH(G447),"January","February","March","April","May","June","July","August","September","October","November","December")</f>
        <v>October</v>
      </c>
      <c r="I447" s="51">
        <f ca="1">DATEDIF(G447,TODAY(),"Y")</f>
        <v>18</v>
      </c>
      <c r="J447" s="52" t="s">
        <v>257</v>
      </c>
      <c r="K447" s="53">
        <v>33210</v>
      </c>
      <c r="L447" s="54">
        <v>4</v>
      </c>
    </row>
    <row r="448" spans="1:12" ht="15">
      <c r="A448" s="39" t="s">
        <v>789</v>
      </c>
      <c r="B448" s="46" t="s">
        <v>271</v>
      </c>
      <c r="C448" s="39" t="s">
        <v>465</v>
      </c>
      <c r="D448" s="72">
        <v>506577536</v>
      </c>
      <c r="E448" s="73">
        <v>2524999647</v>
      </c>
      <c r="F448" s="39" t="s">
        <v>252</v>
      </c>
      <c r="G448" s="81">
        <v>36305</v>
      </c>
      <c r="H448" s="105" t="str">
        <f>CHOOSE(MONTH(G448),"January","February","March","April","May","June","July","August","September","October","November","December")</f>
        <v>May</v>
      </c>
      <c r="I448" s="51">
        <f ca="1">DATEDIF(G448,TODAY(),"Y")</f>
        <v>17</v>
      </c>
      <c r="J448" s="52"/>
      <c r="K448" s="53">
        <v>9424</v>
      </c>
      <c r="L448" s="54">
        <v>4</v>
      </c>
    </row>
    <row r="449" spans="1:12" ht="15">
      <c r="A449" s="39" t="s">
        <v>879</v>
      </c>
      <c r="B449" s="46" t="s">
        <v>271</v>
      </c>
      <c r="C449" s="39" t="s">
        <v>465</v>
      </c>
      <c r="D449" s="72">
        <v>384454025</v>
      </c>
      <c r="E449" s="73">
        <v>2522064219</v>
      </c>
      <c r="F449" s="39" t="s">
        <v>247</v>
      </c>
      <c r="G449" s="81">
        <v>36455</v>
      </c>
      <c r="H449" s="105" t="str">
        <f>CHOOSE(MONTH(G449),"January","February","March","April","May","June","July","August","September","October","November","December")</f>
        <v>October</v>
      </c>
      <c r="I449" s="51">
        <f ca="1">DATEDIF(G449,TODAY(),"Y")</f>
        <v>17</v>
      </c>
      <c r="J449" s="52"/>
      <c r="K449" s="53">
        <v>23810</v>
      </c>
      <c r="L449" s="54">
        <v>4</v>
      </c>
    </row>
    <row r="450" spans="1:12" ht="15">
      <c r="A450" s="39" t="s">
        <v>749</v>
      </c>
      <c r="B450" s="46" t="s">
        <v>280</v>
      </c>
      <c r="C450" s="39" t="s">
        <v>465</v>
      </c>
      <c r="D450" s="72">
        <v>993383806</v>
      </c>
      <c r="E450" s="73">
        <v>2521810581</v>
      </c>
      <c r="F450" s="39" t="s">
        <v>252</v>
      </c>
      <c r="G450" s="81">
        <v>36067</v>
      </c>
      <c r="H450" s="105" t="str">
        <f>CHOOSE(MONTH(G450),"January","February","March","April","May","June","July","August","September","October","November","December")</f>
        <v>September</v>
      </c>
      <c r="I450" s="51">
        <f ca="1">DATEDIF(G450,TODAY(),"Y")</f>
        <v>18</v>
      </c>
      <c r="J450" s="52"/>
      <c r="K450" s="53">
        <v>37612</v>
      </c>
      <c r="L450" s="54">
        <v>4</v>
      </c>
    </row>
    <row r="451" spans="1:12" ht="15">
      <c r="A451" s="39" t="s">
        <v>654</v>
      </c>
      <c r="B451" s="46" t="s">
        <v>245</v>
      </c>
      <c r="C451" s="39" t="s">
        <v>465</v>
      </c>
      <c r="D451" s="72">
        <v>328787467</v>
      </c>
      <c r="E451" s="73">
        <v>9194897618</v>
      </c>
      <c r="F451" s="39" t="s">
        <v>252</v>
      </c>
      <c r="G451" s="81">
        <v>39087</v>
      </c>
      <c r="H451" s="105" t="str">
        <f>CHOOSE(MONTH(G451),"January","February","March","April","May","June","July","August","September","October","November","December")</f>
        <v>January</v>
      </c>
      <c r="I451" s="51">
        <f ca="1">DATEDIF(G451,TODAY(),"Y")</f>
        <v>9</v>
      </c>
      <c r="J451" s="52"/>
      <c r="K451" s="53">
        <v>14416</v>
      </c>
      <c r="L451" s="54">
        <v>4</v>
      </c>
    </row>
    <row r="452" spans="1:12" ht="15">
      <c r="A452" s="39" t="s">
        <v>748</v>
      </c>
      <c r="B452" s="46" t="s">
        <v>245</v>
      </c>
      <c r="C452" s="39" t="s">
        <v>465</v>
      </c>
      <c r="D452" s="72">
        <v>405396173</v>
      </c>
      <c r="E452" s="73">
        <v>2521777060</v>
      </c>
      <c r="F452" s="39" t="s">
        <v>256</v>
      </c>
      <c r="G452" s="81">
        <v>38733</v>
      </c>
      <c r="H452" s="105" t="str">
        <f>CHOOSE(MONTH(G452),"January","February","March","April","May","June","July","August","September","October","November","December")</f>
        <v>January</v>
      </c>
      <c r="I452" s="51">
        <f ca="1">DATEDIF(G452,TODAY(),"Y")</f>
        <v>10</v>
      </c>
      <c r="J452" s="52" t="s">
        <v>276</v>
      </c>
      <c r="K452" s="53">
        <v>68710</v>
      </c>
      <c r="L452" s="54">
        <v>4</v>
      </c>
    </row>
    <row r="453" spans="1:12" ht="15">
      <c r="A453" s="39" t="s">
        <v>669</v>
      </c>
      <c r="B453" s="46" t="s">
        <v>285</v>
      </c>
      <c r="C453" s="39" t="s">
        <v>465</v>
      </c>
      <c r="D453" s="72">
        <v>565952209</v>
      </c>
      <c r="E453" s="73">
        <v>2522889972</v>
      </c>
      <c r="F453" s="39" t="s">
        <v>256</v>
      </c>
      <c r="G453" s="81">
        <v>34971</v>
      </c>
      <c r="H453" s="105" t="str">
        <f>CHOOSE(MONTH(G453),"January","February","March","April","May","June","July","August","September","October","November","December")</f>
        <v>September</v>
      </c>
      <c r="I453" s="51">
        <f ca="1">DATEDIF(G453,TODAY(),"Y")</f>
        <v>21</v>
      </c>
      <c r="J453" s="52" t="s">
        <v>283</v>
      </c>
      <c r="K453" s="53">
        <v>67050</v>
      </c>
      <c r="L453" s="54">
        <v>4</v>
      </c>
    </row>
    <row r="454" spans="1:12" ht="15">
      <c r="A454" s="39" t="s">
        <v>559</v>
      </c>
      <c r="B454" s="46" t="s">
        <v>245</v>
      </c>
      <c r="C454" s="39" t="s">
        <v>465</v>
      </c>
      <c r="D454" s="72">
        <v>427260216</v>
      </c>
      <c r="E454" s="73">
        <v>9198999194</v>
      </c>
      <c r="F454" s="39" t="s">
        <v>261</v>
      </c>
      <c r="G454" s="81">
        <v>34163</v>
      </c>
      <c r="H454" s="105" t="str">
        <f>CHOOSE(MONTH(G454),"January","February","March","April","May","June","July","August","September","October","November","December")</f>
        <v>July</v>
      </c>
      <c r="I454" s="51">
        <f ca="1">DATEDIF(G454,TODAY(),"Y")</f>
        <v>23</v>
      </c>
      <c r="J454" s="52" t="s">
        <v>262</v>
      </c>
      <c r="K454" s="53">
        <v>18895</v>
      </c>
      <c r="L454" s="54">
        <v>4</v>
      </c>
    </row>
    <row r="455" spans="1:12" ht="15">
      <c r="A455" s="39" t="s">
        <v>316</v>
      </c>
      <c r="B455" s="46" t="s">
        <v>251</v>
      </c>
      <c r="C455" s="39" t="s">
        <v>465</v>
      </c>
      <c r="D455" s="72">
        <v>884025623</v>
      </c>
      <c r="E455" s="73">
        <v>2521280865</v>
      </c>
      <c r="F455" s="39" t="s">
        <v>247</v>
      </c>
      <c r="G455" s="81">
        <v>34031</v>
      </c>
      <c r="H455" s="105" t="str">
        <f>CHOOSE(MONTH(G455),"January","February","March","April","May","June","July","August","September","October","November","December")</f>
        <v>March</v>
      </c>
      <c r="I455" s="51">
        <f ca="1">DATEDIF(G455,TODAY(),"Y")</f>
        <v>23</v>
      </c>
      <c r="J455" s="52"/>
      <c r="K455" s="53">
        <v>64430</v>
      </c>
      <c r="L455" s="54">
        <v>4</v>
      </c>
    </row>
    <row r="456" spans="1:12" ht="15">
      <c r="A456" s="39" t="s">
        <v>825</v>
      </c>
      <c r="B456" s="46" t="s">
        <v>245</v>
      </c>
      <c r="C456" s="39" t="s">
        <v>465</v>
      </c>
      <c r="D456" s="72">
        <v>318068637</v>
      </c>
      <c r="E456" s="73">
        <v>9193709408</v>
      </c>
      <c r="F456" s="39" t="s">
        <v>247</v>
      </c>
      <c r="G456" s="81">
        <v>39538</v>
      </c>
      <c r="H456" s="105" t="str">
        <f>CHOOSE(MONTH(G456),"January","February","March","April","May","June","July","August","September","October","November","December")</f>
        <v>March</v>
      </c>
      <c r="I456" s="51">
        <f ca="1">DATEDIF(G456,TODAY(),"Y")</f>
        <v>8</v>
      </c>
      <c r="J456" s="52"/>
      <c r="K456" s="53">
        <v>62780</v>
      </c>
      <c r="L456" s="54">
        <v>4</v>
      </c>
    </row>
    <row r="457" spans="1:12" ht="15">
      <c r="A457" s="39" t="s">
        <v>492</v>
      </c>
      <c r="B457" s="46" t="s">
        <v>271</v>
      </c>
      <c r="C457" s="39" t="s">
        <v>465</v>
      </c>
      <c r="D457" s="72">
        <v>931105030</v>
      </c>
      <c r="E457" s="73">
        <v>9191397811</v>
      </c>
      <c r="F457" s="39" t="s">
        <v>256</v>
      </c>
      <c r="G457" s="81">
        <v>36273</v>
      </c>
      <c r="H457" s="105" t="str">
        <f>CHOOSE(MONTH(G457),"January","February","March","April","May","June","July","August","September","October","November","December")</f>
        <v>April</v>
      </c>
      <c r="I457" s="51">
        <f ca="1">DATEDIF(G457,TODAY(),"Y")</f>
        <v>17</v>
      </c>
      <c r="J457" s="52" t="s">
        <v>283</v>
      </c>
      <c r="K457" s="53">
        <v>61330</v>
      </c>
      <c r="L457" s="54">
        <v>4</v>
      </c>
    </row>
    <row r="458" spans="1:12" ht="15">
      <c r="A458" s="39" t="s">
        <v>525</v>
      </c>
      <c r="B458" s="46" t="s">
        <v>280</v>
      </c>
      <c r="C458" s="39" t="s">
        <v>465</v>
      </c>
      <c r="D458" s="72">
        <v>466293520</v>
      </c>
      <c r="E458" s="73">
        <v>2524442142</v>
      </c>
      <c r="F458" s="39" t="s">
        <v>252</v>
      </c>
      <c r="G458" s="81">
        <v>33751</v>
      </c>
      <c r="H458" s="105" t="str">
        <f>CHOOSE(MONTH(G458),"January","February","March","April","May","June","July","August","September","October","November","December")</f>
        <v>May</v>
      </c>
      <c r="I458" s="51">
        <f ca="1">DATEDIF(G458,TODAY(),"Y")</f>
        <v>24</v>
      </c>
      <c r="J458" s="52"/>
      <c r="K458" s="53">
        <v>22344</v>
      </c>
      <c r="L458" s="54">
        <v>4</v>
      </c>
    </row>
    <row r="459" spans="1:12" ht="15">
      <c r="A459" s="39" t="s">
        <v>588</v>
      </c>
      <c r="B459" s="46" t="s">
        <v>271</v>
      </c>
      <c r="C459" s="39" t="s">
        <v>465</v>
      </c>
      <c r="D459" s="72">
        <v>259573806</v>
      </c>
      <c r="E459" s="73">
        <v>9193302808</v>
      </c>
      <c r="F459" s="39" t="s">
        <v>256</v>
      </c>
      <c r="G459" s="81">
        <v>33648</v>
      </c>
      <c r="H459" s="105" t="str">
        <f>CHOOSE(MONTH(G459),"January","February","March","April","May","June","July","August","September","October","November","December")</f>
        <v>February</v>
      </c>
      <c r="I459" s="51">
        <f ca="1">DATEDIF(G459,TODAY(),"Y")</f>
        <v>24</v>
      </c>
      <c r="J459" s="52" t="s">
        <v>276</v>
      </c>
      <c r="K459" s="53">
        <v>60380</v>
      </c>
      <c r="L459" s="54">
        <v>4</v>
      </c>
    </row>
    <row r="460" spans="1:12" ht="15">
      <c r="A460" s="39" t="s">
        <v>341</v>
      </c>
      <c r="B460" s="46" t="s">
        <v>266</v>
      </c>
      <c r="C460" s="39" t="s">
        <v>465</v>
      </c>
      <c r="D460" s="72">
        <v>292993080</v>
      </c>
      <c r="E460" s="73">
        <v>2525085320</v>
      </c>
      <c r="F460" s="39" t="s">
        <v>256</v>
      </c>
      <c r="G460" s="81">
        <v>39455</v>
      </c>
      <c r="H460" s="105" t="str">
        <f>CHOOSE(MONTH(G460),"January","February","March","April","May","June","July","August","September","October","November","December")</f>
        <v>January</v>
      </c>
      <c r="I460" s="51">
        <f ca="1">DATEDIF(G460,TODAY(),"Y")</f>
        <v>8</v>
      </c>
      <c r="J460" s="52" t="s">
        <v>283</v>
      </c>
      <c r="K460" s="53">
        <v>59420</v>
      </c>
      <c r="L460" s="54">
        <v>4</v>
      </c>
    </row>
    <row r="461" spans="1:12" ht="15">
      <c r="A461" s="39" t="s">
        <v>966</v>
      </c>
      <c r="B461" s="46" t="s">
        <v>280</v>
      </c>
      <c r="C461" s="39" t="s">
        <v>465</v>
      </c>
      <c r="D461" s="72">
        <v>725737456</v>
      </c>
      <c r="E461" s="73">
        <v>9191847141</v>
      </c>
      <c r="F461" s="39" t="s">
        <v>247</v>
      </c>
      <c r="G461" s="81">
        <v>38874</v>
      </c>
      <c r="H461" s="105" t="str">
        <f>CHOOSE(MONTH(G461),"January","February","March","April","May","June","July","August","September","October","November","December")</f>
        <v>June</v>
      </c>
      <c r="I461" s="51">
        <f ca="1">DATEDIF(G461,TODAY(),"Y")</f>
        <v>10</v>
      </c>
      <c r="J461" s="52"/>
      <c r="K461" s="53">
        <v>59330</v>
      </c>
      <c r="L461" s="54">
        <v>4</v>
      </c>
    </row>
    <row r="462" spans="1:12" ht="15">
      <c r="A462" s="39" t="s">
        <v>527</v>
      </c>
      <c r="B462" s="46" t="s">
        <v>266</v>
      </c>
      <c r="C462" s="39" t="s">
        <v>465</v>
      </c>
      <c r="D462" s="72">
        <v>523758324</v>
      </c>
      <c r="E462" s="73">
        <v>9191308831</v>
      </c>
      <c r="F462" s="39" t="s">
        <v>256</v>
      </c>
      <c r="G462" s="81">
        <v>35361</v>
      </c>
      <c r="H462" s="105" t="str">
        <f>CHOOSE(MONTH(G462),"January","February","March","April","May","June","July","August","September","October","November","December")</f>
        <v>October</v>
      </c>
      <c r="I462" s="51">
        <f ca="1">DATEDIF(G462,TODAY(),"Y")</f>
        <v>20</v>
      </c>
      <c r="J462" s="52" t="s">
        <v>257</v>
      </c>
      <c r="K462" s="53">
        <v>59320</v>
      </c>
      <c r="L462" s="54">
        <v>4</v>
      </c>
    </row>
    <row r="463" spans="1:12" ht="15">
      <c r="A463" s="39" t="s">
        <v>560</v>
      </c>
      <c r="B463" s="46" t="s">
        <v>280</v>
      </c>
      <c r="C463" s="39" t="s">
        <v>465</v>
      </c>
      <c r="D463" s="72">
        <v>487810878</v>
      </c>
      <c r="E463" s="73">
        <v>9194555389</v>
      </c>
      <c r="F463" s="39" t="s">
        <v>256</v>
      </c>
      <c r="G463" s="81">
        <v>34068</v>
      </c>
      <c r="H463" s="105" t="str">
        <f>CHOOSE(MONTH(G463),"January","February","March","April","May","June","July","August","September","October","November","December")</f>
        <v>April</v>
      </c>
      <c r="I463" s="51">
        <f ca="1">DATEDIF(G463,TODAY(),"Y")</f>
        <v>23</v>
      </c>
      <c r="J463" s="52" t="s">
        <v>283</v>
      </c>
      <c r="K463" s="53">
        <v>23330</v>
      </c>
      <c r="L463" s="54">
        <v>4</v>
      </c>
    </row>
    <row r="464" spans="1:12" ht="15">
      <c r="A464" s="39" t="s">
        <v>674</v>
      </c>
      <c r="B464" s="46" t="s">
        <v>280</v>
      </c>
      <c r="C464" s="39" t="s">
        <v>465</v>
      </c>
      <c r="D464" s="72">
        <v>312019803</v>
      </c>
      <c r="E464" s="73">
        <v>9197961953</v>
      </c>
      <c r="F464" s="39" t="s">
        <v>256</v>
      </c>
      <c r="G464" s="81">
        <v>37229</v>
      </c>
      <c r="H464" s="105" t="str">
        <f>CHOOSE(MONTH(G464),"January","February","March","April","May","June","July","August","September","October","November","December")</f>
        <v>December</v>
      </c>
      <c r="I464" s="51">
        <f ca="1">DATEDIF(G464,TODAY(),"Y")</f>
        <v>14</v>
      </c>
      <c r="J464" s="52" t="s">
        <v>283</v>
      </c>
      <c r="K464" s="53">
        <v>25310</v>
      </c>
      <c r="L464" s="54">
        <v>4</v>
      </c>
    </row>
    <row r="465" spans="1:12" ht="15">
      <c r="A465" s="39" t="s">
        <v>837</v>
      </c>
      <c r="B465" s="46" t="s">
        <v>285</v>
      </c>
      <c r="C465" s="39" t="s">
        <v>465</v>
      </c>
      <c r="D465" s="72">
        <v>399060898</v>
      </c>
      <c r="E465" s="73">
        <v>9195197037</v>
      </c>
      <c r="F465" s="39" t="s">
        <v>247</v>
      </c>
      <c r="G465" s="81">
        <v>38321</v>
      </c>
      <c r="H465" s="105" t="str">
        <f>CHOOSE(MONTH(G465),"January","February","March","April","May","June","July","August","September","October","November","December")</f>
        <v>November</v>
      </c>
      <c r="I465" s="51">
        <f ca="1">DATEDIF(G465,TODAY(),"Y")</f>
        <v>11</v>
      </c>
      <c r="J465" s="52"/>
      <c r="K465" s="53">
        <v>37980</v>
      </c>
      <c r="L465" s="54">
        <v>4</v>
      </c>
    </row>
    <row r="466" spans="1:12" ht="15">
      <c r="A466" s="39" t="s">
        <v>481</v>
      </c>
      <c r="B466" s="46" t="s">
        <v>271</v>
      </c>
      <c r="C466" s="39" t="s">
        <v>465</v>
      </c>
      <c r="D466" s="72">
        <v>592631929</v>
      </c>
      <c r="E466" s="73">
        <v>2523922629</v>
      </c>
      <c r="F466" s="39" t="s">
        <v>247</v>
      </c>
      <c r="G466" s="81">
        <v>35349</v>
      </c>
      <c r="H466" s="105" t="str">
        <f>CHOOSE(MONTH(G466),"January","February","March","April","May","June","July","August","September","October","November","December")</f>
        <v>October</v>
      </c>
      <c r="I466" s="51">
        <f ca="1">DATEDIF(G466,TODAY(),"Y")</f>
        <v>20</v>
      </c>
      <c r="J466" s="52"/>
      <c r="K466" s="53">
        <v>52940</v>
      </c>
      <c r="L466" s="54">
        <v>4</v>
      </c>
    </row>
    <row r="467" spans="1:12" ht="15">
      <c r="A467" s="39" t="s">
        <v>615</v>
      </c>
      <c r="B467" s="46" t="s">
        <v>271</v>
      </c>
      <c r="C467" s="39" t="s">
        <v>465</v>
      </c>
      <c r="D467" s="72">
        <v>806508287</v>
      </c>
      <c r="E467" s="73">
        <v>2528801464</v>
      </c>
      <c r="F467" s="39" t="s">
        <v>256</v>
      </c>
      <c r="G467" s="81">
        <v>33631</v>
      </c>
      <c r="H467" s="105" t="str">
        <f>CHOOSE(MONTH(G467),"January","February","March","April","May","June","July","August","September","October","November","December")</f>
        <v>January</v>
      </c>
      <c r="I467" s="51">
        <f ca="1">DATEDIF(G467,TODAY(),"Y")</f>
        <v>24</v>
      </c>
      <c r="J467" s="52" t="s">
        <v>257</v>
      </c>
      <c r="K467" s="53">
        <v>52940</v>
      </c>
      <c r="L467" s="54">
        <v>4</v>
      </c>
    </row>
    <row r="468" spans="1:12" ht="15">
      <c r="A468" s="39" t="s">
        <v>1013</v>
      </c>
      <c r="B468" s="46" t="s">
        <v>271</v>
      </c>
      <c r="C468" s="39" t="s">
        <v>465</v>
      </c>
      <c r="D468" s="72">
        <v>665773893</v>
      </c>
      <c r="E468" s="73">
        <v>9198857217</v>
      </c>
      <c r="F468" s="39" t="s">
        <v>252</v>
      </c>
      <c r="G468" s="81">
        <v>40574</v>
      </c>
      <c r="H468" s="105" t="str">
        <f>CHOOSE(MONTH(G468),"January","February","March","April","May","June","July","August","September","October","November","December")</f>
        <v>January</v>
      </c>
      <c r="I468" s="51">
        <f ca="1">DATEDIF(G468,TODAY(),"Y")</f>
        <v>5</v>
      </c>
      <c r="J468" s="52"/>
      <c r="K468" s="53">
        <v>28424</v>
      </c>
      <c r="L468" s="54">
        <v>4</v>
      </c>
    </row>
    <row r="469" spans="1:12" ht="15">
      <c r="A469" s="39" t="s">
        <v>889</v>
      </c>
      <c r="B469" s="46" t="s">
        <v>245</v>
      </c>
      <c r="C469" s="39" t="s">
        <v>618</v>
      </c>
      <c r="D469" s="72">
        <v>292006053</v>
      </c>
      <c r="E469" s="73">
        <v>9197045091</v>
      </c>
      <c r="F469" s="39" t="s">
        <v>247</v>
      </c>
      <c r="G469" s="81">
        <v>36765</v>
      </c>
      <c r="H469" s="105" t="str">
        <f>CHOOSE(MONTH(G469),"January","February","March","April","May","June","July","August","September","October","November","December")</f>
        <v>August</v>
      </c>
      <c r="I469" s="51">
        <f ca="1">DATEDIF(G469,TODAY(),"Y")</f>
        <v>16</v>
      </c>
      <c r="J469" s="52"/>
      <c r="K469" s="53">
        <v>74500</v>
      </c>
      <c r="L469" s="54">
        <v>4</v>
      </c>
    </row>
    <row r="470" spans="1:12" ht="15">
      <c r="A470" s="39" t="s">
        <v>612</v>
      </c>
      <c r="B470" s="46" t="s">
        <v>245</v>
      </c>
      <c r="C470" s="39" t="s">
        <v>618</v>
      </c>
      <c r="D470" s="72">
        <v>620072502</v>
      </c>
      <c r="E470" s="73">
        <v>9191264013</v>
      </c>
      <c r="F470" s="39" t="s">
        <v>256</v>
      </c>
      <c r="G470" s="81">
        <v>39038</v>
      </c>
      <c r="H470" s="105" t="str">
        <f>CHOOSE(MONTH(G470),"January","February","March","April","May","June","July","August","September","October","November","December")</f>
        <v>November</v>
      </c>
      <c r="I470" s="51">
        <f ca="1">DATEDIF(G470,TODAY(),"Y")</f>
        <v>9</v>
      </c>
      <c r="J470" s="52" t="s">
        <v>276</v>
      </c>
      <c r="K470" s="53">
        <v>71400</v>
      </c>
      <c r="L470" s="54">
        <v>4</v>
      </c>
    </row>
    <row r="471" spans="1:12" ht="15">
      <c r="A471" s="39" t="s">
        <v>761</v>
      </c>
      <c r="B471" s="46" t="s">
        <v>245</v>
      </c>
      <c r="C471" s="39" t="s">
        <v>626</v>
      </c>
      <c r="D471" s="72">
        <v>343897392</v>
      </c>
      <c r="E471" s="73">
        <v>2526674988</v>
      </c>
      <c r="F471" s="39" t="s">
        <v>256</v>
      </c>
      <c r="G471" s="81">
        <v>35254</v>
      </c>
      <c r="H471" s="105" t="str">
        <f>CHOOSE(MONTH(G471),"January","February","March","April","May","June","July","August","September","October","November","December")</f>
        <v>July</v>
      </c>
      <c r="I471" s="51">
        <f ca="1">DATEDIF(G471,TODAY(),"Y")</f>
        <v>20</v>
      </c>
      <c r="J471" s="52" t="s">
        <v>257</v>
      </c>
      <c r="K471" s="53">
        <v>48800</v>
      </c>
      <c r="L471" s="54">
        <v>4</v>
      </c>
    </row>
    <row r="472" spans="1:12" ht="15">
      <c r="A472" s="39" t="s">
        <v>431</v>
      </c>
      <c r="B472" s="46" t="s">
        <v>285</v>
      </c>
      <c r="C472" s="39" t="s">
        <v>626</v>
      </c>
      <c r="D472" s="72">
        <v>443476169</v>
      </c>
      <c r="E472" s="73">
        <v>9195085809</v>
      </c>
      <c r="F472" s="39" t="s">
        <v>256</v>
      </c>
      <c r="G472" s="81">
        <v>34067</v>
      </c>
      <c r="H472" s="105" t="str">
        <f>CHOOSE(MONTH(G472),"January","February","March","April","May","June","July","August","September","October","November","December")</f>
        <v>April</v>
      </c>
      <c r="I472" s="51">
        <f ca="1">DATEDIF(G472,TODAY(),"Y")</f>
        <v>23</v>
      </c>
      <c r="J472" s="52" t="s">
        <v>267</v>
      </c>
      <c r="K472" s="53">
        <v>86540</v>
      </c>
      <c r="L472" s="54">
        <v>4</v>
      </c>
    </row>
    <row r="473" spans="1:12" ht="15">
      <c r="A473" s="39" t="s">
        <v>407</v>
      </c>
      <c r="B473" s="46" t="s">
        <v>285</v>
      </c>
      <c r="C473" s="39" t="s">
        <v>626</v>
      </c>
      <c r="D473" s="72">
        <v>983891302</v>
      </c>
      <c r="E473" s="73">
        <v>9191462245</v>
      </c>
      <c r="F473" s="39" t="s">
        <v>256</v>
      </c>
      <c r="G473" s="81">
        <v>35547</v>
      </c>
      <c r="H473" s="105" t="str">
        <f>CHOOSE(MONTH(G473),"January","February","March","April","May","June","July","August","September","October","November","December")</f>
        <v>April</v>
      </c>
      <c r="I473" s="51">
        <f ca="1">DATEDIF(G473,TODAY(),"Y")</f>
        <v>19</v>
      </c>
      <c r="J473" s="52" t="s">
        <v>257</v>
      </c>
      <c r="K473" s="53">
        <v>81640</v>
      </c>
      <c r="L473" s="54">
        <v>4</v>
      </c>
    </row>
    <row r="474" spans="1:12" ht="15">
      <c r="A474" s="39" t="s">
        <v>336</v>
      </c>
      <c r="B474" s="46" t="s">
        <v>271</v>
      </c>
      <c r="C474" s="39" t="s">
        <v>626</v>
      </c>
      <c r="D474" s="72">
        <v>393290045</v>
      </c>
      <c r="E474" s="73">
        <v>2525268508</v>
      </c>
      <c r="F474" s="39" t="s">
        <v>261</v>
      </c>
      <c r="G474" s="81">
        <v>37166</v>
      </c>
      <c r="H474" s="105" t="str">
        <f>CHOOSE(MONTH(G474),"January","February","March","April","May","June","July","August","September","October","November","December")</f>
        <v>October</v>
      </c>
      <c r="I474" s="51">
        <f ca="1">DATEDIF(G474,TODAY(),"Y")</f>
        <v>15</v>
      </c>
      <c r="J474" s="52" t="s">
        <v>262</v>
      </c>
      <c r="K474" s="53">
        <v>47295</v>
      </c>
      <c r="L474" s="54">
        <v>4</v>
      </c>
    </row>
    <row r="475" spans="1:12" ht="15">
      <c r="A475" s="39" t="s">
        <v>798</v>
      </c>
      <c r="B475" s="46" t="s">
        <v>271</v>
      </c>
      <c r="C475" s="39" t="s">
        <v>626</v>
      </c>
      <c r="D475" s="72">
        <v>999156829</v>
      </c>
      <c r="E475" s="73">
        <v>2521401774</v>
      </c>
      <c r="F475" s="39" t="s">
        <v>256</v>
      </c>
      <c r="G475" s="81">
        <v>40447</v>
      </c>
      <c r="H475" s="105" t="str">
        <f>CHOOSE(MONTH(G475),"January","February","March","April","May","June","July","August","September","October","November","December")</f>
        <v>September</v>
      </c>
      <c r="I475" s="51">
        <f ca="1">DATEDIF(G475,TODAY(),"Y")</f>
        <v>6</v>
      </c>
      <c r="J475" s="52" t="s">
        <v>257</v>
      </c>
      <c r="K475" s="53">
        <v>33970</v>
      </c>
      <c r="L475" s="54">
        <v>4</v>
      </c>
    </row>
    <row r="476" spans="1:12" ht="15">
      <c r="A476" s="39" t="s">
        <v>934</v>
      </c>
      <c r="B476" s="46" t="s">
        <v>271</v>
      </c>
      <c r="C476" s="39" t="s">
        <v>626</v>
      </c>
      <c r="D476" s="72">
        <v>555025137</v>
      </c>
      <c r="E476" s="73">
        <v>2526565171</v>
      </c>
      <c r="F476" s="39" t="s">
        <v>261</v>
      </c>
      <c r="G476" s="81">
        <v>33319</v>
      </c>
      <c r="H476" s="105" t="str">
        <f>CHOOSE(MONTH(G476),"January","February","March","April","May","June","July","August","September","October","November","December")</f>
        <v>March</v>
      </c>
      <c r="I476" s="51">
        <f ca="1">DATEDIF(G476,TODAY(),"Y")</f>
        <v>25</v>
      </c>
      <c r="J476" s="52" t="s">
        <v>267</v>
      </c>
      <c r="K476" s="53">
        <v>13090</v>
      </c>
      <c r="L476" s="54">
        <v>4</v>
      </c>
    </row>
    <row r="477" spans="1:12" ht="15">
      <c r="A477" s="39" t="s">
        <v>891</v>
      </c>
      <c r="B477" s="46" t="s">
        <v>245</v>
      </c>
      <c r="C477" s="39" t="s">
        <v>626</v>
      </c>
      <c r="D477" s="72">
        <v>917714039</v>
      </c>
      <c r="E477" s="73">
        <v>9194402150</v>
      </c>
      <c r="F477" s="39" t="s">
        <v>256</v>
      </c>
      <c r="G477" s="81">
        <v>35220</v>
      </c>
      <c r="H477" s="105" t="str">
        <f>CHOOSE(MONTH(G477),"January","February","March","April","May","June","July","August","September","October","November","December")</f>
        <v>June</v>
      </c>
      <c r="I477" s="51">
        <f ca="1">DATEDIF(G477,TODAY(),"Y")</f>
        <v>20</v>
      </c>
      <c r="J477" s="52" t="s">
        <v>267</v>
      </c>
      <c r="K477" s="53">
        <v>70480</v>
      </c>
      <c r="L477" s="54">
        <v>4</v>
      </c>
    </row>
    <row r="478" spans="1:12" ht="15">
      <c r="A478" s="39" t="s">
        <v>565</v>
      </c>
      <c r="B478" s="46" t="s">
        <v>285</v>
      </c>
      <c r="C478" s="39" t="s">
        <v>626</v>
      </c>
      <c r="D478" s="72">
        <v>643272576</v>
      </c>
      <c r="E478" s="73">
        <v>2522256131</v>
      </c>
      <c r="F478" s="39" t="s">
        <v>252</v>
      </c>
      <c r="G478" s="81">
        <v>33305</v>
      </c>
      <c r="H478" s="105" t="str">
        <f>CHOOSE(MONTH(G478),"January","February","March","April","May","June","July","August","September","October","November","December")</f>
        <v>March</v>
      </c>
      <c r="I478" s="51">
        <f ca="1">DATEDIF(G478,TODAY(),"Y")</f>
        <v>25</v>
      </c>
      <c r="J478" s="52"/>
      <c r="K478" s="53">
        <v>36844</v>
      </c>
      <c r="L478" s="54">
        <v>4</v>
      </c>
    </row>
    <row r="479" spans="1:12" ht="15">
      <c r="A479" s="39" t="s">
        <v>322</v>
      </c>
      <c r="B479" s="46" t="s">
        <v>266</v>
      </c>
      <c r="C479" s="39" t="s">
        <v>626</v>
      </c>
      <c r="D479" s="72">
        <v>506165137</v>
      </c>
      <c r="E479" s="73">
        <v>9193613417</v>
      </c>
      <c r="F479" s="39" t="s">
        <v>256</v>
      </c>
      <c r="G479" s="81">
        <v>40083</v>
      </c>
      <c r="H479" s="105" t="str">
        <f>CHOOSE(MONTH(G479),"January","February","March","April","May","June","July","August","September","October","November","December")</f>
        <v>September</v>
      </c>
      <c r="I479" s="51">
        <f ca="1">DATEDIF(G479,TODAY(),"Y")</f>
        <v>7</v>
      </c>
      <c r="J479" s="52" t="s">
        <v>283</v>
      </c>
      <c r="K479" s="53">
        <v>44150</v>
      </c>
      <c r="L479" s="54">
        <v>4</v>
      </c>
    </row>
    <row r="480" spans="1:12" ht="15">
      <c r="A480" s="39" t="s">
        <v>727</v>
      </c>
      <c r="B480" s="46" t="s">
        <v>271</v>
      </c>
      <c r="C480" s="39" t="s">
        <v>626</v>
      </c>
      <c r="D480" s="72">
        <v>649234799</v>
      </c>
      <c r="E480" s="73">
        <v>2521588597</v>
      </c>
      <c r="F480" s="39" t="s">
        <v>256</v>
      </c>
      <c r="G480" s="81">
        <v>40209</v>
      </c>
      <c r="H480" s="105" t="str">
        <f>CHOOSE(MONTH(G480),"January","February","March","April","May","June","July","August","September","October","November","December")</f>
        <v>January</v>
      </c>
      <c r="I480" s="51">
        <f ca="1">DATEDIF(G480,TODAY(),"Y")</f>
        <v>6</v>
      </c>
      <c r="J480" s="52" t="s">
        <v>283</v>
      </c>
      <c r="K480" s="53">
        <v>45260</v>
      </c>
      <c r="L480" s="54">
        <v>4</v>
      </c>
    </row>
    <row r="481" spans="1:12" ht="15">
      <c r="A481" s="39" t="s">
        <v>518</v>
      </c>
      <c r="B481" s="46" t="s">
        <v>280</v>
      </c>
      <c r="C481" s="39" t="s">
        <v>626</v>
      </c>
      <c r="D481" s="72">
        <v>279097202</v>
      </c>
      <c r="E481" s="78">
        <v>9196844371</v>
      </c>
      <c r="F481" s="39" t="s">
        <v>256</v>
      </c>
      <c r="G481" s="81">
        <v>33247</v>
      </c>
      <c r="H481" s="105" t="str">
        <f>CHOOSE(MONTH(G481),"January","February","March","April","May","June","July","August","September","October","November","December")</f>
        <v>January</v>
      </c>
      <c r="I481" s="51">
        <f ca="1">DATEDIF(G481,TODAY(),"Y")</f>
        <v>25</v>
      </c>
      <c r="J481" s="52" t="s">
        <v>257</v>
      </c>
      <c r="K481" s="53">
        <v>62740</v>
      </c>
      <c r="L481" s="54">
        <v>4</v>
      </c>
    </row>
    <row r="482" spans="1:12" ht="15">
      <c r="A482" s="39" t="s">
        <v>926</v>
      </c>
      <c r="B482" s="46" t="s">
        <v>285</v>
      </c>
      <c r="C482" s="39" t="s">
        <v>626</v>
      </c>
      <c r="D482" s="72">
        <v>275102740</v>
      </c>
      <c r="E482" s="73">
        <v>2521620909</v>
      </c>
      <c r="F482" s="39" t="s">
        <v>256</v>
      </c>
      <c r="G482" s="81">
        <v>33695</v>
      </c>
      <c r="H482" s="105" t="str">
        <f>CHOOSE(MONTH(G482),"January","February","March","April","May","June","July","August","September","October","November","December")</f>
        <v>April</v>
      </c>
      <c r="I482" s="51">
        <f ca="1">DATEDIF(G482,TODAY(),"Y")</f>
        <v>24</v>
      </c>
      <c r="J482" s="52" t="s">
        <v>262</v>
      </c>
      <c r="K482" s="53">
        <v>60560</v>
      </c>
      <c r="L482" s="54">
        <v>4</v>
      </c>
    </row>
    <row r="483" spans="1:12" ht="15">
      <c r="A483" s="39" t="s">
        <v>392</v>
      </c>
      <c r="B483" s="46" t="s">
        <v>245</v>
      </c>
      <c r="C483" s="39" t="s">
        <v>626</v>
      </c>
      <c r="D483" s="72">
        <v>895408697</v>
      </c>
      <c r="E483" s="73">
        <v>2523383207</v>
      </c>
      <c r="F483" s="39" t="s">
        <v>256</v>
      </c>
      <c r="G483" s="81">
        <v>39157</v>
      </c>
      <c r="H483" s="105" t="str">
        <f>CHOOSE(MONTH(G483),"January","February","March","April","May","June","July","August","September","October","November","December")</f>
        <v>March</v>
      </c>
      <c r="I483" s="51">
        <f ca="1">DATEDIF(G483,TODAY(),"Y")</f>
        <v>9</v>
      </c>
      <c r="J483" s="52" t="s">
        <v>283</v>
      </c>
      <c r="K483" s="53">
        <v>47610</v>
      </c>
      <c r="L483" s="54">
        <v>4</v>
      </c>
    </row>
    <row r="484" spans="1:12" ht="15">
      <c r="A484" s="39" t="s">
        <v>823</v>
      </c>
      <c r="B484" s="46" t="s">
        <v>251</v>
      </c>
      <c r="C484" s="39" t="s">
        <v>626</v>
      </c>
      <c r="D484" s="72">
        <v>634954970</v>
      </c>
      <c r="E484" s="73">
        <v>9194900864</v>
      </c>
      <c r="F484" s="39" t="s">
        <v>256</v>
      </c>
      <c r="G484" s="81">
        <v>35282</v>
      </c>
      <c r="H484" s="105" t="str">
        <f>CHOOSE(MONTH(G484),"January","February","March","April","May","June","July","August","September","October","November","December")</f>
        <v>August</v>
      </c>
      <c r="I484" s="51">
        <f ca="1">DATEDIF(G484,TODAY(),"Y")</f>
        <v>20</v>
      </c>
      <c r="J484" s="52" t="s">
        <v>257</v>
      </c>
      <c r="K484" s="53">
        <v>57560</v>
      </c>
      <c r="L484" s="54">
        <v>4</v>
      </c>
    </row>
    <row r="485" spans="1:12" ht="15">
      <c r="A485" s="39" t="s">
        <v>656</v>
      </c>
      <c r="B485" s="46" t="s">
        <v>285</v>
      </c>
      <c r="C485" s="39" t="s">
        <v>626</v>
      </c>
      <c r="D485" s="72">
        <v>157257652</v>
      </c>
      <c r="E485" s="73">
        <v>9193262077</v>
      </c>
      <c r="F485" s="39" t="s">
        <v>247</v>
      </c>
      <c r="G485" s="81">
        <v>36703</v>
      </c>
      <c r="H485" s="105" t="str">
        <f>CHOOSE(MONTH(G485),"January","February","March","April","May","June","July","August","September","October","November","December")</f>
        <v>June</v>
      </c>
      <c r="I485" s="51">
        <f ca="1">DATEDIF(G485,TODAY(),"Y")</f>
        <v>16</v>
      </c>
      <c r="J485" s="52"/>
      <c r="K485" s="53">
        <v>50200</v>
      </c>
      <c r="L485" s="54">
        <v>4</v>
      </c>
    </row>
    <row r="486" spans="1:12" ht="15">
      <c r="A486" s="39" t="s">
        <v>723</v>
      </c>
      <c r="B486" s="46" t="s">
        <v>245</v>
      </c>
      <c r="C486" s="39" t="s">
        <v>626</v>
      </c>
      <c r="D486" s="72">
        <v>422929693</v>
      </c>
      <c r="E486" s="73">
        <v>9191487375</v>
      </c>
      <c r="F486" s="39" t="s">
        <v>256</v>
      </c>
      <c r="G486" s="81">
        <v>36662</v>
      </c>
      <c r="H486" s="105" t="str">
        <f>CHOOSE(MONTH(G486),"January","February","March","April","May","June","July","August","September","October","November","December")</f>
        <v>May</v>
      </c>
      <c r="I486" s="51">
        <f ca="1">DATEDIF(G486,TODAY(),"Y")</f>
        <v>16</v>
      </c>
      <c r="J486" s="52" t="s">
        <v>283</v>
      </c>
      <c r="K486" s="53">
        <v>52490</v>
      </c>
      <c r="L486" s="54">
        <v>4</v>
      </c>
    </row>
    <row r="487" spans="1:12" ht="15">
      <c r="A487" s="39" t="s">
        <v>801</v>
      </c>
      <c r="B487" s="46" t="s">
        <v>251</v>
      </c>
      <c r="C487" s="39" t="s">
        <v>626</v>
      </c>
      <c r="D487" s="72">
        <v>662974752</v>
      </c>
      <c r="E487" s="73">
        <v>2526040465</v>
      </c>
      <c r="F487" s="39" t="s">
        <v>256</v>
      </c>
      <c r="G487" s="81">
        <v>36392</v>
      </c>
      <c r="H487" s="105" t="str">
        <f>CHOOSE(MONTH(G487),"January","February","March","April","May","June","July","August","September","October","November","December")</f>
        <v>August</v>
      </c>
      <c r="I487" s="51">
        <f ca="1">DATEDIF(G487,TODAY(),"Y")</f>
        <v>17</v>
      </c>
      <c r="J487" s="52" t="s">
        <v>283</v>
      </c>
      <c r="K487" s="53">
        <v>51410</v>
      </c>
      <c r="L487" s="54">
        <v>4</v>
      </c>
    </row>
    <row r="488" spans="1:12" ht="15">
      <c r="A488" s="39" t="s">
        <v>441</v>
      </c>
      <c r="B488" s="46" t="s">
        <v>251</v>
      </c>
      <c r="C488" s="39" t="s">
        <v>678</v>
      </c>
      <c r="D488" s="72">
        <v>859204644</v>
      </c>
      <c r="E488" s="73">
        <v>9191617913</v>
      </c>
      <c r="F488" s="39" t="s">
        <v>247</v>
      </c>
      <c r="G488" s="81">
        <v>35724</v>
      </c>
      <c r="H488" s="105" t="str">
        <f>CHOOSE(MONTH(G488),"January","February","March","April","May","June","July","August","September","October","November","December")</f>
        <v>October</v>
      </c>
      <c r="I488" s="51">
        <f ca="1">DATEDIF(G488,TODAY(),"Y")</f>
        <v>19</v>
      </c>
      <c r="J488" s="52"/>
      <c r="K488" s="53">
        <v>86470</v>
      </c>
      <c r="L488" s="54">
        <v>4</v>
      </c>
    </row>
    <row r="489" spans="1:12" ht="15">
      <c r="A489" s="39" t="s">
        <v>337</v>
      </c>
      <c r="B489" s="46" t="s">
        <v>280</v>
      </c>
      <c r="C489" s="39" t="s">
        <v>678</v>
      </c>
      <c r="D489" s="72">
        <v>303641529</v>
      </c>
      <c r="E489" s="73">
        <v>9196753698</v>
      </c>
      <c r="F489" s="39" t="s">
        <v>261</v>
      </c>
      <c r="G489" s="81">
        <v>35150</v>
      </c>
      <c r="H489" s="105" t="str">
        <f>CHOOSE(MONTH(G489),"January","February","March","April","May","June","July","August","September","October","November","December")</f>
        <v>March</v>
      </c>
      <c r="I489" s="51">
        <f ca="1">DATEDIF(G489,TODAY(),"Y")</f>
        <v>20</v>
      </c>
      <c r="J489" s="52" t="s">
        <v>257</v>
      </c>
      <c r="K489" s="53">
        <v>49405</v>
      </c>
      <c r="L489" s="54">
        <v>4</v>
      </c>
    </row>
    <row r="490" spans="1:12" ht="15">
      <c r="A490" s="39" t="s">
        <v>622</v>
      </c>
      <c r="B490" s="46" t="s">
        <v>271</v>
      </c>
      <c r="C490" s="39" t="s">
        <v>678</v>
      </c>
      <c r="D490" s="72">
        <v>397835298</v>
      </c>
      <c r="E490" s="73">
        <v>9196795200</v>
      </c>
      <c r="F490" s="39" t="s">
        <v>247</v>
      </c>
      <c r="G490" s="81">
        <v>40372</v>
      </c>
      <c r="H490" s="105" t="str">
        <f>CHOOSE(MONTH(G490),"January","February","March","April","May","June","July","August","September","October","November","December")</f>
        <v>July</v>
      </c>
      <c r="I490" s="51">
        <f ca="1">DATEDIF(G490,TODAY(),"Y")</f>
        <v>6</v>
      </c>
      <c r="J490" s="52"/>
      <c r="K490" s="53">
        <v>75100</v>
      </c>
      <c r="L490" s="54">
        <v>4</v>
      </c>
    </row>
    <row r="491" spans="1:12" ht="15">
      <c r="A491" s="39" t="s">
        <v>299</v>
      </c>
      <c r="B491" s="46" t="s">
        <v>271</v>
      </c>
      <c r="C491" s="39" t="s">
        <v>678</v>
      </c>
      <c r="D491" s="72">
        <v>797431044</v>
      </c>
      <c r="E491" s="73">
        <v>2523820613</v>
      </c>
      <c r="F491" s="39" t="s">
        <v>252</v>
      </c>
      <c r="G491" s="81">
        <v>36084</v>
      </c>
      <c r="H491" s="105" t="str">
        <f>CHOOSE(MONTH(G491),"January","February","March","April","May","June","July","August","September","October","November","December")</f>
        <v>October</v>
      </c>
      <c r="I491" s="51">
        <f ca="1">DATEDIF(G491,TODAY(),"Y")</f>
        <v>18</v>
      </c>
      <c r="J491" s="52"/>
      <c r="K491" s="53">
        <v>21668</v>
      </c>
      <c r="L491" s="54">
        <v>4</v>
      </c>
    </row>
    <row r="492" spans="1:12" ht="15">
      <c r="A492" s="39" t="s">
        <v>852</v>
      </c>
      <c r="B492" s="46" t="s">
        <v>285</v>
      </c>
      <c r="C492" s="39" t="s">
        <v>678</v>
      </c>
      <c r="D492" s="72">
        <v>557568959</v>
      </c>
      <c r="E492" s="73">
        <v>9192783818</v>
      </c>
      <c r="F492" s="39" t="s">
        <v>247</v>
      </c>
      <c r="G492" s="81">
        <v>35447</v>
      </c>
      <c r="H492" s="105" t="str">
        <f>CHOOSE(MONTH(G492),"January","February","March","April","May","June","July","August","September","October","November","December")</f>
        <v>January</v>
      </c>
      <c r="I492" s="51">
        <f ca="1">DATEDIF(G492,TODAY(),"Y")</f>
        <v>19</v>
      </c>
      <c r="J492" s="52"/>
      <c r="K492" s="53">
        <v>54190</v>
      </c>
      <c r="L492" s="54">
        <v>4</v>
      </c>
    </row>
    <row r="493" spans="1:12" ht="15">
      <c r="A493" s="39" t="s">
        <v>834</v>
      </c>
      <c r="B493" s="46" t="s">
        <v>271</v>
      </c>
      <c r="C493" s="39" t="s">
        <v>700</v>
      </c>
      <c r="D493" s="72">
        <v>121688720</v>
      </c>
      <c r="E493" s="73">
        <v>9194794769</v>
      </c>
      <c r="F493" s="39" t="s">
        <v>247</v>
      </c>
      <c r="G493" s="81">
        <v>35567</v>
      </c>
      <c r="H493" s="105" t="str">
        <f>CHOOSE(MONTH(G493),"January","February","March","April","May","June","July","August","September","October","November","December")</f>
        <v>May</v>
      </c>
      <c r="I493" s="51">
        <f ca="1">DATEDIF(G493,TODAY(),"Y")</f>
        <v>19</v>
      </c>
      <c r="J493" s="52"/>
      <c r="K493" s="53">
        <v>44820</v>
      </c>
      <c r="L493" s="54">
        <v>4</v>
      </c>
    </row>
    <row r="494" spans="1:12" ht="15">
      <c r="A494" s="39" t="s">
        <v>849</v>
      </c>
      <c r="B494" s="46" t="s">
        <v>285</v>
      </c>
      <c r="C494" s="39" t="s">
        <v>705</v>
      </c>
      <c r="D494" s="72">
        <v>474117484</v>
      </c>
      <c r="E494" s="73">
        <v>9196132408</v>
      </c>
      <c r="F494" s="39" t="s">
        <v>256</v>
      </c>
      <c r="G494" s="81">
        <v>33642</v>
      </c>
      <c r="H494" s="105" t="str">
        <f>CHOOSE(MONTH(G494),"January","February","March","April","May","June","July","August","September","October","November","December")</f>
        <v>February</v>
      </c>
      <c r="I494" s="51">
        <f ca="1">DATEDIF(G494,TODAY(),"Y")</f>
        <v>24</v>
      </c>
      <c r="J494" s="52" t="s">
        <v>257</v>
      </c>
      <c r="K494" s="53">
        <v>79770</v>
      </c>
      <c r="L494" s="54">
        <v>4</v>
      </c>
    </row>
    <row r="495" spans="1:12" ht="15">
      <c r="A495" s="39" t="s">
        <v>443</v>
      </c>
      <c r="B495" s="46" t="s">
        <v>271</v>
      </c>
      <c r="C495" s="39" t="s">
        <v>705</v>
      </c>
      <c r="D495" s="72">
        <v>803776506</v>
      </c>
      <c r="E495" s="73">
        <v>2526920236</v>
      </c>
      <c r="F495" s="39" t="s">
        <v>256</v>
      </c>
      <c r="G495" s="81">
        <v>35412</v>
      </c>
      <c r="H495" s="105" t="str">
        <f>CHOOSE(MONTH(G495),"January","February","March","April","May","June","July","August","September","October","November","December")</f>
        <v>December</v>
      </c>
      <c r="I495" s="51">
        <f ca="1">DATEDIF(G495,TODAY(),"Y")</f>
        <v>19</v>
      </c>
      <c r="J495" s="52" t="s">
        <v>262</v>
      </c>
      <c r="K495" s="53">
        <v>77950</v>
      </c>
      <c r="L495" s="54">
        <v>4</v>
      </c>
    </row>
    <row r="496" spans="1:12" ht="15">
      <c r="A496" s="39" t="s">
        <v>419</v>
      </c>
      <c r="B496" s="46" t="s">
        <v>271</v>
      </c>
      <c r="C496" s="39" t="s">
        <v>705</v>
      </c>
      <c r="D496" s="72">
        <v>290385638</v>
      </c>
      <c r="E496" s="73">
        <v>9194518022</v>
      </c>
      <c r="F496" s="39" t="s">
        <v>261</v>
      </c>
      <c r="G496" s="81">
        <v>33502</v>
      </c>
      <c r="H496" s="105" t="str">
        <f>CHOOSE(MONTH(G496),"January","February","March","April","May","June","July","August","September","October","November","December")</f>
        <v>September</v>
      </c>
      <c r="I496" s="51">
        <f ca="1">DATEDIF(G496,TODAY(),"Y")</f>
        <v>25</v>
      </c>
      <c r="J496" s="52" t="s">
        <v>262</v>
      </c>
      <c r="K496" s="53">
        <v>35045</v>
      </c>
      <c r="L496" s="54">
        <v>4</v>
      </c>
    </row>
    <row r="497" spans="1:12" ht="15">
      <c r="A497" s="39" t="s">
        <v>736</v>
      </c>
      <c r="B497" s="46" t="s">
        <v>285</v>
      </c>
      <c r="C497" s="39" t="s">
        <v>705</v>
      </c>
      <c r="D497" s="72">
        <v>365499498</v>
      </c>
      <c r="E497" s="73">
        <v>2523575849</v>
      </c>
      <c r="F497" s="39" t="s">
        <v>256</v>
      </c>
      <c r="G497" s="81">
        <v>38807</v>
      </c>
      <c r="H497" s="105" t="str">
        <f>CHOOSE(MONTH(G497),"January","February","March","April","May","June","July","August","September","October","November","December")</f>
        <v>March</v>
      </c>
      <c r="I497" s="51">
        <f ca="1">DATEDIF(G497,TODAY(),"Y")</f>
        <v>10</v>
      </c>
      <c r="J497" s="52" t="s">
        <v>257</v>
      </c>
      <c r="K497" s="53">
        <v>47060</v>
      </c>
      <c r="L497" s="54">
        <v>4</v>
      </c>
    </row>
    <row r="498" spans="1:12" ht="15">
      <c r="A498" s="39" t="s">
        <v>998</v>
      </c>
      <c r="B498" s="46" t="s">
        <v>285</v>
      </c>
      <c r="C498" s="39" t="s">
        <v>705</v>
      </c>
      <c r="D498" s="72">
        <v>145240921</v>
      </c>
      <c r="E498" s="73">
        <v>2525227751</v>
      </c>
      <c r="F498" s="39" t="s">
        <v>256</v>
      </c>
      <c r="G498" s="81">
        <v>39404</v>
      </c>
      <c r="H498" s="105" t="str">
        <f>CHOOSE(MONTH(G498),"January","February","March","April","May","June","July","August","September","October","November","December")</f>
        <v>November</v>
      </c>
      <c r="I498" s="51">
        <f ca="1">DATEDIF(G498,TODAY(),"Y")</f>
        <v>8</v>
      </c>
      <c r="J498" s="52" t="s">
        <v>267</v>
      </c>
      <c r="K498" s="53">
        <v>50990</v>
      </c>
      <c r="L498" s="54">
        <v>4</v>
      </c>
    </row>
    <row r="499" spans="1:12" ht="15">
      <c r="A499" s="39" t="s">
        <v>684</v>
      </c>
      <c r="B499" s="46" t="s">
        <v>285</v>
      </c>
      <c r="C499" s="39" t="s">
        <v>705</v>
      </c>
      <c r="D499" s="72">
        <v>824046378</v>
      </c>
      <c r="E499" s="73">
        <v>9196335284</v>
      </c>
      <c r="F499" s="39" t="s">
        <v>256</v>
      </c>
      <c r="G499" s="81">
        <v>35379</v>
      </c>
      <c r="H499" s="105" t="str">
        <f>CHOOSE(MONTH(G499),"January","February","March","April","May","June","July","August","September","October","November","December")</f>
        <v>November</v>
      </c>
      <c r="I499" s="51">
        <f ca="1">DATEDIF(G499,TODAY(),"Y")</f>
        <v>20</v>
      </c>
      <c r="J499" s="52" t="s">
        <v>276</v>
      </c>
      <c r="K499" s="53">
        <v>67230</v>
      </c>
      <c r="L499" s="54">
        <v>4</v>
      </c>
    </row>
    <row r="500" spans="1:12" ht="15">
      <c r="A500" s="39" t="s">
        <v>331</v>
      </c>
      <c r="B500" s="46" t="s">
        <v>251</v>
      </c>
      <c r="C500" s="39" t="s">
        <v>705</v>
      </c>
      <c r="D500" s="72">
        <v>551132018</v>
      </c>
      <c r="E500" s="73">
        <v>2525796953</v>
      </c>
      <c r="F500" s="39" t="s">
        <v>256</v>
      </c>
      <c r="G500" s="81">
        <v>40370</v>
      </c>
      <c r="H500" s="105" t="str">
        <f>CHOOSE(MONTH(G500),"January","February","March","April","May","June","July","August","September","October","November","December")</f>
        <v>July</v>
      </c>
      <c r="I500" s="51">
        <f ca="1">DATEDIF(G500,TODAY(),"Y")</f>
        <v>6</v>
      </c>
      <c r="J500" s="52" t="s">
        <v>257</v>
      </c>
      <c r="K500" s="53">
        <v>66840</v>
      </c>
      <c r="L500" s="54">
        <v>4</v>
      </c>
    </row>
    <row r="501" spans="1:12" ht="15">
      <c r="A501" s="39" t="s">
        <v>529</v>
      </c>
      <c r="B501" s="46" t="s">
        <v>280</v>
      </c>
      <c r="C501" s="39" t="s">
        <v>705</v>
      </c>
      <c r="D501" s="72">
        <v>213741822</v>
      </c>
      <c r="E501" s="73">
        <v>2521780498</v>
      </c>
      <c r="F501" s="39" t="s">
        <v>247</v>
      </c>
      <c r="G501" s="81">
        <v>35921</v>
      </c>
      <c r="H501" s="105" t="str">
        <f>CHOOSE(MONTH(G501),"January","February","March","April","May","June","July","August","September","October","November","December")</f>
        <v>May</v>
      </c>
      <c r="I501" s="51">
        <f ca="1">DATEDIF(G501,TODAY(),"Y")</f>
        <v>18</v>
      </c>
      <c r="J501" s="52"/>
      <c r="K501" s="53">
        <v>63330</v>
      </c>
      <c r="L501" s="54">
        <v>4</v>
      </c>
    </row>
    <row r="502" spans="1:12" ht="15">
      <c r="A502" s="39" t="s">
        <v>627</v>
      </c>
      <c r="B502" s="46" t="s">
        <v>285</v>
      </c>
      <c r="C502" s="39" t="s">
        <v>705</v>
      </c>
      <c r="D502" s="72">
        <v>842774592</v>
      </c>
      <c r="E502" s="73">
        <v>2527345539</v>
      </c>
      <c r="F502" s="39" t="s">
        <v>252</v>
      </c>
      <c r="G502" s="81">
        <v>38144</v>
      </c>
      <c r="H502" s="105" t="str">
        <f>CHOOSE(MONTH(G502),"January","February","March","April","May","June","July","August","September","October","November","December")</f>
        <v>June</v>
      </c>
      <c r="I502" s="51">
        <f ca="1">DATEDIF(G502,TODAY(),"Y")</f>
        <v>12</v>
      </c>
      <c r="J502" s="52"/>
      <c r="K502" s="53">
        <v>33512</v>
      </c>
      <c r="L502" s="54">
        <v>4</v>
      </c>
    </row>
    <row r="503" spans="1:12" ht="15">
      <c r="A503" s="39" t="s">
        <v>475</v>
      </c>
      <c r="B503" s="46" t="s">
        <v>251</v>
      </c>
      <c r="C503" s="39" t="s">
        <v>705</v>
      </c>
      <c r="D503" s="72">
        <v>719165738</v>
      </c>
      <c r="E503" s="73">
        <v>9195750692</v>
      </c>
      <c r="F503" s="39" t="s">
        <v>247</v>
      </c>
      <c r="G503" s="81">
        <v>40468</v>
      </c>
      <c r="H503" s="105" t="str">
        <f>CHOOSE(MONTH(G503),"January","February","March","April","May","June","July","August","September","October","November","December")</f>
        <v>October</v>
      </c>
      <c r="I503" s="51">
        <f ca="1">DATEDIF(G503,TODAY(),"Y")</f>
        <v>6</v>
      </c>
      <c r="J503" s="52"/>
      <c r="K503" s="53">
        <v>39440</v>
      </c>
      <c r="L503" s="54">
        <v>4</v>
      </c>
    </row>
    <row r="504" spans="1:12" ht="15">
      <c r="A504" s="39" t="s">
        <v>433</v>
      </c>
      <c r="B504" s="46" t="s">
        <v>285</v>
      </c>
      <c r="C504" s="39" t="s">
        <v>750</v>
      </c>
      <c r="D504" s="72">
        <v>292693795</v>
      </c>
      <c r="E504" s="73">
        <v>9195990139</v>
      </c>
      <c r="F504" s="39" t="s">
        <v>256</v>
      </c>
      <c r="G504" s="81">
        <v>33280</v>
      </c>
      <c r="H504" s="105" t="str">
        <f>CHOOSE(MONTH(G504),"January","February","March","April","May","June","July","August","September","October","November","December")</f>
        <v>February</v>
      </c>
      <c r="I504" s="51">
        <f ca="1">DATEDIF(G504,TODAY(),"Y")</f>
        <v>25</v>
      </c>
      <c r="J504" s="52" t="s">
        <v>257</v>
      </c>
      <c r="K504" s="53">
        <v>87950</v>
      </c>
      <c r="L504" s="54">
        <v>4</v>
      </c>
    </row>
    <row r="505" spans="1:12" ht="15">
      <c r="A505" s="39" t="s">
        <v>415</v>
      </c>
      <c r="B505" s="46" t="s">
        <v>285</v>
      </c>
      <c r="C505" s="39" t="s">
        <v>750</v>
      </c>
      <c r="D505" s="72">
        <v>285295419</v>
      </c>
      <c r="E505" s="73">
        <v>9197904981</v>
      </c>
      <c r="F505" s="39" t="s">
        <v>252</v>
      </c>
      <c r="G505" s="81">
        <v>33158</v>
      </c>
      <c r="H505" s="105" t="str">
        <f>CHOOSE(MONTH(G505),"January","February","March","April","May","June","July","August","September","October","November","December")</f>
        <v>October</v>
      </c>
      <c r="I505" s="51">
        <f ca="1">DATEDIF(G505,TODAY(),"Y")</f>
        <v>26</v>
      </c>
      <c r="J505" s="52"/>
      <c r="K505" s="53">
        <v>33232</v>
      </c>
      <c r="L505" s="54">
        <v>4</v>
      </c>
    </row>
    <row r="506" spans="1:12" ht="15">
      <c r="A506" s="39" t="s">
        <v>445</v>
      </c>
      <c r="B506" s="46" t="s">
        <v>285</v>
      </c>
      <c r="C506" s="39" t="s">
        <v>767</v>
      </c>
      <c r="D506" s="72">
        <v>938723321</v>
      </c>
      <c r="E506" s="73">
        <v>9196456972</v>
      </c>
      <c r="F506" s="39" t="s">
        <v>247</v>
      </c>
      <c r="G506" s="81">
        <v>39343</v>
      </c>
      <c r="H506" s="105" t="str">
        <f>CHOOSE(MONTH(G506),"January","February","March","April","May","June","July","August","September","October","November","December")</f>
        <v>September</v>
      </c>
      <c r="I506" s="51">
        <f ca="1">DATEDIF(G506,TODAY(),"Y")</f>
        <v>9</v>
      </c>
      <c r="J506" s="52"/>
      <c r="K506" s="53">
        <v>89640</v>
      </c>
      <c r="L506" s="54">
        <v>4</v>
      </c>
    </row>
    <row r="507" spans="1:12" ht="15">
      <c r="A507" s="39" t="s">
        <v>638</v>
      </c>
      <c r="B507" s="46" t="s">
        <v>285</v>
      </c>
      <c r="C507" s="39" t="s">
        <v>767</v>
      </c>
      <c r="D507" s="72">
        <v>552528553</v>
      </c>
      <c r="E507" s="73">
        <v>9194310812</v>
      </c>
      <c r="F507" s="39" t="s">
        <v>252</v>
      </c>
      <c r="G507" s="81">
        <v>36340</v>
      </c>
      <c r="H507" s="105" t="str">
        <f>CHOOSE(MONTH(G507),"January","February","March","April","May","June","July","August","September","October","November","December")</f>
        <v>June</v>
      </c>
      <c r="I507" s="51">
        <f ca="1">DATEDIF(G507,TODAY(),"Y")</f>
        <v>17</v>
      </c>
      <c r="J507" s="52"/>
      <c r="K507" s="53">
        <v>37016</v>
      </c>
      <c r="L507" s="54">
        <v>4</v>
      </c>
    </row>
    <row r="508" spans="1:12" ht="15">
      <c r="A508" s="39" t="s">
        <v>708</v>
      </c>
      <c r="B508" s="46" t="s">
        <v>245</v>
      </c>
      <c r="C508" s="39" t="s">
        <v>767</v>
      </c>
      <c r="D508" s="72">
        <v>484442635</v>
      </c>
      <c r="E508" s="73">
        <v>2527194901</v>
      </c>
      <c r="F508" s="39" t="s">
        <v>247</v>
      </c>
      <c r="G508" s="81">
        <v>33167</v>
      </c>
      <c r="H508" s="105" t="str">
        <f>CHOOSE(MONTH(G508),"January","February","March","April","May","June","July","August","September","October","November","December")</f>
        <v>October</v>
      </c>
      <c r="I508" s="51">
        <f ca="1">DATEDIF(G508,TODAY(),"Y")</f>
        <v>26</v>
      </c>
      <c r="J508" s="52"/>
      <c r="K508" s="53">
        <v>23020</v>
      </c>
      <c r="L508" s="54">
        <v>4</v>
      </c>
    </row>
    <row r="509" spans="1:12" ht="15">
      <c r="A509" s="39" t="s">
        <v>776</v>
      </c>
      <c r="B509" s="46" t="s">
        <v>251</v>
      </c>
      <c r="C509" s="39" t="s">
        <v>767</v>
      </c>
      <c r="D509" s="72">
        <v>265323292</v>
      </c>
      <c r="E509" s="73">
        <v>2522939413</v>
      </c>
      <c r="F509" s="39" t="s">
        <v>256</v>
      </c>
      <c r="G509" s="81">
        <v>36136</v>
      </c>
      <c r="H509" s="105" t="str">
        <f>CHOOSE(MONTH(G509),"January","February","March","April","May","June","July","August","September","October","November","December")</f>
        <v>December</v>
      </c>
      <c r="I509" s="51">
        <f ca="1">DATEDIF(G509,TODAY(),"Y")</f>
        <v>17</v>
      </c>
      <c r="J509" s="52" t="s">
        <v>283</v>
      </c>
      <c r="K509" s="53">
        <v>45000</v>
      </c>
      <c r="L509" s="54">
        <v>4</v>
      </c>
    </row>
    <row r="510" spans="1:12" ht="15">
      <c r="A510" s="39" t="s">
        <v>726</v>
      </c>
      <c r="B510" s="46" t="s">
        <v>271</v>
      </c>
      <c r="C510" s="39" t="s">
        <v>767</v>
      </c>
      <c r="D510" s="72">
        <v>558903229</v>
      </c>
      <c r="E510" s="73">
        <v>9195699651</v>
      </c>
      <c r="F510" s="39" t="s">
        <v>256</v>
      </c>
      <c r="G510" s="81">
        <v>34061</v>
      </c>
      <c r="H510" s="105" t="str">
        <f>CHOOSE(MONTH(G510),"January","February","March","April","May","June","July","August","September","October","November","December")</f>
        <v>April</v>
      </c>
      <c r="I510" s="51">
        <f ca="1">DATEDIF(G510,TODAY(),"Y")</f>
        <v>23</v>
      </c>
      <c r="J510" s="52" t="s">
        <v>257</v>
      </c>
      <c r="K510" s="53">
        <v>23320</v>
      </c>
      <c r="L510" s="54">
        <v>4</v>
      </c>
    </row>
    <row r="511" spans="1:12" ht="15">
      <c r="A511" s="39" t="s">
        <v>948</v>
      </c>
      <c r="B511" s="46" t="s">
        <v>271</v>
      </c>
      <c r="C511" s="39" t="s">
        <v>767</v>
      </c>
      <c r="D511" s="72">
        <v>880747384</v>
      </c>
      <c r="E511" s="73">
        <v>9195220001</v>
      </c>
      <c r="F511" s="39" t="s">
        <v>256</v>
      </c>
      <c r="G511" s="81">
        <v>33526</v>
      </c>
      <c r="H511" s="105" t="str">
        <f>CHOOSE(MONTH(G511),"January","February","March","April","May","June","July","August","September","October","November","December")</f>
        <v>October</v>
      </c>
      <c r="I511" s="51">
        <f ca="1">DATEDIF(G511,TODAY(),"Y")</f>
        <v>25</v>
      </c>
      <c r="J511" s="52" t="s">
        <v>267</v>
      </c>
      <c r="K511" s="53">
        <v>79400</v>
      </c>
      <c r="L511" s="54">
        <v>4</v>
      </c>
    </row>
    <row r="512" spans="1:12" ht="15">
      <c r="A512" s="39" t="s">
        <v>609</v>
      </c>
      <c r="B512" s="46" t="s">
        <v>245</v>
      </c>
      <c r="C512" s="39" t="s">
        <v>767</v>
      </c>
      <c r="D512" s="72">
        <v>452255054</v>
      </c>
      <c r="E512" s="73">
        <v>9196114005</v>
      </c>
      <c r="F512" s="39" t="s">
        <v>247</v>
      </c>
      <c r="G512" s="81">
        <v>33578</v>
      </c>
      <c r="H512" s="105" t="str">
        <f>CHOOSE(MONTH(G512),"January","February","March","April","May","June","July","August","September","October","November","December")</f>
        <v>December</v>
      </c>
      <c r="I512" s="51">
        <f ca="1">DATEDIF(G512,TODAY(),"Y")</f>
        <v>24</v>
      </c>
      <c r="J512" s="52"/>
      <c r="K512" s="53">
        <v>50840</v>
      </c>
      <c r="L512" s="54">
        <v>4</v>
      </c>
    </row>
    <row r="513" spans="1:12" ht="15">
      <c r="A513" s="39" t="s">
        <v>780</v>
      </c>
      <c r="B513" s="46" t="s">
        <v>280</v>
      </c>
      <c r="C513" s="39" t="s">
        <v>767</v>
      </c>
      <c r="D513" s="72">
        <v>369210573</v>
      </c>
      <c r="E513" s="73">
        <v>2526555049</v>
      </c>
      <c r="F513" s="39" t="s">
        <v>261</v>
      </c>
      <c r="G513" s="81">
        <v>36217</v>
      </c>
      <c r="H513" s="105" t="str">
        <f>CHOOSE(MONTH(G513),"January","February","March","April","May","June","July","August","September","October","November","December")</f>
        <v>February</v>
      </c>
      <c r="I513" s="51">
        <f ca="1">DATEDIF(G513,TODAY(),"Y")</f>
        <v>17</v>
      </c>
      <c r="J513" s="52" t="s">
        <v>283</v>
      </c>
      <c r="K513" s="53">
        <v>22475</v>
      </c>
      <c r="L513" s="54">
        <v>4</v>
      </c>
    </row>
    <row r="514" spans="1:12" ht="15">
      <c r="A514" s="39" t="s">
        <v>548</v>
      </c>
      <c r="B514" s="46" t="s">
        <v>285</v>
      </c>
      <c r="C514" s="39" t="s">
        <v>767</v>
      </c>
      <c r="D514" s="72">
        <v>528258211</v>
      </c>
      <c r="E514" s="73">
        <v>9194727385</v>
      </c>
      <c r="F514" s="39" t="s">
        <v>256</v>
      </c>
      <c r="G514" s="81">
        <v>33128</v>
      </c>
      <c r="H514" s="105" t="str">
        <f>CHOOSE(MONTH(G514),"January","February","March","April","May","June","July","August","September","October","November","December")</f>
        <v>September</v>
      </c>
      <c r="I514" s="51">
        <f ca="1">DATEDIF(G514,TODAY(),"Y")</f>
        <v>26</v>
      </c>
      <c r="J514" s="52" t="s">
        <v>267</v>
      </c>
      <c r="K514" s="53">
        <v>46110</v>
      </c>
      <c r="L514" s="54">
        <v>4</v>
      </c>
    </row>
    <row r="515" spans="1:12" ht="15">
      <c r="A515" s="39" t="s">
        <v>534</v>
      </c>
      <c r="B515" s="46" t="s">
        <v>251</v>
      </c>
      <c r="C515" s="39" t="s">
        <v>767</v>
      </c>
      <c r="D515" s="72">
        <v>343185481</v>
      </c>
      <c r="E515" s="73">
        <v>9196446519</v>
      </c>
      <c r="F515" s="39" t="s">
        <v>256</v>
      </c>
      <c r="G515" s="81">
        <v>35918</v>
      </c>
      <c r="H515" s="105" t="str">
        <f>CHOOSE(MONTH(G515),"January","February","March","April","May","June","July","August","September","October","November","December")</f>
        <v>May</v>
      </c>
      <c r="I515" s="51">
        <f ca="1">DATEDIF(G515,TODAY(),"Y")</f>
        <v>18</v>
      </c>
      <c r="J515" s="52" t="s">
        <v>262</v>
      </c>
      <c r="K515" s="53">
        <v>73740</v>
      </c>
      <c r="L515" s="54">
        <v>4</v>
      </c>
    </row>
    <row r="516" spans="1:12" ht="15">
      <c r="A516" s="39" t="s">
        <v>933</v>
      </c>
      <c r="B516" s="46" t="s">
        <v>285</v>
      </c>
      <c r="C516" s="39" t="s">
        <v>767</v>
      </c>
      <c r="D516" s="72">
        <v>828395582</v>
      </c>
      <c r="E516" s="73">
        <v>9198591986</v>
      </c>
      <c r="F516" s="39" t="s">
        <v>256</v>
      </c>
      <c r="G516" s="81">
        <v>33573</v>
      </c>
      <c r="H516" s="105" t="str">
        <f>CHOOSE(MONTH(G516),"January","February","March","April","May","June","July","August","September","October","November","December")</f>
        <v>December</v>
      </c>
      <c r="I516" s="51">
        <f ca="1">DATEDIF(G516,TODAY(),"Y")</f>
        <v>24</v>
      </c>
      <c r="J516" s="52" t="s">
        <v>276</v>
      </c>
      <c r="K516" s="53">
        <v>71680</v>
      </c>
      <c r="L516" s="54">
        <v>4</v>
      </c>
    </row>
    <row r="517" spans="1:12" ht="15">
      <c r="A517" s="39" t="s">
        <v>875</v>
      </c>
      <c r="B517" s="46" t="s">
        <v>245</v>
      </c>
      <c r="C517" s="39" t="s">
        <v>767</v>
      </c>
      <c r="D517" s="72">
        <v>476243591</v>
      </c>
      <c r="E517" s="73">
        <v>9197188067</v>
      </c>
      <c r="F517" s="39" t="s">
        <v>256</v>
      </c>
      <c r="G517" s="81">
        <v>34989</v>
      </c>
      <c r="H517" s="105" t="str">
        <f>CHOOSE(MONTH(G517),"January","February","March","April","May","June","July","August","September","October","November","December")</f>
        <v>October</v>
      </c>
      <c r="I517" s="51">
        <f ca="1">DATEDIF(G517,TODAY(),"Y")</f>
        <v>21</v>
      </c>
      <c r="J517" s="52" t="s">
        <v>257</v>
      </c>
      <c r="K517" s="53">
        <v>50570</v>
      </c>
      <c r="L517" s="54">
        <v>4</v>
      </c>
    </row>
    <row r="518" spans="1:12" ht="15">
      <c r="A518" s="39" t="s">
        <v>913</v>
      </c>
      <c r="B518" s="46" t="s">
        <v>271</v>
      </c>
      <c r="C518" s="39" t="s">
        <v>767</v>
      </c>
      <c r="D518" s="72">
        <v>191359642</v>
      </c>
      <c r="E518" s="73">
        <v>2528687353</v>
      </c>
      <c r="F518" s="39" t="s">
        <v>256</v>
      </c>
      <c r="G518" s="81">
        <v>33361</v>
      </c>
      <c r="H518" s="105" t="str">
        <f>CHOOSE(MONTH(G518),"January","February","March","April","May","June","July","August","September","October","November","December")</f>
        <v>May</v>
      </c>
      <c r="I518" s="51">
        <f ca="1">DATEDIF(G518,TODAY(),"Y")</f>
        <v>25</v>
      </c>
      <c r="J518" s="52" t="s">
        <v>257</v>
      </c>
      <c r="K518" s="53">
        <v>24090</v>
      </c>
      <c r="L518" s="54">
        <v>4</v>
      </c>
    </row>
    <row r="519" spans="1:12" ht="15">
      <c r="A519" s="39" t="s">
        <v>832</v>
      </c>
      <c r="B519" s="46" t="s">
        <v>245</v>
      </c>
      <c r="C519" s="39" t="s">
        <v>767</v>
      </c>
      <c r="D519" s="72">
        <v>160184934</v>
      </c>
      <c r="E519" s="73">
        <v>9191191599</v>
      </c>
      <c r="F519" s="39" t="s">
        <v>261</v>
      </c>
      <c r="G519" s="81">
        <v>34793</v>
      </c>
      <c r="H519" s="105" t="str">
        <f>CHOOSE(MONTH(G519),"January","February","March","April","May","June","July","August","September","October","November","December")</f>
        <v>April</v>
      </c>
      <c r="I519" s="51">
        <f ca="1">DATEDIF(G519,TODAY(),"Y")</f>
        <v>21</v>
      </c>
      <c r="J519" s="52" t="s">
        <v>283</v>
      </c>
      <c r="K519" s="53">
        <v>10700</v>
      </c>
      <c r="L519" s="54">
        <v>4</v>
      </c>
    </row>
    <row r="520" spans="1:12" ht="15">
      <c r="A520" s="39" t="s">
        <v>607</v>
      </c>
      <c r="B520" s="46" t="s">
        <v>271</v>
      </c>
      <c r="C520" s="39" t="s">
        <v>767</v>
      </c>
      <c r="D520" s="72">
        <v>209846975</v>
      </c>
      <c r="E520" s="73">
        <v>2522639452</v>
      </c>
      <c r="F520" s="39" t="s">
        <v>261</v>
      </c>
      <c r="G520" s="81">
        <v>37249</v>
      </c>
      <c r="H520" s="105" t="str">
        <f>CHOOSE(MONTH(G520),"January","February","March","April","May","June","July","August","September","October","November","December")</f>
        <v>December</v>
      </c>
      <c r="I520" s="51">
        <f ca="1">DATEDIF(G520,TODAY(),"Y")</f>
        <v>14</v>
      </c>
      <c r="J520" s="52" t="s">
        <v>276</v>
      </c>
      <c r="K520" s="53">
        <v>12545</v>
      </c>
      <c r="L520" s="54">
        <v>4</v>
      </c>
    </row>
    <row r="521" spans="1:12" ht="15">
      <c r="A521" s="39" t="s">
        <v>1026</v>
      </c>
      <c r="B521" s="46" t="s">
        <v>245</v>
      </c>
      <c r="C521" s="39" t="s">
        <v>767</v>
      </c>
      <c r="D521" s="72">
        <v>643979374</v>
      </c>
      <c r="E521" s="73">
        <v>2521230519</v>
      </c>
      <c r="F521" s="39" t="s">
        <v>247</v>
      </c>
      <c r="G521" s="81">
        <v>35541</v>
      </c>
      <c r="H521" s="105" t="str">
        <f>CHOOSE(MONTH(G521),"January","February","March","April","May","June","July","August","September","October","November","December")</f>
        <v>April</v>
      </c>
      <c r="I521" s="51">
        <f ca="1">DATEDIF(G521,TODAY(),"Y")</f>
        <v>19</v>
      </c>
      <c r="J521" s="52"/>
      <c r="K521" s="53">
        <v>49530</v>
      </c>
      <c r="L521" s="54">
        <v>4</v>
      </c>
    </row>
    <row r="522" spans="1:12" ht="15">
      <c r="A522" s="39" t="s">
        <v>369</v>
      </c>
      <c r="B522" s="46" t="s">
        <v>271</v>
      </c>
      <c r="C522" s="39" t="s">
        <v>767</v>
      </c>
      <c r="D522" s="72">
        <v>113252240</v>
      </c>
      <c r="E522" s="73">
        <v>2526712695</v>
      </c>
      <c r="F522" s="39" t="s">
        <v>256</v>
      </c>
      <c r="G522" s="81">
        <v>36536</v>
      </c>
      <c r="H522" s="105" t="str">
        <f>CHOOSE(MONTH(G522),"January","February","March","April","May","June","July","August","September","October","November","December")</f>
        <v>January</v>
      </c>
      <c r="I522" s="51">
        <f ca="1">DATEDIF(G522,TODAY(),"Y")</f>
        <v>16</v>
      </c>
      <c r="J522" s="52" t="s">
        <v>257</v>
      </c>
      <c r="K522" s="53">
        <v>62400</v>
      </c>
      <c r="L522" s="54">
        <v>4</v>
      </c>
    </row>
    <row r="523" spans="1:12" ht="15">
      <c r="A523" s="39" t="s">
        <v>744</v>
      </c>
      <c r="B523" s="46" t="s">
        <v>285</v>
      </c>
      <c r="C523" s="39" t="s">
        <v>767</v>
      </c>
      <c r="D523" s="72">
        <v>965916299</v>
      </c>
      <c r="E523" s="73">
        <v>9193552027</v>
      </c>
      <c r="F523" s="39" t="s">
        <v>256</v>
      </c>
      <c r="G523" s="81">
        <v>35693</v>
      </c>
      <c r="H523" s="105" t="str">
        <f>CHOOSE(MONTH(G523),"January","February","March","April","May","June","July","August","September","October","November","December")</f>
        <v>September</v>
      </c>
      <c r="I523" s="51">
        <f ca="1">DATEDIF(G523,TODAY(),"Y")</f>
        <v>19</v>
      </c>
      <c r="J523" s="52" t="s">
        <v>262</v>
      </c>
      <c r="K523" s="53">
        <v>24340</v>
      </c>
      <c r="L523" s="54">
        <v>4</v>
      </c>
    </row>
    <row r="524" spans="1:12" ht="15">
      <c r="A524" s="39" t="s">
        <v>763</v>
      </c>
      <c r="B524" s="46" t="s">
        <v>285</v>
      </c>
      <c r="C524" s="39" t="s">
        <v>767</v>
      </c>
      <c r="D524" s="72">
        <v>475671127</v>
      </c>
      <c r="E524" s="73">
        <v>9196650531</v>
      </c>
      <c r="F524" s="39" t="s">
        <v>256</v>
      </c>
      <c r="G524" s="81">
        <v>35958</v>
      </c>
      <c r="H524" s="105" t="str">
        <f>CHOOSE(MONTH(G524),"January","February","March","April","May","June","July","August","September","October","November","December")</f>
        <v>June</v>
      </c>
      <c r="I524" s="51">
        <f ca="1">DATEDIF(G524,TODAY(),"Y")</f>
        <v>18</v>
      </c>
      <c r="J524" s="52" t="s">
        <v>283</v>
      </c>
      <c r="K524" s="53">
        <v>61420</v>
      </c>
      <c r="L524" s="54">
        <v>4</v>
      </c>
    </row>
    <row r="525" spans="1:12" ht="15">
      <c r="A525" s="39" t="s">
        <v>955</v>
      </c>
      <c r="B525" s="46" t="s">
        <v>285</v>
      </c>
      <c r="C525" s="39" t="s">
        <v>767</v>
      </c>
      <c r="D525" s="72">
        <v>953109212</v>
      </c>
      <c r="E525" s="73">
        <v>9191664940</v>
      </c>
      <c r="F525" s="39" t="s">
        <v>256</v>
      </c>
      <c r="G525" s="81">
        <v>40438</v>
      </c>
      <c r="H525" s="105" t="str">
        <f>CHOOSE(MONTH(G525),"January","February","March","April","May","June","July","August","September","October","November","December")</f>
        <v>September</v>
      </c>
      <c r="I525" s="51">
        <f ca="1">DATEDIF(G525,TODAY(),"Y")</f>
        <v>6</v>
      </c>
      <c r="J525" s="52" t="s">
        <v>267</v>
      </c>
      <c r="K525" s="53">
        <v>59150</v>
      </c>
      <c r="L525" s="54">
        <v>4</v>
      </c>
    </row>
    <row r="526" spans="1:12" ht="15">
      <c r="A526" s="39" t="s">
        <v>500</v>
      </c>
      <c r="B526" s="46" t="s">
        <v>271</v>
      </c>
      <c r="C526" s="39" t="s">
        <v>767</v>
      </c>
      <c r="D526" s="72">
        <v>554029540</v>
      </c>
      <c r="E526" s="73">
        <v>2521544288</v>
      </c>
      <c r="F526" s="39" t="s">
        <v>247</v>
      </c>
      <c r="G526" s="81">
        <v>33234</v>
      </c>
      <c r="H526" s="105" t="str">
        <f>CHOOSE(MONTH(G526),"January","February","March","April","May","June","July","August","September","October","November","December")</f>
        <v>December</v>
      </c>
      <c r="I526" s="51">
        <f ca="1">DATEDIF(G526,TODAY(),"Y")</f>
        <v>25</v>
      </c>
      <c r="J526" s="52"/>
      <c r="K526" s="53">
        <v>58650</v>
      </c>
      <c r="L526" s="54">
        <v>4</v>
      </c>
    </row>
    <row r="527" spans="1:12" ht="15">
      <c r="A527" s="39" t="s">
        <v>944</v>
      </c>
      <c r="B527" s="46" t="s">
        <v>245</v>
      </c>
      <c r="C527" s="39" t="s">
        <v>767</v>
      </c>
      <c r="D527" s="72">
        <v>502200672</v>
      </c>
      <c r="E527" s="73">
        <v>2527925201</v>
      </c>
      <c r="F527" s="39" t="s">
        <v>247</v>
      </c>
      <c r="G527" s="103">
        <v>40410</v>
      </c>
      <c r="H527" s="105" t="str">
        <f>CHOOSE(MONTH(G527),"January","February","March","April","May","June","July","August","September","October","November","December")</f>
        <v>August</v>
      </c>
      <c r="I527" s="51">
        <f ca="1">DATEDIF(G527,TODAY(),"Y")</f>
        <v>6</v>
      </c>
      <c r="J527" s="52"/>
      <c r="K527" s="53">
        <v>57680</v>
      </c>
      <c r="L527" s="54">
        <v>4</v>
      </c>
    </row>
    <row r="528" spans="1:12" ht="15">
      <c r="A528" s="39" t="s">
        <v>689</v>
      </c>
      <c r="B528" s="46" t="s">
        <v>271</v>
      </c>
      <c r="C528" s="39" t="s">
        <v>767</v>
      </c>
      <c r="D528" s="72">
        <v>330879921</v>
      </c>
      <c r="E528" s="73">
        <v>9195691314</v>
      </c>
      <c r="F528" s="39" t="s">
        <v>256</v>
      </c>
      <c r="G528" s="81">
        <v>36088</v>
      </c>
      <c r="H528" s="105" t="str">
        <f>CHOOSE(MONTH(G528),"January","February","March","April","May","June","July","August","September","October","November","December")</f>
        <v>October</v>
      </c>
      <c r="I528" s="51">
        <f ca="1">DATEDIF(G528,TODAY(),"Y")</f>
        <v>18</v>
      </c>
      <c r="J528" s="52" t="s">
        <v>267</v>
      </c>
      <c r="K528" s="53">
        <v>54580</v>
      </c>
      <c r="L528" s="54">
        <v>4</v>
      </c>
    </row>
    <row r="529" spans="1:12" ht="15">
      <c r="A529" s="39" t="s">
        <v>531</v>
      </c>
      <c r="B529" s="46" t="s">
        <v>271</v>
      </c>
      <c r="C529" s="39" t="s">
        <v>767</v>
      </c>
      <c r="D529" s="72">
        <v>959750235</v>
      </c>
      <c r="E529" s="73">
        <v>2528488350</v>
      </c>
      <c r="F529" s="39" t="s">
        <v>256</v>
      </c>
      <c r="G529" s="81">
        <v>40137</v>
      </c>
      <c r="H529" s="105" t="str">
        <f>CHOOSE(MONTH(G529),"January","February","March","April","May","June","July","August","September","October","November","December")</f>
        <v>November</v>
      </c>
      <c r="I529" s="51">
        <f ca="1">DATEDIF(G529,TODAY(),"Y")</f>
        <v>6</v>
      </c>
      <c r="J529" s="52" t="s">
        <v>257</v>
      </c>
      <c r="K529" s="53">
        <v>54190</v>
      </c>
      <c r="L529" s="54">
        <v>4</v>
      </c>
    </row>
    <row r="530" spans="1:12" ht="15">
      <c r="A530" s="39" t="s">
        <v>334</v>
      </c>
      <c r="B530" s="46" t="s">
        <v>271</v>
      </c>
      <c r="C530" s="39" t="s">
        <v>856</v>
      </c>
      <c r="D530" s="72">
        <v>668708287</v>
      </c>
      <c r="E530" s="73">
        <v>9191952821</v>
      </c>
      <c r="F530" s="39" t="s">
        <v>247</v>
      </c>
      <c r="G530" s="81">
        <v>35806</v>
      </c>
      <c r="H530" s="105" t="str">
        <f>CHOOSE(MONTH(G530),"January","February","March","April","May","June","July","August","September","October","November","December")</f>
        <v>January</v>
      </c>
      <c r="I530" s="51">
        <f ca="1">DATEDIF(G530,TODAY(),"Y")</f>
        <v>18</v>
      </c>
      <c r="J530" s="52"/>
      <c r="K530" s="53">
        <v>86100</v>
      </c>
      <c r="L530" s="54">
        <v>4</v>
      </c>
    </row>
    <row r="531" spans="1:12" ht="15">
      <c r="A531" s="39" t="s">
        <v>306</v>
      </c>
      <c r="B531" s="46" t="s">
        <v>271</v>
      </c>
      <c r="C531" s="39" t="s">
        <v>856</v>
      </c>
      <c r="D531" s="72">
        <v>102159909</v>
      </c>
      <c r="E531" s="73">
        <v>2521868104</v>
      </c>
      <c r="F531" s="39" t="s">
        <v>252</v>
      </c>
      <c r="G531" s="81">
        <v>34345</v>
      </c>
      <c r="H531" s="105" t="str">
        <f>CHOOSE(MONTH(G531),"January","February","March","April","May","June","July","August","September","October","November","December")</f>
        <v>January</v>
      </c>
      <c r="I531" s="51">
        <f ca="1">DATEDIF(G531,TODAY(),"Y")</f>
        <v>22</v>
      </c>
      <c r="J531" s="52"/>
      <c r="K531" s="53">
        <v>36788</v>
      </c>
      <c r="L531" s="54">
        <v>4</v>
      </c>
    </row>
    <row r="532" spans="1:12" ht="15">
      <c r="A532" s="39" t="s">
        <v>332</v>
      </c>
      <c r="B532" s="46" t="s">
        <v>266</v>
      </c>
      <c r="C532" s="39" t="s">
        <v>856</v>
      </c>
      <c r="D532" s="72">
        <v>687623890</v>
      </c>
      <c r="E532" s="73">
        <v>2522447501</v>
      </c>
      <c r="F532" s="39" t="s">
        <v>252</v>
      </c>
      <c r="G532" s="81">
        <v>35034</v>
      </c>
      <c r="H532" s="105" t="str">
        <f>CHOOSE(MONTH(G532),"January","February","March","April","May","June","July","August","September","October","November","December")</f>
        <v>December</v>
      </c>
      <c r="I532" s="51">
        <f ca="1">DATEDIF(G532,TODAY(),"Y")</f>
        <v>20</v>
      </c>
      <c r="J532" s="52"/>
      <c r="K532" s="53">
        <v>23692</v>
      </c>
      <c r="L532" s="54">
        <v>4</v>
      </c>
    </row>
    <row r="533" spans="1:12" ht="15">
      <c r="A533" s="39" t="s">
        <v>865</v>
      </c>
      <c r="B533" s="46" t="s">
        <v>285</v>
      </c>
      <c r="C533" s="39" t="s">
        <v>856</v>
      </c>
      <c r="D533" s="72">
        <v>110726520</v>
      </c>
      <c r="E533" s="73">
        <v>9197963782</v>
      </c>
      <c r="F533" s="39" t="s">
        <v>256</v>
      </c>
      <c r="G533" s="81">
        <v>35497</v>
      </c>
      <c r="H533" s="105" t="str">
        <f>CHOOSE(MONTH(G533),"January","February","March","April","May","June","July","August","September","October","November","December")</f>
        <v>March</v>
      </c>
      <c r="I533" s="51">
        <f ca="1">DATEDIF(G533,TODAY(),"Y")</f>
        <v>19</v>
      </c>
      <c r="J533" s="52" t="s">
        <v>257</v>
      </c>
      <c r="K533" s="53">
        <v>78710</v>
      </c>
      <c r="L533" s="54">
        <v>4</v>
      </c>
    </row>
    <row r="534" spans="1:12" ht="15">
      <c r="A534" s="39" t="s">
        <v>945</v>
      </c>
      <c r="B534" s="46" t="s">
        <v>285</v>
      </c>
      <c r="C534" s="39" t="s">
        <v>856</v>
      </c>
      <c r="D534" s="72">
        <v>337411408</v>
      </c>
      <c r="E534" s="73">
        <v>9194729409</v>
      </c>
      <c r="F534" s="39" t="s">
        <v>256</v>
      </c>
      <c r="G534" s="81">
        <v>36526</v>
      </c>
      <c r="H534" s="105" t="str">
        <f>CHOOSE(MONTH(G534),"January","February","March","April","May","June","July","August","September","October","November","December")</f>
        <v>January</v>
      </c>
      <c r="I534" s="51">
        <f ca="1">DATEDIF(G534,TODAY(),"Y")</f>
        <v>16</v>
      </c>
      <c r="J534" s="52" t="s">
        <v>257</v>
      </c>
      <c r="K534" s="53">
        <v>29260</v>
      </c>
      <c r="L534" s="54">
        <v>4</v>
      </c>
    </row>
    <row r="535" spans="1:12" ht="15">
      <c r="A535" s="39" t="s">
        <v>873</v>
      </c>
      <c r="B535" s="46" t="s">
        <v>245</v>
      </c>
      <c r="C535" s="39" t="s">
        <v>856</v>
      </c>
      <c r="D535" s="72">
        <v>357568979</v>
      </c>
      <c r="E535" s="73">
        <v>2524316324</v>
      </c>
      <c r="F535" s="39" t="s">
        <v>261</v>
      </c>
      <c r="G535" s="81">
        <v>37775</v>
      </c>
      <c r="H535" s="105" t="str">
        <f>CHOOSE(MONTH(G535),"January","February","March","April","May","June","July","August","September","October","November","December")</f>
        <v>June</v>
      </c>
      <c r="I535" s="51">
        <f ca="1">DATEDIF(G535,TODAY(),"Y")</f>
        <v>13</v>
      </c>
      <c r="J535" s="52" t="s">
        <v>262</v>
      </c>
      <c r="K535" s="53">
        <v>28525</v>
      </c>
      <c r="L535" s="54">
        <v>4</v>
      </c>
    </row>
    <row r="536" spans="1:12" ht="15">
      <c r="A536" s="39" t="s">
        <v>704</v>
      </c>
      <c r="B536" s="46" t="s">
        <v>271</v>
      </c>
      <c r="C536" s="39" t="s">
        <v>856</v>
      </c>
      <c r="D536" s="72">
        <v>412159105</v>
      </c>
      <c r="E536" s="73">
        <v>9198252392</v>
      </c>
      <c r="F536" s="39" t="s">
        <v>252</v>
      </c>
      <c r="G536" s="81">
        <v>35402</v>
      </c>
      <c r="H536" s="105" t="str">
        <f>CHOOSE(MONTH(G536),"January","February","March","April","May","June","July","August","September","October","November","December")</f>
        <v>December</v>
      </c>
      <c r="I536" s="51">
        <f ca="1">DATEDIF(G536,TODAY(),"Y")</f>
        <v>19</v>
      </c>
      <c r="J536" s="52"/>
      <c r="K536" s="53">
        <v>33508</v>
      </c>
      <c r="L536" s="54">
        <v>4</v>
      </c>
    </row>
    <row r="537" spans="1:12" ht="15">
      <c r="A537" s="39" t="s">
        <v>1020</v>
      </c>
      <c r="B537" s="46" t="s">
        <v>271</v>
      </c>
      <c r="C537" s="39" t="s">
        <v>856</v>
      </c>
      <c r="D537" s="72">
        <v>836953739</v>
      </c>
      <c r="E537" s="73">
        <v>2526443692</v>
      </c>
      <c r="F537" s="39" t="s">
        <v>261</v>
      </c>
      <c r="G537" s="81">
        <v>36531</v>
      </c>
      <c r="H537" s="105" t="str">
        <f>CHOOSE(MONTH(G537),"January","February","March","April","May","June","July","August","September","October","November","December")</f>
        <v>January</v>
      </c>
      <c r="I537" s="51">
        <f ca="1">DATEDIF(G537,TODAY(),"Y")</f>
        <v>16</v>
      </c>
      <c r="J537" s="52" t="s">
        <v>267</v>
      </c>
      <c r="K537" s="53">
        <v>20990</v>
      </c>
      <c r="L537" s="54">
        <v>4</v>
      </c>
    </row>
    <row r="538" spans="1:12" ht="15">
      <c r="A538" s="39" t="s">
        <v>978</v>
      </c>
      <c r="B538" s="46" t="s">
        <v>285</v>
      </c>
      <c r="C538" s="39" t="s">
        <v>856</v>
      </c>
      <c r="D538" s="72">
        <v>708082156</v>
      </c>
      <c r="E538" s="73">
        <v>9194919822</v>
      </c>
      <c r="F538" s="39" t="s">
        <v>256</v>
      </c>
      <c r="G538" s="81">
        <v>36312</v>
      </c>
      <c r="H538" s="105" t="str">
        <f>CHOOSE(MONTH(G538),"January","February","March","April","May","June","July","August","September","October","November","December")</f>
        <v>June</v>
      </c>
      <c r="I538" s="51">
        <f ca="1">DATEDIF(G538,TODAY(),"Y")</f>
        <v>17</v>
      </c>
      <c r="J538" s="52" t="s">
        <v>257</v>
      </c>
      <c r="K538" s="53">
        <v>69200</v>
      </c>
      <c r="L538" s="54">
        <v>4</v>
      </c>
    </row>
    <row r="539" spans="1:12" ht="15">
      <c r="A539" s="39" t="s">
        <v>595</v>
      </c>
      <c r="B539" s="46" t="s">
        <v>285</v>
      </c>
      <c r="C539" s="39" t="s">
        <v>856</v>
      </c>
      <c r="D539" s="72">
        <v>693965055</v>
      </c>
      <c r="E539" s="73">
        <v>2527853314</v>
      </c>
      <c r="F539" s="39" t="s">
        <v>256</v>
      </c>
      <c r="G539" s="81">
        <v>33711</v>
      </c>
      <c r="H539" s="105" t="str">
        <f>CHOOSE(MONTH(G539),"January","February","March","April","May","June","July","August","September","October","November","December")</f>
        <v>April</v>
      </c>
      <c r="I539" s="51">
        <f ca="1">DATEDIF(G539,TODAY(),"Y")</f>
        <v>24</v>
      </c>
      <c r="J539" s="52" t="s">
        <v>257</v>
      </c>
      <c r="K539" s="53">
        <v>68470</v>
      </c>
      <c r="L539" s="54">
        <v>4</v>
      </c>
    </row>
    <row r="540" spans="1:12" ht="15">
      <c r="A540" s="39" t="s">
        <v>1035</v>
      </c>
      <c r="B540" s="46" t="s">
        <v>251</v>
      </c>
      <c r="C540" s="39" t="s">
        <v>856</v>
      </c>
      <c r="D540" s="72">
        <v>593584018</v>
      </c>
      <c r="E540" s="73">
        <v>9194626281</v>
      </c>
      <c r="F540" s="39" t="s">
        <v>256</v>
      </c>
      <c r="G540" s="81">
        <v>33454</v>
      </c>
      <c r="H540" s="105" t="str">
        <f>CHOOSE(MONTH(G540),"January","February","March","April","May","June","July","August","September","October","November","December")</f>
        <v>August</v>
      </c>
      <c r="I540" s="51">
        <f ca="1">DATEDIF(G540,TODAY(),"Y")</f>
        <v>25</v>
      </c>
      <c r="J540" s="52" t="s">
        <v>257</v>
      </c>
      <c r="K540" s="53">
        <v>67920</v>
      </c>
      <c r="L540" s="54">
        <v>4</v>
      </c>
    </row>
    <row r="541" spans="1:12" ht="15">
      <c r="A541" s="39" t="s">
        <v>918</v>
      </c>
      <c r="B541" s="46" t="s">
        <v>266</v>
      </c>
      <c r="C541" s="39" t="s">
        <v>856</v>
      </c>
      <c r="D541" s="72">
        <v>733881041</v>
      </c>
      <c r="E541" s="73">
        <v>2524072342</v>
      </c>
      <c r="F541" s="39" t="s">
        <v>252</v>
      </c>
      <c r="G541" s="81">
        <v>36557</v>
      </c>
      <c r="H541" s="105" t="str">
        <f>CHOOSE(MONTH(G541),"January","February","March","April","May","June","July","August","September","October","November","December")</f>
        <v>February</v>
      </c>
      <c r="I541" s="51">
        <f ca="1">DATEDIF(G541,TODAY(),"Y")</f>
        <v>16</v>
      </c>
      <c r="J541" s="52"/>
      <c r="K541" s="53">
        <v>15552</v>
      </c>
      <c r="L541" s="54">
        <v>4</v>
      </c>
    </row>
    <row r="542" spans="1:12" ht="15">
      <c r="A542" s="39" t="s">
        <v>386</v>
      </c>
      <c r="B542" s="46" t="s">
        <v>271</v>
      </c>
      <c r="C542" s="39" t="s">
        <v>856</v>
      </c>
      <c r="D542" s="72">
        <v>548704405</v>
      </c>
      <c r="E542" s="73">
        <v>2526458440</v>
      </c>
      <c r="F542" s="39" t="s">
        <v>247</v>
      </c>
      <c r="G542" s="81">
        <v>36406</v>
      </c>
      <c r="H542" s="105" t="str">
        <f>CHOOSE(MONTH(G542),"January","February","March","April","May","June","July","August","September","October","November","December")</f>
        <v>September</v>
      </c>
      <c r="I542" s="51">
        <f ca="1">DATEDIF(G542,TODAY(),"Y")</f>
        <v>17</v>
      </c>
      <c r="J542" s="52"/>
      <c r="K542" s="53">
        <v>60800</v>
      </c>
      <c r="L542" s="54">
        <v>4</v>
      </c>
    </row>
    <row r="543" spans="1:12" ht="15">
      <c r="A543" s="39" t="s">
        <v>666</v>
      </c>
      <c r="B543" s="46" t="s">
        <v>245</v>
      </c>
      <c r="C543" s="39" t="s">
        <v>856</v>
      </c>
      <c r="D543" s="72">
        <v>221347766</v>
      </c>
      <c r="E543" s="73">
        <v>2526853122</v>
      </c>
      <c r="F543" s="39" t="s">
        <v>247</v>
      </c>
      <c r="G543" s="81">
        <v>36070</v>
      </c>
      <c r="H543" s="105" t="str">
        <f>CHOOSE(MONTH(G543),"January","February","March","April","May","June","July","August","September","October","November","December")</f>
        <v>October</v>
      </c>
      <c r="I543" s="51">
        <f ca="1">DATEDIF(G543,TODAY(),"Y")</f>
        <v>18</v>
      </c>
      <c r="J543" s="52"/>
      <c r="K543" s="53">
        <v>59050</v>
      </c>
      <c r="L543" s="54">
        <v>4</v>
      </c>
    </row>
    <row r="544" spans="1:12" ht="15">
      <c r="A544" s="39" t="s">
        <v>621</v>
      </c>
      <c r="B544" s="46" t="s">
        <v>285</v>
      </c>
      <c r="C544" s="39" t="s">
        <v>856</v>
      </c>
      <c r="D544" s="72">
        <v>135633006</v>
      </c>
      <c r="E544" s="73">
        <v>2526732103</v>
      </c>
      <c r="F544" s="39" t="s">
        <v>247</v>
      </c>
      <c r="G544" s="81">
        <v>36479</v>
      </c>
      <c r="H544" s="105" t="str">
        <f>CHOOSE(MONTH(G544),"January","February","March","April","May","June","July","August","September","October","November","December")</f>
        <v>November</v>
      </c>
      <c r="I544" s="51">
        <f ca="1">DATEDIF(G544,TODAY(),"Y")</f>
        <v>16</v>
      </c>
      <c r="J544" s="52"/>
      <c r="K544" s="53">
        <v>54840</v>
      </c>
      <c r="L544" s="54">
        <v>4</v>
      </c>
    </row>
    <row r="545" spans="1:12" ht="15">
      <c r="A545" s="39" t="s">
        <v>1016</v>
      </c>
      <c r="B545" s="46" t="s">
        <v>285</v>
      </c>
      <c r="C545" s="39" t="s">
        <v>856</v>
      </c>
      <c r="D545" s="72">
        <v>100703382</v>
      </c>
      <c r="E545" s="73">
        <v>9195157047</v>
      </c>
      <c r="F545" s="39" t="s">
        <v>256</v>
      </c>
      <c r="G545" s="81">
        <v>34160</v>
      </c>
      <c r="H545" s="105" t="str">
        <f>CHOOSE(MONTH(G545),"January","February","March","April","May","June","July","August","September","October","November","December")</f>
        <v>July</v>
      </c>
      <c r="I545" s="51">
        <f ca="1">DATEDIF(G545,TODAY(),"Y")</f>
        <v>23</v>
      </c>
      <c r="J545" s="52" t="s">
        <v>257</v>
      </c>
      <c r="K545" s="53">
        <v>54200</v>
      </c>
      <c r="L545" s="54">
        <v>4</v>
      </c>
    </row>
    <row r="546" spans="1:12" ht="15">
      <c r="A546" s="39" t="s">
        <v>741</v>
      </c>
      <c r="B546" s="46" t="s">
        <v>266</v>
      </c>
      <c r="C546" s="39" t="s">
        <v>930</v>
      </c>
      <c r="D546" s="72">
        <v>626648632</v>
      </c>
      <c r="E546" s="73">
        <v>2526412482</v>
      </c>
      <c r="F546" s="39" t="s">
        <v>247</v>
      </c>
      <c r="G546" s="81">
        <v>37453</v>
      </c>
      <c r="H546" s="105" t="str">
        <f>CHOOSE(MONTH(G546),"January","February","March","April","May","June","July","August","September","October","November","December")</f>
        <v>July</v>
      </c>
      <c r="I546" s="51">
        <f ca="1">DATEDIF(G546,TODAY(),"Y")</f>
        <v>14</v>
      </c>
      <c r="J546" s="52"/>
      <c r="K546" s="53">
        <v>49090</v>
      </c>
      <c r="L546" s="54">
        <v>4</v>
      </c>
    </row>
    <row r="547" spans="1:12" ht="15">
      <c r="A547" s="39" t="s">
        <v>884</v>
      </c>
      <c r="B547" s="46" t="s">
        <v>266</v>
      </c>
      <c r="C547" s="39" t="s">
        <v>930</v>
      </c>
      <c r="D547" s="72">
        <v>941937371</v>
      </c>
      <c r="E547" s="73">
        <v>9195060466</v>
      </c>
      <c r="F547" s="39" t="s">
        <v>256</v>
      </c>
      <c r="G547" s="81">
        <v>35776</v>
      </c>
      <c r="H547" s="105" t="str">
        <f>CHOOSE(MONTH(G547),"January","February","March","April","May","June","July","August","September","October","November","December")</f>
        <v>December</v>
      </c>
      <c r="I547" s="51">
        <f ca="1">DATEDIF(G547,TODAY(),"Y")</f>
        <v>18</v>
      </c>
      <c r="J547" s="52" t="s">
        <v>257</v>
      </c>
      <c r="K547" s="53">
        <v>86320</v>
      </c>
      <c r="L547" s="54">
        <v>4</v>
      </c>
    </row>
    <row r="548" spans="1:12" ht="15">
      <c r="A548" s="39" t="s">
        <v>693</v>
      </c>
      <c r="B548" s="46" t="s">
        <v>285</v>
      </c>
      <c r="C548" s="39" t="s">
        <v>930</v>
      </c>
      <c r="D548" s="72">
        <v>717503282</v>
      </c>
      <c r="E548" s="73">
        <v>2522400087</v>
      </c>
      <c r="F548" s="39" t="s">
        <v>247</v>
      </c>
      <c r="G548" s="81">
        <v>40523</v>
      </c>
      <c r="H548" s="105" t="str">
        <f>CHOOSE(MONTH(G548),"January","February","March","April","May","June","July","August","September","October","November","December")</f>
        <v>December</v>
      </c>
      <c r="I548" s="51">
        <f ca="1">DATEDIF(G548,TODAY(),"Y")</f>
        <v>5</v>
      </c>
      <c r="J548" s="52"/>
      <c r="K548" s="53">
        <v>46570</v>
      </c>
      <c r="L548" s="54">
        <v>4</v>
      </c>
    </row>
    <row r="549" spans="1:12" ht="15">
      <c r="A549" s="39" t="s">
        <v>982</v>
      </c>
      <c r="B549" s="46" t="s">
        <v>285</v>
      </c>
      <c r="C549" s="39" t="s">
        <v>930</v>
      </c>
      <c r="D549" s="72">
        <v>904497673</v>
      </c>
      <c r="E549" s="73">
        <v>2521277028</v>
      </c>
      <c r="F549" s="39" t="s">
        <v>247</v>
      </c>
      <c r="G549" s="81">
        <v>33144</v>
      </c>
      <c r="H549" s="105" t="str">
        <f>CHOOSE(MONTH(G549),"January","February","March","April","May","June","July","August","September","October","November","December")</f>
        <v>September</v>
      </c>
      <c r="I549" s="51">
        <f ca="1">DATEDIF(G549,TODAY(),"Y")</f>
        <v>26</v>
      </c>
      <c r="J549" s="52"/>
      <c r="K549" s="53">
        <v>23340</v>
      </c>
      <c r="L549" s="54">
        <v>4</v>
      </c>
    </row>
    <row r="550" spans="1:12" ht="15">
      <c r="A550" s="39" t="s">
        <v>297</v>
      </c>
      <c r="B550" s="46" t="s">
        <v>285</v>
      </c>
      <c r="C550" s="39" t="s">
        <v>930</v>
      </c>
      <c r="D550" s="72">
        <v>894855096</v>
      </c>
      <c r="E550" s="73">
        <v>9193936198</v>
      </c>
      <c r="F550" s="39" t="s">
        <v>261</v>
      </c>
      <c r="G550" s="81">
        <v>35466</v>
      </c>
      <c r="H550" s="105" t="str">
        <f>CHOOSE(MONTH(G550),"January","February","March","April","May","June","July","August","September","October","November","December")</f>
        <v>February</v>
      </c>
      <c r="I550" s="51">
        <f ca="1">DATEDIF(G550,TODAY(),"Y")</f>
        <v>19</v>
      </c>
      <c r="J550" s="52" t="s">
        <v>262</v>
      </c>
      <c r="K550" s="53">
        <v>37660</v>
      </c>
      <c r="L550" s="54">
        <v>4</v>
      </c>
    </row>
    <row r="551" spans="1:12" ht="15">
      <c r="A551" s="39" t="s">
        <v>350</v>
      </c>
      <c r="B551" s="46" t="s">
        <v>285</v>
      </c>
      <c r="C551" s="39" t="s">
        <v>930</v>
      </c>
      <c r="D551" s="72">
        <v>186346711</v>
      </c>
      <c r="E551" s="73">
        <v>9194900514</v>
      </c>
      <c r="F551" s="39" t="s">
        <v>256</v>
      </c>
      <c r="G551" s="81">
        <v>36619</v>
      </c>
      <c r="H551" s="105" t="str">
        <f>CHOOSE(MONTH(G551),"January","February","March","April","May","June","July","August","September","October","November","December")</f>
        <v>April</v>
      </c>
      <c r="I551" s="51">
        <f ca="1">DATEDIF(G551,TODAY(),"Y")</f>
        <v>16</v>
      </c>
      <c r="J551" s="52" t="s">
        <v>262</v>
      </c>
      <c r="K551" s="53">
        <v>71970</v>
      </c>
      <c r="L551" s="54">
        <v>4</v>
      </c>
    </row>
    <row r="552" spans="1:12" ht="15">
      <c r="A552" s="39" t="s">
        <v>308</v>
      </c>
      <c r="B552" s="46" t="s">
        <v>251</v>
      </c>
      <c r="C552" s="39" t="s">
        <v>930</v>
      </c>
      <c r="D552" s="72">
        <v>799754905</v>
      </c>
      <c r="E552" s="73">
        <v>2526757210</v>
      </c>
      <c r="F552" s="39" t="s">
        <v>256</v>
      </c>
      <c r="G552" s="81">
        <v>35307</v>
      </c>
      <c r="H552" s="105" t="str">
        <f>CHOOSE(MONTH(G552),"January","February","March","April","May","June","July","August","September","October","November","December")</f>
        <v>August</v>
      </c>
      <c r="I552" s="51">
        <f ca="1">DATEDIF(G552,TODAY(),"Y")</f>
        <v>20</v>
      </c>
      <c r="J552" s="52" t="s">
        <v>257</v>
      </c>
      <c r="K552" s="53">
        <v>31690</v>
      </c>
      <c r="L552" s="54">
        <v>4</v>
      </c>
    </row>
    <row r="553" spans="1:12" ht="15">
      <c r="A553" s="39" t="s">
        <v>289</v>
      </c>
      <c r="B553" s="46" t="s">
        <v>285</v>
      </c>
      <c r="C553" s="39" t="s">
        <v>930</v>
      </c>
      <c r="D553" s="72">
        <v>862698919</v>
      </c>
      <c r="E553" s="73">
        <v>2522780847</v>
      </c>
      <c r="F553" s="39" t="s">
        <v>256</v>
      </c>
      <c r="G553" s="81">
        <v>38328</v>
      </c>
      <c r="H553" s="105" t="str">
        <f>CHOOSE(MONTH(G553),"January","February","March","April","May","June","July","August","September","October","November","December")</f>
        <v>December</v>
      </c>
      <c r="I553" s="51">
        <f ca="1">DATEDIF(G553,TODAY(),"Y")</f>
        <v>11</v>
      </c>
      <c r="J553" s="52" t="s">
        <v>262</v>
      </c>
      <c r="K553" s="53">
        <v>48280</v>
      </c>
      <c r="L553" s="54">
        <v>4</v>
      </c>
    </row>
    <row r="554" spans="1:12" ht="15">
      <c r="A554" s="39" t="s">
        <v>711</v>
      </c>
      <c r="B554" s="46" t="s">
        <v>251</v>
      </c>
      <c r="C554" s="39" t="s">
        <v>930</v>
      </c>
      <c r="D554" s="72">
        <v>995590510</v>
      </c>
      <c r="E554" s="73">
        <v>9191838930</v>
      </c>
      <c r="F554" s="39" t="s">
        <v>247</v>
      </c>
      <c r="G554" s="103">
        <v>40638</v>
      </c>
      <c r="H554" s="105" t="str">
        <f>CHOOSE(MONTH(G554),"January","February","March","April","May","June","July","August","September","October","November","December")</f>
        <v>April</v>
      </c>
      <c r="I554" s="51">
        <f ca="1">DATEDIF(G554,TODAY(),"Y")</f>
        <v>5</v>
      </c>
      <c r="J554" s="52"/>
      <c r="K554" s="53">
        <v>42990</v>
      </c>
      <c r="L554" s="54">
        <v>4</v>
      </c>
    </row>
    <row r="555" spans="1:12" ht="15">
      <c r="A555" s="39" t="s">
        <v>787</v>
      </c>
      <c r="B555" s="46" t="s">
        <v>285</v>
      </c>
      <c r="C555" s="39" t="s">
        <v>930</v>
      </c>
      <c r="D555" s="72">
        <v>471064761</v>
      </c>
      <c r="E555" s="73">
        <v>9191800673</v>
      </c>
      <c r="F555" s="39" t="s">
        <v>252</v>
      </c>
      <c r="G555" s="81">
        <v>34825</v>
      </c>
      <c r="H555" s="105" t="str">
        <f>CHOOSE(MONTH(G555),"January","February","March","April","May","June","July","August","September","October","November","December")</f>
        <v>May</v>
      </c>
      <c r="I555" s="51">
        <f ca="1">DATEDIF(G555,TODAY(),"Y")</f>
        <v>21</v>
      </c>
      <c r="J555" s="52"/>
      <c r="K555" s="53">
        <v>26944</v>
      </c>
      <c r="L555" s="54">
        <v>4</v>
      </c>
    </row>
    <row r="556" spans="1:12" ht="15">
      <c r="A556" s="39" t="s">
        <v>829</v>
      </c>
      <c r="B556" s="46" t="s">
        <v>285</v>
      </c>
      <c r="C556" s="39" t="s">
        <v>930</v>
      </c>
      <c r="D556" s="72">
        <v>283476654</v>
      </c>
      <c r="E556" s="73">
        <v>9197049910</v>
      </c>
      <c r="F556" s="39" t="s">
        <v>256</v>
      </c>
      <c r="G556" s="81">
        <v>33681</v>
      </c>
      <c r="H556" s="105" t="str">
        <f>CHOOSE(MONTH(G556),"January","February","March","April","May","June","July","August","September","October","November","December")</f>
        <v>March</v>
      </c>
      <c r="I556" s="51">
        <f ca="1">DATEDIF(G556,TODAY(),"Y")</f>
        <v>24</v>
      </c>
      <c r="J556" s="52" t="s">
        <v>262</v>
      </c>
      <c r="K556" s="53">
        <v>46550</v>
      </c>
      <c r="L556" s="54">
        <v>4</v>
      </c>
    </row>
    <row r="557" spans="1:12" ht="15">
      <c r="A557" s="39" t="s">
        <v>521</v>
      </c>
      <c r="B557" s="46" t="s">
        <v>285</v>
      </c>
      <c r="C557" s="39" t="s">
        <v>930</v>
      </c>
      <c r="D557" s="72">
        <v>212558012</v>
      </c>
      <c r="E557" s="73">
        <v>2526860208</v>
      </c>
      <c r="F557" s="39" t="s">
        <v>256</v>
      </c>
      <c r="G557" s="81">
        <v>36967</v>
      </c>
      <c r="H557" s="105" t="str">
        <f>CHOOSE(MONTH(G557),"January","February","March","April","May","June","July","August","September","October","November","December")</f>
        <v>March</v>
      </c>
      <c r="I557" s="51">
        <f ca="1">DATEDIF(G557,TODAY(),"Y")</f>
        <v>15</v>
      </c>
      <c r="J557" s="52" t="s">
        <v>257</v>
      </c>
      <c r="K557" s="53">
        <v>63060</v>
      </c>
      <c r="L557" s="54">
        <v>4</v>
      </c>
    </row>
    <row r="558" spans="1:12" ht="15">
      <c r="A558" s="39" t="s">
        <v>824</v>
      </c>
      <c r="B558" s="46" t="s">
        <v>245</v>
      </c>
      <c r="C558" s="39" t="s">
        <v>930</v>
      </c>
      <c r="D558" s="72">
        <v>145495793</v>
      </c>
      <c r="E558" s="73">
        <v>2521603964</v>
      </c>
      <c r="F558" s="39" t="s">
        <v>261</v>
      </c>
      <c r="G558" s="81">
        <v>34960</v>
      </c>
      <c r="H558" s="105" t="str">
        <f>CHOOSE(MONTH(G558),"January","February","March","April","May","June","July","August","September","October","November","December")</f>
        <v>September</v>
      </c>
      <c r="I558" s="51">
        <f ca="1">DATEDIF(G558,TODAY(),"Y")</f>
        <v>21</v>
      </c>
      <c r="J558" s="52" t="s">
        <v>276</v>
      </c>
      <c r="K558" s="53">
        <v>23000</v>
      </c>
      <c r="L558" s="54">
        <v>4</v>
      </c>
    </row>
    <row r="559" spans="1:12" ht="15">
      <c r="A559" s="39" t="s">
        <v>435</v>
      </c>
      <c r="B559" s="46" t="s">
        <v>271</v>
      </c>
      <c r="C559" s="39" t="s">
        <v>930</v>
      </c>
      <c r="D559" s="72">
        <v>111616346</v>
      </c>
      <c r="E559" s="73">
        <v>2525717431</v>
      </c>
      <c r="F559" s="39" t="s">
        <v>247</v>
      </c>
      <c r="G559" s="81">
        <v>33506</v>
      </c>
      <c r="H559" s="105" t="str">
        <f>CHOOSE(MONTH(G559),"January","February","March","April","May","June","July","August","September","October","November","December")</f>
        <v>September</v>
      </c>
      <c r="I559" s="51">
        <f ca="1">DATEDIF(G559,TODAY(),"Y")</f>
        <v>25</v>
      </c>
      <c r="J559" s="52"/>
      <c r="K559" s="53">
        <v>61134</v>
      </c>
      <c r="L559" s="54">
        <v>4</v>
      </c>
    </row>
    <row r="560" spans="1:12" ht="15">
      <c r="A560" s="39" t="s">
        <v>676</v>
      </c>
      <c r="B560" s="46" t="s">
        <v>245</v>
      </c>
      <c r="C560" s="39" t="s">
        <v>930</v>
      </c>
      <c r="D560" s="72">
        <v>741258203</v>
      </c>
      <c r="E560" s="73">
        <v>9195157707</v>
      </c>
      <c r="F560" s="39" t="s">
        <v>247</v>
      </c>
      <c r="G560" s="81">
        <v>33789</v>
      </c>
      <c r="H560" s="105" t="str">
        <f>CHOOSE(MONTH(G560),"January","February","March","April","May","June","July","August","September","October","November","December")</f>
        <v>July</v>
      </c>
      <c r="I560" s="51">
        <f ca="1">DATEDIF(G560,TODAY(),"Y")</f>
        <v>24</v>
      </c>
      <c r="J560" s="52"/>
      <c r="K560" s="53">
        <v>59128</v>
      </c>
      <c r="L560" s="54">
        <v>4</v>
      </c>
    </row>
    <row r="561" spans="1:12" ht="15">
      <c r="A561" s="39" t="s">
        <v>413</v>
      </c>
      <c r="B561" s="46" t="s">
        <v>285</v>
      </c>
      <c r="C561" s="39" t="s">
        <v>930</v>
      </c>
      <c r="D561" s="72">
        <v>891224981</v>
      </c>
      <c r="E561" s="73">
        <v>2526391402</v>
      </c>
      <c r="F561" s="39" t="s">
        <v>261</v>
      </c>
      <c r="G561" s="81">
        <v>34140</v>
      </c>
      <c r="H561" s="105" t="str">
        <f>CHOOSE(MONTH(G561),"January","February","March","April","May","June","July","August","September","October","November","December")</f>
        <v>June</v>
      </c>
      <c r="I561" s="51">
        <f ca="1">DATEDIF(G561,TODAY(),"Y")</f>
        <v>23</v>
      </c>
      <c r="J561" s="52" t="s">
        <v>276</v>
      </c>
      <c r="K561" s="53">
        <v>11230</v>
      </c>
      <c r="L561" s="54">
        <v>4</v>
      </c>
    </row>
    <row r="562" spans="1:12" ht="15">
      <c r="A562" s="39" t="s">
        <v>725</v>
      </c>
      <c r="B562" s="46" t="s">
        <v>271</v>
      </c>
      <c r="C562" s="39" t="s">
        <v>930</v>
      </c>
      <c r="D562" s="72">
        <v>308317457</v>
      </c>
      <c r="E562" s="73">
        <v>9192729524</v>
      </c>
      <c r="F562" s="39" t="s">
        <v>256</v>
      </c>
      <c r="G562" s="103">
        <v>40680</v>
      </c>
      <c r="H562" s="105" t="str">
        <f>CHOOSE(MONTH(G562),"January","February","March","April","May","June","July","August","September","October","November","December")</f>
        <v>May</v>
      </c>
      <c r="I562" s="51">
        <f ca="1">DATEDIF(G562,TODAY(),"Y")</f>
        <v>5</v>
      </c>
      <c r="J562" s="52" t="s">
        <v>257</v>
      </c>
      <c r="K562" s="53">
        <v>23030</v>
      </c>
      <c r="L562" s="54">
        <v>4</v>
      </c>
    </row>
    <row r="563" spans="1:12" ht="15">
      <c r="A563" s="39" t="s">
        <v>1022</v>
      </c>
      <c r="B563" s="46" t="s">
        <v>245</v>
      </c>
      <c r="C563" s="39" t="s">
        <v>1025</v>
      </c>
      <c r="D563" s="72">
        <v>776823797</v>
      </c>
      <c r="E563" s="73">
        <v>9193482736</v>
      </c>
      <c r="F563" s="39" t="s">
        <v>247</v>
      </c>
      <c r="G563" s="81">
        <v>33387</v>
      </c>
      <c r="H563" s="105" t="str">
        <f>CHOOSE(MONTH(G563),"January","February","March","April","May","June","July","August","September","October","November","December")</f>
        <v>May</v>
      </c>
      <c r="I563" s="51">
        <f ca="1">DATEDIF(G563,TODAY(),"Y")</f>
        <v>25</v>
      </c>
      <c r="J563" s="52"/>
      <c r="K563" s="53">
        <v>85510</v>
      </c>
      <c r="L563" s="54">
        <v>4</v>
      </c>
    </row>
    <row r="564" spans="1:12" ht="15">
      <c r="A564" s="39" t="s">
        <v>673</v>
      </c>
      <c r="B564" s="46" t="s">
        <v>271</v>
      </c>
      <c r="C564" s="39" t="s">
        <v>1025</v>
      </c>
      <c r="D564" s="72">
        <v>106099892</v>
      </c>
      <c r="E564" s="73">
        <v>9194436681</v>
      </c>
      <c r="F564" s="39" t="s">
        <v>247</v>
      </c>
      <c r="G564" s="81">
        <v>40719</v>
      </c>
      <c r="H564" s="105" t="str">
        <f>CHOOSE(MONTH(G564),"January","February","March","April","May","June","July","August","September","October","November","December")</f>
        <v>June</v>
      </c>
      <c r="I564" s="51">
        <f ca="1">DATEDIF(G564,TODAY(),"Y")</f>
        <v>5</v>
      </c>
      <c r="J564" s="52"/>
      <c r="K564" s="53">
        <v>66132</v>
      </c>
      <c r="L564" s="54">
        <v>4</v>
      </c>
    </row>
    <row r="565" spans="1:12" ht="15">
      <c r="A565" s="39" t="s">
        <v>790</v>
      </c>
      <c r="B565" s="46" t="s">
        <v>245</v>
      </c>
      <c r="C565" s="45" t="s">
        <v>246</v>
      </c>
      <c r="D565" s="47">
        <v>948195711</v>
      </c>
      <c r="E565" s="48">
        <v>2523539786</v>
      </c>
      <c r="F565" s="45" t="s">
        <v>247</v>
      </c>
      <c r="G565" s="105">
        <v>39147</v>
      </c>
      <c r="H565" s="105" t="str">
        <f>CHOOSE(MONTH(G565),"January","February","March","April","May","June","July","August","September","October","November","December")</f>
        <v>March</v>
      </c>
      <c r="I565" s="51">
        <f ca="1">DATEDIF(G565,TODAY(),"Y")</f>
        <v>9</v>
      </c>
      <c r="J565" s="52"/>
      <c r="K565" s="53">
        <v>42540</v>
      </c>
      <c r="L565" s="54">
        <v>5</v>
      </c>
    </row>
    <row r="566" spans="1:12" ht="15">
      <c r="A566" s="39" t="s">
        <v>717</v>
      </c>
      <c r="B566" s="46" t="s">
        <v>285</v>
      </c>
      <c r="C566" s="39" t="s">
        <v>272</v>
      </c>
      <c r="D566" s="72">
        <v>608796012</v>
      </c>
      <c r="E566" s="73">
        <v>9194075460</v>
      </c>
      <c r="F566" s="39" t="s">
        <v>256</v>
      </c>
      <c r="G566" s="81">
        <v>33831</v>
      </c>
      <c r="H566" s="105" t="str">
        <f>CHOOSE(MONTH(G566),"January","February","March","April","May","June","July","August","September","October","November","December")</f>
        <v>August</v>
      </c>
      <c r="I566" s="51">
        <f ca="1">DATEDIF(G566,TODAY(),"Y")</f>
        <v>24</v>
      </c>
      <c r="J566" s="52" t="s">
        <v>257</v>
      </c>
      <c r="K566" s="53">
        <v>79760</v>
      </c>
      <c r="L566" s="54">
        <v>5</v>
      </c>
    </row>
    <row r="567" spans="1:12" ht="15">
      <c r="A567" s="39" t="s">
        <v>702</v>
      </c>
      <c r="B567" s="46" t="s">
        <v>251</v>
      </c>
      <c r="C567" s="39" t="s">
        <v>272</v>
      </c>
      <c r="D567" s="72">
        <v>481336564</v>
      </c>
      <c r="E567" s="73">
        <v>9196479087</v>
      </c>
      <c r="F567" s="39" t="s">
        <v>256</v>
      </c>
      <c r="G567" s="81">
        <v>36143</v>
      </c>
      <c r="H567" s="105" t="str">
        <f>CHOOSE(MONTH(G567),"January","February","March","April","May","June","July","August","September","October","November","December")</f>
        <v>December</v>
      </c>
      <c r="I567" s="51">
        <f ca="1">DATEDIF(G567,TODAY(),"Y")</f>
        <v>17</v>
      </c>
      <c r="J567" s="52" t="s">
        <v>283</v>
      </c>
      <c r="K567" s="53">
        <v>72090</v>
      </c>
      <c r="L567" s="54">
        <v>5</v>
      </c>
    </row>
    <row r="568" spans="1:12" ht="15">
      <c r="A568" s="39" t="s">
        <v>581</v>
      </c>
      <c r="B568" s="46" t="s">
        <v>271</v>
      </c>
      <c r="C568" s="39" t="s">
        <v>272</v>
      </c>
      <c r="D568" s="72">
        <v>202815919</v>
      </c>
      <c r="E568" s="73">
        <v>2528467597</v>
      </c>
      <c r="F568" s="39" t="s">
        <v>247</v>
      </c>
      <c r="G568" s="81">
        <v>34076</v>
      </c>
      <c r="H568" s="105" t="str">
        <f>CHOOSE(MONTH(G568),"January","February","March","April","May","June","July","August","September","October","November","December")</f>
        <v>April</v>
      </c>
      <c r="I568" s="51">
        <f ca="1">DATEDIF(G568,TODAY(),"Y")</f>
        <v>23</v>
      </c>
      <c r="J568" s="52"/>
      <c r="K568" s="53">
        <v>66580</v>
      </c>
      <c r="L568" s="54">
        <v>5</v>
      </c>
    </row>
    <row r="569" spans="1:12" ht="15">
      <c r="A569" s="39" t="s">
        <v>747</v>
      </c>
      <c r="B569" s="46" t="s">
        <v>245</v>
      </c>
      <c r="C569" s="45" t="s">
        <v>272</v>
      </c>
      <c r="D569" s="47">
        <v>297852686</v>
      </c>
      <c r="E569" s="48">
        <v>2525832994</v>
      </c>
      <c r="F569" s="45" t="s">
        <v>256</v>
      </c>
      <c r="G569" s="105">
        <v>39704</v>
      </c>
      <c r="H569" s="105" t="str">
        <f>CHOOSE(MONTH(G569),"January","February","March","April","May","June","July","August","September","October","November","December")</f>
        <v>September</v>
      </c>
      <c r="I569" s="51">
        <f ca="1">DATEDIF(G569,TODAY(),"Y")</f>
        <v>8</v>
      </c>
      <c r="J569" s="52" t="s">
        <v>276</v>
      </c>
      <c r="K569" s="53">
        <v>58290</v>
      </c>
      <c r="L569" s="54">
        <v>5</v>
      </c>
    </row>
    <row r="570" spans="1:12" ht="15">
      <c r="A570" s="39" t="s">
        <v>797</v>
      </c>
      <c r="B570" s="46" t="s">
        <v>285</v>
      </c>
      <c r="C570" s="39" t="s">
        <v>312</v>
      </c>
      <c r="D570" s="72">
        <v>427811310</v>
      </c>
      <c r="E570" s="73">
        <v>9191362796</v>
      </c>
      <c r="F570" s="39" t="s">
        <v>247</v>
      </c>
      <c r="G570" s="81">
        <v>38907</v>
      </c>
      <c r="H570" s="105" t="str">
        <f>CHOOSE(MONTH(G570),"January","February","March","April","May","June","July","August","September","October","November","December")</f>
        <v>July</v>
      </c>
      <c r="I570" s="51">
        <f ca="1">DATEDIF(G570,TODAY(),"Y")</f>
        <v>10</v>
      </c>
      <c r="J570" s="52"/>
      <c r="K570" s="53">
        <v>89310</v>
      </c>
      <c r="L570" s="54">
        <v>5</v>
      </c>
    </row>
    <row r="571" spans="1:12" ht="15">
      <c r="A571" s="39" t="s">
        <v>939</v>
      </c>
      <c r="B571" s="46" t="s">
        <v>266</v>
      </c>
      <c r="C571" s="39" t="s">
        <v>312</v>
      </c>
      <c r="D571" s="72">
        <v>267218084</v>
      </c>
      <c r="E571" s="73">
        <v>9193825834</v>
      </c>
      <c r="F571" s="39" t="s">
        <v>247</v>
      </c>
      <c r="G571" s="81">
        <v>35940</v>
      </c>
      <c r="H571" s="105" t="str">
        <f>CHOOSE(MONTH(G571),"January","February","March","April","May","June","July","August","September","October","November","December")</f>
        <v>May</v>
      </c>
      <c r="I571" s="51">
        <f ca="1">DATEDIF(G571,TODAY(),"Y")</f>
        <v>18</v>
      </c>
      <c r="J571" s="52"/>
      <c r="K571" s="53">
        <v>88000</v>
      </c>
      <c r="L571" s="54">
        <v>5</v>
      </c>
    </row>
    <row r="572" spans="1:12" ht="15">
      <c r="A572" s="39" t="s">
        <v>993</v>
      </c>
      <c r="B572" s="46" t="s">
        <v>271</v>
      </c>
      <c r="C572" s="39" t="s">
        <v>312</v>
      </c>
      <c r="D572" s="72">
        <v>981106829</v>
      </c>
      <c r="E572" s="73">
        <v>2526196095</v>
      </c>
      <c r="F572" s="39" t="s">
        <v>247</v>
      </c>
      <c r="G572" s="81">
        <v>35848</v>
      </c>
      <c r="H572" s="105" t="str">
        <f>CHOOSE(MONTH(G572),"January","February","March","April","May","June","July","August","September","October","November","December")</f>
        <v>February</v>
      </c>
      <c r="I572" s="51">
        <f ca="1">DATEDIF(G572,TODAY(),"Y")</f>
        <v>18</v>
      </c>
      <c r="J572" s="52"/>
      <c r="K572" s="53">
        <v>85480</v>
      </c>
      <c r="L572" s="54">
        <v>5</v>
      </c>
    </row>
    <row r="573" spans="1:12" ht="15">
      <c r="A573" s="39" t="s">
        <v>471</v>
      </c>
      <c r="B573" s="46" t="s">
        <v>251</v>
      </c>
      <c r="C573" s="39" t="s">
        <v>312</v>
      </c>
      <c r="D573" s="72">
        <v>344090854</v>
      </c>
      <c r="E573" s="73">
        <v>2523542524</v>
      </c>
      <c r="F573" s="39" t="s">
        <v>256</v>
      </c>
      <c r="G573" s="81">
        <v>35197</v>
      </c>
      <c r="H573" s="105" t="str">
        <f>CHOOSE(MONTH(G573),"January","February","March","April","May","June","July","August","September","October","November","December")</f>
        <v>May</v>
      </c>
      <c r="I573" s="51">
        <f ca="1">DATEDIF(G573,TODAY(),"Y")</f>
        <v>20</v>
      </c>
      <c r="J573" s="52" t="s">
        <v>276</v>
      </c>
      <c r="K573" s="53">
        <v>82120</v>
      </c>
      <c r="L573" s="54">
        <v>5</v>
      </c>
    </row>
    <row r="574" spans="1:12" ht="15">
      <c r="A574" s="39" t="s">
        <v>941</v>
      </c>
      <c r="B574" s="46" t="s">
        <v>285</v>
      </c>
      <c r="C574" s="39" t="s">
        <v>312</v>
      </c>
      <c r="D574" s="72">
        <v>653843221</v>
      </c>
      <c r="E574" s="73">
        <v>9197713771</v>
      </c>
      <c r="F574" s="39" t="s">
        <v>247</v>
      </c>
      <c r="G574" s="81">
        <v>39959</v>
      </c>
      <c r="H574" s="105" t="str">
        <f>CHOOSE(MONTH(G574),"January","February","March","April","May","June","July","August","September","October","November","December")</f>
        <v>May</v>
      </c>
      <c r="I574" s="51">
        <f ca="1">DATEDIF(G574,TODAY(),"Y")</f>
        <v>7</v>
      </c>
      <c r="J574" s="52"/>
      <c r="K574" s="53">
        <v>79460</v>
      </c>
      <c r="L574" s="54">
        <v>5</v>
      </c>
    </row>
    <row r="575" spans="1:12" ht="15">
      <c r="A575" s="39" t="s">
        <v>692</v>
      </c>
      <c r="B575" s="46" t="s">
        <v>271</v>
      </c>
      <c r="C575" s="39" t="s">
        <v>312</v>
      </c>
      <c r="D575" s="72">
        <v>873100939</v>
      </c>
      <c r="E575" s="73">
        <v>9191259179</v>
      </c>
      <c r="F575" s="39" t="s">
        <v>256</v>
      </c>
      <c r="G575" s="81">
        <v>40085</v>
      </c>
      <c r="H575" s="105" t="str">
        <f>CHOOSE(MONTH(G575),"January","February","March","April","May","June","July","August","September","October","November","December")</f>
        <v>September</v>
      </c>
      <c r="I575" s="51">
        <f ca="1">DATEDIF(G575,TODAY(),"Y")</f>
        <v>7</v>
      </c>
      <c r="J575" s="52" t="s">
        <v>257</v>
      </c>
      <c r="K575" s="53">
        <v>41490</v>
      </c>
      <c r="L575" s="54">
        <v>5</v>
      </c>
    </row>
    <row r="576" spans="1:12" ht="15">
      <c r="A576" s="39" t="s">
        <v>703</v>
      </c>
      <c r="B576" s="46" t="s">
        <v>271</v>
      </c>
      <c r="C576" s="39" t="s">
        <v>312</v>
      </c>
      <c r="D576" s="72">
        <v>923665952</v>
      </c>
      <c r="E576" s="73">
        <v>2525295649</v>
      </c>
      <c r="F576" s="39" t="s">
        <v>256</v>
      </c>
      <c r="G576" s="81">
        <v>35086</v>
      </c>
      <c r="H576" s="105" t="str">
        <f>CHOOSE(MONTH(G576),"January","February","March","April","May","June","July","August","September","October","November","December")</f>
        <v>January</v>
      </c>
      <c r="I576" s="51">
        <f ca="1">DATEDIF(G576,TODAY(),"Y")</f>
        <v>20</v>
      </c>
      <c r="J576" s="52" t="s">
        <v>267</v>
      </c>
      <c r="K576" s="53">
        <v>77350</v>
      </c>
      <c r="L576" s="54">
        <v>5</v>
      </c>
    </row>
    <row r="577" spans="1:12" ht="15">
      <c r="A577" s="39" t="s">
        <v>770</v>
      </c>
      <c r="B577" s="46" t="s">
        <v>271</v>
      </c>
      <c r="C577" s="39" t="s">
        <v>312</v>
      </c>
      <c r="D577" s="72">
        <v>627678686</v>
      </c>
      <c r="E577" s="73">
        <v>2526101454</v>
      </c>
      <c r="F577" s="39" t="s">
        <v>247</v>
      </c>
      <c r="G577" s="81">
        <v>35505</v>
      </c>
      <c r="H577" s="105" t="str">
        <f>CHOOSE(MONTH(G577),"January","February","March","April","May","June","July","August","September","October","November","December")</f>
        <v>March</v>
      </c>
      <c r="I577" s="51">
        <f ca="1">DATEDIF(G577,TODAY(),"Y")</f>
        <v>19</v>
      </c>
      <c r="J577" s="52"/>
      <c r="K577" s="53">
        <v>74740</v>
      </c>
      <c r="L577" s="54">
        <v>5</v>
      </c>
    </row>
    <row r="578" spans="1:12" ht="15">
      <c r="A578" s="39" t="s">
        <v>864</v>
      </c>
      <c r="B578" s="46" t="s">
        <v>285</v>
      </c>
      <c r="C578" s="39" t="s">
        <v>312</v>
      </c>
      <c r="D578" s="72">
        <v>496260023</v>
      </c>
      <c r="E578" s="73">
        <v>2523962015</v>
      </c>
      <c r="F578" s="39" t="s">
        <v>256</v>
      </c>
      <c r="G578" s="81">
        <v>34474</v>
      </c>
      <c r="H578" s="105" t="str">
        <f>CHOOSE(MONTH(G578),"January","February","March","April","May","June","July","August","September","October","November","December")</f>
        <v>May</v>
      </c>
      <c r="I578" s="51">
        <f ca="1">DATEDIF(G578,TODAY(),"Y")</f>
        <v>22</v>
      </c>
      <c r="J578" s="52" t="s">
        <v>262</v>
      </c>
      <c r="K578" s="53">
        <v>74670</v>
      </c>
      <c r="L578" s="54">
        <v>5</v>
      </c>
    </row>
    <row r="579" spans="1:12" ht="15">
      <c r="A579" s="39" t="s">
        <v>877</v>
      </c>
      <c r="B579" s="46" t="s">
        <v>271</v>
      </c>
      <c r="C579" s="39" t="s">
        <v>312</v>
      </c>
      <c r="D579" s="72">
        <v>831188207</v>
      </c>
      <c r="E579" s="73">
        <v>9192121334</v>
      </c>
      <c r="F579" s="39" t="s">
        <v>256</v>
      </c>
      <c r="G579" s="81">
        <v>37241</v>
      </c>
      <c r="H579" s="105" t="str">
        <f>CHOOSE(MONTH(G579),"January","February","March","April","May","June","July","August","September","October","November","December")</f>
        <v>December</v>
      </c>
      <c r="I579" s="51">
        <f ca="1">DATEDIF(G579,TODAY(),"Y")</f>
        <v>14</v>
      </c>
      <c r="J579" s="52" t="s">
        <v>257</v>
      </c>
      <c r="K579" s="53">
        <v>71950</v>
      </c>
      <c r="L579" s="54">
        <v>5</v>
      </c>
    </row>
    <row r="580" spans="1:12" ht="15">
      <c r="A580" s="39" t="s">
        <v>779</v>
      </c>
      <c r="B580" s="46" t="s">
        <v>285</v>
      </c>
      <c r="C580" s="39" t="s">
        <v>312</v>
      </c>
      <c r="D580" s="72">
        <v>129397083</v>
      </c>
      <c r="E580" s="73">
        <v>2521391475</v>
      </c>
      <c r="F580" s="39" t="s">
        <v>256</v>
      </c>
      <c r="G580" s="81">
        <v>40596</v>
      </c>
      <c r="H580" s="105" t="str">
        <f>CHOOSE(MONTH(G580),"January","February","March","April","May","June","July","August","September","October","November","December")</f>
        <v>February</v>
      </c>
      <c r="I580" s="51">
        <f ca="1">DATEDIF(G580,TODAY(),"Y")</f>
        <v>5</v>
      </c>
      <c r="J580" s="52" t="s">
        <v>267</v>
      </c>
      <c r="K580" s="53">
        <v>68910</v>
      </c>
      <c r="L580" s="54">
        <v>5</v>
      </c>
    </row>
    <row r="581" spans="1:12" ht="15">
      <c r="A581" s="39" t="s">
        <v>931</v>
      </c>
      <c r="B581" s="46" t="s">
        <v>266</v>
      </c>
      <c r="C581" s="39" t="s">
        <v>312</v>
      </c>
      <c r="D581" s="72">
        <v>964243524</v>
      </c>
      <c r="E581" s="73">
        <v>2522339143</v>
      </c>
      <c r="F581" s="39" t="s">
        <v>256</v>
      </c>
      <c r="G581" s="81">
        <v>34996</v>
      </c>
      <c r="H581" s="105" t="str">
        <f>CHOOSE(MONTH(G581),"January","February","March","April","May","June","July","August","September","October","November","December")</f>
        <v>October</v>
      </c>
      <c r="I581" s="51">
        <f ca="1">DATEDIF(G581,TODAY(),"Y")</f>
        <v>21</v>
      </c>
      <c r="J581" s="52" t="s">
        <v>257</v>
      </c>
      <c r="K581" s="53">
        <v>67890</v>
      </c>
      <c r="L581" s="54">
        <v>5</v>
      </c>
    </row>
    <row r="582" spans="1:12" ht="15">
      <c r="A582" s="39" t="s">
        <v>613</v>
      </c>
      <c r="B582" s="46" t="s">
        <v>245</v>
      </c>
      <c r="C582" s="39" t="s">
        <v>312</v>
      </c>
      <c r="D582" s="72">
        <v>365117800</v>
      </c>
      <c r="E582" s="73">
        <v>2524125146</v>
      </c>
      <c r="F582" s="39" t="s">
        <v>256</v>
      </c>
      <c r="G582" s="81">
        <v>37960</v>
      </c>
      <c r="H582" s="105" t="str">
        <f>CHOOSE(MONTH(G582),"January","February","March","April","May","June","July","August","September","October","November","December")</f>
        <v>December</v>
      </c>
      <c r="I582" s="51">
        <f ca="1">DATEDIF(G582,TODAY(),"Y")</f>
        <v>12</v>
      </c>
      <c r="J582" s="52" t="s">
        <v>257</v>
      </c>
      <c r="K582" s="53">
        <v>66890</v>
      </c>
      <c r="L582" s="54">
        <v>5</v>
      </c>
    </row>
    <row r="583" spans="1:12" ht="15">
      <c r="A583" s="39" t="s">
        <v>1023</v>
      </c>
      <c r="B583" s="46" t="s">
        <v>245</v>
      </c>
      <c r="C583" s="39" t="s">
        <v>312</v>
      </c>
      <c r="D583" s="72">
        <v>822974734</v>
      </c>
      <c r="E583" s="73">
        <v>2524924736</v>
      </c>
      <c r="F583" s="39" t="s">
        <v>252</v>
      </c>
      <c r="G583" s="81">
        <v>36487</v>
      </c>
      <c r="H583" s="105" t="str">
        <f>CHOOSE(MONTH(G583),"January","February","March","April","May","June","July","August","September","October","November","December")</f>
        <v>November</v>
      </c>
      <c r="I583" s="51">
        <f ca="1">DATEDIF(G583,TODAY(),"Y")</f>
        <v>16</v>
      </c>
      <c r="J583" s="52"/>
      <c r="K583" s="53">
        <v>33056</v>
      </c>
      <c r="L583" s="54">
        <v>5</v>
      </c>
    </row>
    <row r="584" spans="1:12" ht="15">
      <c r="A584" s="39" t="s">
        <v>589</v>
      </c>
      <c r="B584" s="46" t="s">
        <v>271</v>
      </c>
      <c r="C584" s="39" t="s">
        <v>312</v>
      </c>
      <c r="D584" s="72">
        <v>459522265</v>
      </c>
      <c r="E584" s="73">
        <v>2524633649</v>
      </c>
      <c r="F584" s="39" t="s">
        <v>256</v>
      </c>
      <c r="G584" s="81">
        <v>33575</v>
      </c>
      <c r="H584" s="105" t="str">
        <f>CHOOSE(MONTH(G584),"January","February","March","April","May","June","July","August","September","October","November","December")</f>
        <v>December</v>
      </c>
      <c r="I584" s="51">
        <f ca="1">DATEDIF(G584,TODAY(),"Y")</f>
        <v>24</v>
      </c>
      <c r="J584" s="52" t="s">
        <v>262</v>
      </c>
      <c r="K584" s="53">
        <v>61400</v>
      </c>
      <c r="L584" s="54">
        <v>5</v>
      </c>
    </row>
    <row r="585" spans="1:12" ht="15">
      <c r="A585" s="39" t="s">
        <v>311</v>
      </c>
      <c r="B585" s="46" t="s">
        <v>245</v>
      </c>
      <c r="C585" s="39" t="s">
        <v>312</v>
      </c>
      <c r="D585" s="72">
        <v>126492342</v>
      </c>
      <c r="E585" s="73">
        <v>9196299247</v>
      </c>
      <c r="F585" s="39" t="s">
        <v>252</v>
      </c>
      <c r="G585" s="81">
        <v>36059</v>
      </c>
      <c r="H585" s="105" t="str">
        <f>CHOOSE(MONTH(G585),"January","February","March","April","May","June","July","August","September","October","November","December")</f>
        <v>September</v>
      </c>
      <c r="I585" s="51">
        <f ca="1">DATEDIF(G585,TODAY(),"Y")</f>
        <v>18</v>
      </c>
      <c r="J585" s="52"/>
      <c r="K585" s="53">
        <v>18500</v>
      </c>
      <c r="L585" s="54">
        <v>5</v>
      </c>
    </row>
    <row r="586" spans="1:12" ht="15">
      <c r="A586" s="39" t="s">
        <v>716</v>
      </c>
      <c r="B586" s="46" t="s">
        <v>271</v>
      </c>
      <c r="C586" s="39" t="s">
        <v>312</v>
      </c>
      <c r="D586" s="72">
        <v>147261161</v>
      </c>
      <c r="E586" s="73">
        <v>9197692593</v>
      </c>
      <c r="F586" s="39" t="s">
        <v>256</v>
      </c>
      <c r="G586" s="81">
        <v>34832</v>
      </c>
      <c r="H586" s="105" t="str">
        <f>CHOOSE(MONTH(G586),"January","February","March","April","May","June","July","August","September","October","November","December")</f>
        <v>May</v>
      </c>
      <c r="I586" s="51">
        <f ca="1">DATEDIF(G586,TODAY(),"Y")</f>
        <v>21</v>
      </c>
      <c r="J586" s="52" t="s">
        <v>257</v>
      </c>
      <c r="K586" s="53">
        <v>31910</v>
      </c>
      <c r="L586" s="54">
        <v>5</v>
      </c>
    </row>
    <row r="587" spans="1:12" ht="15">
      <c r="A587" s="39" t="s">
        <v>932</v>
      </c>
      <c r="B587" s="46" t="s">
        <v>285</v>
      </c>
      <c r="C587" s="39" t="s">
        <v>372</v>
      </c>
      <c r="D587" s="72">
        <v>495042805</v>
      </c>
      <c r="E587" s="73">
        <v>9197146686</v>
      </c>
      <c r="F587" s="39" t="s">
        <v>247</v>
      </c>
      <c r="G587" s="103">
        <v>40253</v>
      </c>
      <c r="H587" s="105" t="str">
        <f>CHOOSE(MONTH(G587),"January","February","March","April","May","June","July","August","September","October","November","December")</f>
        <v>March</v>
      </c>
      <c r="I587" s="51">
        <f ca="1">DATEDIF(G587,TODAY(),"Y")</f>
        <v>6</v>
      </c>
      <c r="J587" s="52"/>
      <c r="K587" s="53">
        <v>59350</v>
      </c>
      <c r="L587" s="54">
        <v>5</v>
      </c>
    </row>
    <row r="588" spans="1:12" ht="15">
      <c r="A588" s="39" t="s">
        <v>436</v>
      </c>
      <c r="B588" s="46" t="s">
        <v>280</v>
      </c>
      <c r="C588" s="39" t="s">
        <v>381</v>
      </c>
      <c r="D588" s="72">
        <v>313651312</v>
      </c>
      <c r="E588" s="73">
        <v>2526092172</v>
      </c>
      <c r="F588" s="39" t="s">
        <v>256</v>
      </c>
      <c r="G588" s="81">
        <v>36182</v>
      </c>
      <c r="H588" s="105" t="str">
        <f>CHOOSE(MONTH(G588),"January","February","March","April","May","June","July","August","September","October","November","December")</f>
        <v>January</v>
      </c>
      <c r="I588" s="51">
        <f ca="1">DATEDIF(G588,TODAY(),"Y")</f>
        <v>17</v>
      </c>
      <c r="J588" s="52" t="s">
        <v>283</v>
      </c>
      <c r="K588" s="53">
        <v>68300</v>
      </c>
      <c r="L588" s="54">
        <v>5</v>
      </c>
    </row>
    <row r="589" spans="1:12" ht="15">
      <c r="A589" s="39" t="s">
        <v>572</v>
      </c>
      <c r="B589" s="46" t="s">
        <v>285</v>
      </c>
      <c r="C589" s="39" t="s">
        <v>381</v>
      </c>
      <c r="D589" s="72">
        <v>510190628</v>
      </c>
      <c r="E589" s="73">
        <v>2527405629</v>
      </c>
      <c r="F589" s="39" t="s">
        <v>256</v>
      </c>
      <c r="G589" s="81">
        <v>39147</v>
      </c>
      <c r="H589" s="105" t="str">
        <f>CHOOSE(MONTH(G589),"January","February","March","April","May","June","July","August","September","October","November","December")</f>
        <v>March</v>
      </c>
      <c r="I589" s="51">
        <f ca="1">DATEDIF(G589,TODAY(),"Y")</f>
        <v>9</v>
      </c>
      <c r="J589" s="52" t="s">
        <v>283</v>
      </c>
      <c r="K589" s="53">
        <v>43680</v>
      </c>
      <c r="L589" s="54">
        <v>5</v>
      </c>
    </row>
    <row r="590" spans="1:12" ht="15">
      <c r="A590" s="39" t="s">
        <v>344</v>
      </c>
      <c r="B590" s="46" t="s">
        <v>245</v>
      </c>
      <c r="C590" s="39" t="s">
        <v>391</v>
      </c>
      <c r="D590" s="72">
        <v>719937584</v>
      </c>
      <c r="E590" s="73">
        <v>9191653055</v>
      </c>
      <c r="F590" s="39" t="s">
        <v>256</v>
      </c>
      <c r="G590" s="81">
        <v>33447</v>
      </c>
      <c r="H590" s="105" t="str">
        <f>CHOOSE(MONTH(G590),"January","February","March","April","May","June","July","August","September","October","November","December")</f>
        <v>July</v>
      </c>
      <c r="I590" s="51">
        <f ca="1">DATEDIF(G590,TODAY(),"Y")</f>
        <v>25</v>
      </c>
      <c r="J590" s="52" t="s">
        <v>283</v>
      </c>
      <c r="K590" s="53">
        <v>37620</v>
      </c>
      <c r="L590" s="54">
        <v>5</v>
      </c>
    </row>
    <row r="591" spans="1:12" ht="15">
      <c r="A591" s="39" t="s">
        <v>579</v>
      </c>
      <c r="B591" s="46" t="s">
        <v>271</v>
      </c>
      <c r="C591" s="39" t="s">
        <v>391</v>
      </c>
      <c r="D591" s="72">
        <v>690374765</v>
      </c>
      <c r="E591" s="73">
        <v>2525786813</v>
      </c>
      <c r="F591" s="39" t="s">
        <v>256</v>
      </c>
      <c r="G591" s="81">
        <v>33613</v>
      </c>
      <c r="H591" s="105" t="str">
        <f>CHOOSE(MONTH(G591),"January","February","March","April","May","June","July","August","September","October","November","December")</f>
        <v>January</v>
      </c>
      <c r="I591" s="51">
        <f ca="1">DATEDIF(G591,TODAY(),"Y")</f>
        <v>24</v>
      </c>
      <c r="J591" s="52" t="s">
        <v>267</v>
      </c>
      <c r="K591" s="53">
        <v>82500</v>
      </c>
      <c r="L591" s="54">
        <v>5</v>
      </c>
    </row>
    <row r="592" spans="1:12" ht="15">
      <c r="A592" s="39" t="s">
        <v>375</v>
      </c>
      <c r="B592" s="46" t="s">
        <v>251</v>
      </c>
      <c r="C592" s="39" t="s">
        <v>391</v>
      </c>
      <c r="D592" s="72">
        <v>843875501</v>
      </c>
      <c r="E592" s="73">
        <v>2522715355</v>
      </c>
      <c r="F592" s="39" t="s">
        <v>247</v>
      </c>
      <c r="G592" s="81">
        <v>36176</v>
      </c>
      <c r="H592" s="105" t="str">
        <f>CHOOSE(MONTH(G592),"January","February","March","April","May","June","July","August","September","October","November","December")</f>
        <v>January</v>
      </c>
      <c r="I592" s="51">
        <f ca="1">DATEDIF(G592,TODAY(),"Y")</f>
        <v>17</v>
      </c>
      <c r="J592" s="52"/>
      <c r="K592" s="53">
        <v>32940</v>
      </c>
      <c r="L592" s="54">
        <v>5</v>
      </c>
    </row>
    <row r="593" spans="1:12" ht="15">
      <c r="A593" s="45" t="s">
        <v>244</v>
      </c>
      <c r="B593" s="46" t="s">
        <v>285</v>
      </c>
      <c r="C593" s="39" t="s">
        <v>391</v>
      </c>
      <c r="D593" s="72">
        <v>828996583</v>
      </c>
      <c r="E593" s="73">
        <v>2521282202</v>
      </c>
      <c r="F593" s="39" t="s">
        <v>252</v>
      </c>
      <c r="G593" s="81">
        <v>33183</v>
      </c>
      <c r="H593" s="105" t="str">
        <f>CHOOSE(MONTH(G593),"January","February","March","April","May","June","July","August","September","October","November","December")</f>
        <v>November</v>
      </c>
      <c r="I593" s="51">
        <f ca="1">DATEDIF(G593,TODAY(),"Y")</f>
        <v>26</v>
      </c>
      <c r="J593" s="52"/>
      <c r="K593" s="53">
        <v>14712</v>
      </c>
      <c r="L593" s="54">
        <v>5</v>
      </c>
    </row>
    <row r="594" spans="1:12" ht="15">
      <c r="A594" s="45" t="s">
        <v>1060</v>
      </c>
      <c r="B594" s="46" t="s">
        <v>285</v>
      </c>
      <c r="C594" s="39" t="s">
        <v>411</v>
      </c>
      <c r="D594" s="72">
        <v>850210766</v>
      </c>
      <c r="E594" s="73">
        <v>2527838614</v>
      </c>
      <c r="F594" s="39" t="s">
        <v>256</v>
      </c>
      <c r="G594" s="81">
        <v>38587</v>
      </c>
      <c r="H594" s="105" t="str">
        <f>CHOOSE(MONTH(G594),"January","February","March","April","May","June","July","August","September","October","November","December")</f>
        <v>August</v>
      </c>
      <c r="I594" s="51">
        <f ca="1">DATEDIF(G594,TODAY(),"Y")</f>
        <v>11</v>
      </c>
      <c r="J594" s="52" t="s">
        <v>257</v>
      </c>
      <c r="K594" s="53">
        <v>47350</v>
      </c>
      <c r="L594" s="54">
        <v>5</v>
      </c>
    </row>
    <row r="595" spans="1:12" ht="15">
      <c r="A595" s="39" t="s">
        <v>292</v>
      </c>
      <c r="B595" s="46" t="s">
        <v>245</v>
      </c>
      <c r="C595" s="39" t="s">
        <v>411</v>
      </c>
      <c r="D595" s="72">
        <v>885773638</v>
      </c>
      <c r="E595" s="73">
        <v>9196188082</v>
      </c>
      <c r="F595" s="39" t="s">
        <v>256</v>
      </c>
      <c r="G595" s="81">
        <v>36569</v>
      </c>
      <c r="H595" s="105" t="str">
        <f>CHOOSE(MONTH(G595),"January","February","March","April","May","June","July","August","September","October","November","December")</f>
        <v>February</v>
      </c>
      <c r="I595" s="51">
        <f ca="1">DATEDIF(G595,TODAY(),"Y")</f>
        <v>16</v>
      </c>
      <c r="J595" s="52" t="s">
        <v>283</v>
      </c>
      <c r="K595" s="53">
        <v>75060</v>
      </c>
      <c r="L595" s="54">
        <v>5</v>
      </c>
    </row>
    <row r="596" spans="1:12" ht="15">
      <c r="A596" s="39" t="s">
        <v>397</v>
      </c>
      <c r="B596" s="46" t="s">
        <v>285</v>
      </c>
      <c r="C596" s="39" t="s">
        <v>417</v>
      </c>
      <c r="D596" s="72">
        <v>575648597</v>
      </c>
      <c r="E596" s="73">
        <v>9198865267</v>
      </c>
      <c r="F596" s="39" t="s">
        <v>247</v>
      </c>
      <c r="G596" s="81">
        <v>37641</v>
      </c>
      <c r="H596" s="105" t="str">
        <f>CHOOSE(MONTH(G596),"January","February","March","April","May","June","July","August","September","October","November","December")</f>
        <v>January</v>
      </c>
      <c r="I596" s="51">
        <f ca="1">DATEDIF(G596,TODAY(),"Y")</f>
        <v>13</v>
      </c>
      <c r="J596" s="52"/>
      <c r="K596" s="53">
        <v>31970</v>
      </c>
      <c r="L596" s="54">
        <v>5</v>
      </c>
    </row>
    <row r="597" spans="1:12" ht="15">
      <c r="A597" s="39" t="s">
        <v>828</v>
      </c>
      <c r="B597" s="46" t="s">
        <v>271</v>
      </c>
      <c r="C597" s="39" t="s">
        <v>417</v>
      </c>
      <c r="D597" s="72">
        <v>249760737</v>
      </c>
      <c r="E597" s="73">
        <v>2522969056</v>
      </c>
      <c r="F597" s="39" t="s">
        <v>247</v>
      </c>
      <c r="G597" s="81">
        <v>33949</v>
      </c>
      <c r="H597" s="105" t="str">
        <f>CHOOSE(MONTH(G597),"January","February","March","April","May","June","July","August","September","October","November","December")</f>
        <v>December</v>
      </c>
      <c r="I597" s="51">
        <f ca="1">DATEDIF(G597,TODAY(),"Y")</f>
        <v>23</v>
      </c>
      <c r="J597" s="52"/>
      <c r="K597" s="53">
        <v>81070</v>
      </c>
      <c r="L597" s="54">
        <v>5</v>
      </c>
    </row>
    <row r="598" spans="1:12" ht="15">
      <c r="A598" s="39" t="s">
        <v>900</v>
      </c>
      <c r="B598" s="46" t="s">
        <v>271</v>
      </c>
      <c r="C598" s="39" t="s">
        <v>417</v>
      </c>
      <c r="D598" s="72">
        <v>113699123</v>
      </c>
      <c r="E598" s="73">
        <v>2526563683</v>
      </c>
      <c r="F598" s="39" t="s">
        <v>256</v>
      </c>
      <c r="G598" s="81">
        <v>33117</v>
      </c>
      <c r="H598" s="105" t="str">
        <f>CHOOSE(MONTH(G598),"January","February","March","April","May","June","July","August","September","October","November","December")</f>
        <v>September</v>
      </c>
      <c r="I598" s="51">
        <f ca="1">DATEDIF(G598,TODAY(),"Y")</f>
        <v>26</v>
      </c>
      <c r="J598" s="52" t="s">
        <v>267</v>
      </c>
      <c r="K598" s="53">
        <v>35360</v>
      </c>
      <c r="L598" s="54">
        <v>5</v>
      </c>
    </row>
    <row r="599" spans="1:12" ht="15">
      <c r="A599" s="39" t="s">
        <v>321</v>
      </c>
      <c r="B599" s="46" t="s">
        <v>271</v>
      </c>
      <c r="C599" s="39" t="s">
        <v>417</v>
      </c>
      <c r="D599" s="72">
        <v>282972141</v>
      </c>
      <c r="E599" s="73">
        <v>2527135797</v>
      </c>
      <c r="F599" s="39" t="s">
        <v>247</v>
      </c>
      <c r="G599" s="81">
        <v>35939</v>
      </c>
      <c r="H599" s="105" t="str">
        <f>CHOOSE(MONTH(G599),"January","February","March","April","May","June","July","August","September","October","November","December")</f>
        <v>May</v>
      </c>
      <c r="I599" s="51">
        <f ca="1">DATEDIF(G599,TODAY(),"Y")</f>
        <v>18</v>
      </c>
      <c r="J599" s="52"/>
      <c r="K599" s="53">
        <v>25120</v>
      </c>
      <c r="L599" s="54">
        <v>5</v>
      </c>
    </row>
    <row r="600" spans="1:12" ht="15">
      <c r="A600" s="39" t="s">
        <v>908</v>
      </c>
      <c r="B600" s="46" t="s">
        <v>280</v>
      </c>
      <c r="C600" s="39" t="s">
        <v>417</v>
      </c>
      <c r="D600" s="72">
        <v>525507320</v>
      </c>
      <c r="E600" s="73">
        <v>2523938131</v>
      </c>
      <c r="F600" s="39" t="s">
        <v>256</v>
      </c>
      <c r="G600" s="81">
        <v>36414</v>
      </c>
      <c r="H600" s="105" t="str">
        <f>CHOOSE(MONTH(G600),"January","February","March","April","May","June","July","August","September","October","November","December")</f>
        <v>September</v>
      </c>
      <c r="I600" s="51">
        <f ca="1">DATEDIF(G600,TODAY(),"Y")</f>
        <v>17</v>
      </c>
      <c r="J600" s="52" t="s">
        <v>276</v>
      </c>
      <c r="K600" s="53">
        <v>39680</v>
      </c>
      <c r="L600" s="54">
        <v>5</v>
      </c>
    </row>
    <row r="601" spans="1:12" ht="15">
      <c r="A601" s="39" t="s">
        <v>679</v>
      </c>
      <c r="B601" s="46" t="s">
        <v>251</v>
      </c>
      <c r="C601" s="39" t="s">
        <v>417</v>
      </c>
      <c r="D601" s="72">
        <v>105708355</v>
      </c>
      <c r="E601" s="73">
        <v>2524697218</v>
      </c>
      <c r="F601" s="39" t="s">
        <v>256</v>
      </c>
      <c r="G601" s="81">
        <v>35989</v>
      </c>
      <c r="H601" s="105" t="str">
        <f>CHOOSE(MONTH(G601),"January","February","March","April","May","June","July","August","September","October","November","December")</f>
        <v>July</v>
      </c>
      <c r="I601" s="51">
        <f ca="1">DATEDIF(G601,TODAY(),"Y")</f>
        <v>18</v>
      </c>
      <c r="J601" s="52" t="s">
        <v>262</v>
      </c>
      <c r="K601" s="53">
        <v>71010</v>
      </c>
      <c r="L601" s="54">
        <v>5</v>
      </c>
    </row>
    <row r="602" spans="1:12" ht="15">
      <c r="A602" s="45" t="s">
        <v>277</v>
      </c>
      <c r="B602" s="46" t="s">
        <v>285</v>
      </c>
      <c r="C602" s="39" t="s">
        <v>417</v>
      </c>
      <c r="D602" s="72">
        <v>659766304</v>
      </c>
      <c r="E602" s="73">
        <v>9195876028</v>
      </c>
      <c r="F602" s="39" t="s">
        <v>256</v>
      </c>
      <c r="G602" s="81">
        <v>35501</v>
      </c>
      <c r="H602" s="105" t="str">
        <f>CHOOSE(MONTH(G602),"January","February","March","April","May","June","July","August","September","October","November","December")</f>
        <v>March</v>
      </c>
      <c r="I602" s="51">
        <f ca="1">DATEDIF(G602,TODAY(),"Y")</f>
        <v>19</v>
      </c>
      <c r="J602" s="52" t="s">
        <v>283</v>
      </c>
      <c r="K602" s="53">
        <v>37750</v>
      </c>
      <c r="L602" s="54">
        <v>5</v>
      </c>
    </row>
    <row r="603" spans="1:12" ht="15">
      <c r="A603" s="39" t="s">
        <v>969</v>
      </c>
      <c r="B603" s="46" t="s">
        <v>285</v>
      </c>
      <c r="C603" s="39" t="s">
        <v>417</v>
      </c>
      <c r="D603" s="72">
        <v>110184347</v>
      </c>
      <c r="E603" s="73">
        <v>2526166452</v>
      </c>
      <c r="F603" s="39" t="s">
        <v>256</v>
      </c>
      <c r="G603" s="81">
        <v>35253</v>
      </c>
      <c r="H603" s="105" t="str">
        <f>CHOOSE(MONTH(G603),"January","February","March","April","May","June","July","August","September","October","November","December")</f>
        <v>July</v>
      </c>
      <c r="I603" s="51">
        <f ca="1">DATEDIF(G603,TODAY(),"Y")</f>
        <v>20</v>
      </c>
      <c r="J603" s="52" t="s">
        <v>257</v>
      </c>
      <c r="K603" s="53">
        <v>63780</v>
      </c>
      <c r="L603" s="54">
        <v>5</v>
      </c>
    </row>
    <row r="604" spans="1:12" ht="15">
      <c r="A604" s="39" t="s">
        <v>1027</v>
      </c>
      <c r="B604" s="46" t="s">
        <v>245</v>
      </c>
      <c r="C604" s="39" t="s">
        <v>417</v>
      </c>
      <c r="D604" s="72">
        <v>870601943</v>
      </c>
      <c r="E604" s="73">
        <v>9196097340</v>
      </c>
      <c r="F604" s="39" t="s">
        <v>247</v>
      </c>
      <c r="G604" s="81">
        <v>34761</v>
      </c>
      <c r="H604" s="105" t="str">
        <f>CHOOSE(MONTH(G604),"January","February","March","April","May","June","July","August","September","October","November","December")</f>
        <v>March</v>
      </c>
      <c r="I604" s="51">
        <f ca="1">DATEDIF(G604,TODAY(),"Y")</f>
        <v>21</v>
      </c>
      <c r="J604" s="52"/>
      <c r="K604" s="53">
        <v>45040</v>
      </c>
      <c r="L604" s="54">
        <v>5</v>
      </c>
    </row>
    <row r="605" spans="1:12" ht="15">
      <c r="A605" s="39" t="s">
        <v>822</v>
      </c>
      <c r="B605" s="46" t="s">
        <v>271</v>
      </c>
      <c r="C605" s="39" t="s">
        <v>417</v>
      </c>
      <c r="D605" s="72">
        <v>736688620</v>
      </c>
      <c r="E605" s="73">
        <v>2524562999</v>
      </c>
      <c r="F605" s="39" t="s">
        <v>261</v>
      </c>
      <c r="G605" s="81">
        <v>39768</v>
      </c>
      <c r="H605" s="105" t="str">
        <f>CHOOSE(MONTH(G605),"January","February","March","April","May","June","July","August","September","October","November","December")</f>
        <v>November</v>
      </c>
      <c r="I605" s="51">
        <f ca="1">DATEDIF(G605,TODAY(),"Y")</f>
        <v>7</v>
      </c>
      <c r="J605" s="52" t="s">
        <v>257</v>
      </c>
      <c r="K605" s="53">
        <v>39515</v>
      </c>
      <c r="L605" s="54">
        <v>5</v>
      </c>
    </row>
    <row r="606" spans="1:12" ht="15">
      <c r="A606" s="39" t="s">
        <v>544</v>
      </c>
      <c r="B606" s="46" t="s">
        <v>251</v>
      </c>
      <c r="C606" s="39" t="s">
        <v>417</v>
      </c>
      <c r="D606" s="72">
        <v>993867417</v>
      </c>
      <c r="E606" s="73">
        <v>2522338778</v>
      </c>
      <c r="F606" s="39" t="s">
        <v>256</v>
      </c>
      <c r="G606" s="81">
        <v>33923</v>
      </c>
      <c r="H606" s="105" t="str">
        <f>CHOOSE(MONTH(G606),"January","February","March","April","May","June","July","August","September","October","November","December")</f>
        <v>November</v>
      </c>
      <c r="I606" s="51">
        <f ca="1">DATEDIF(G606,TODAY(),"Y")</f>
        <v>23</v>
      </c>
      <c r="J606" s="52" t="s">
        <v>283</v>
      </c>
      <c r="K606" s="53">
        <v>46340</v>
      </c>
      <c r="L606" s="54">
        <v>5</v>
      </c>
    </row>
    <row r="607" spans="1:12" ht="15">
      <c r="A607" s="39" t="s">
        <v>1024</v>
      </c>
      <c r="B607" s="46" t="s">
        <v>285</v>
      </c>
      <c r="C607" s="39" t="s">
        <v>417</v>
      </c>
      <c r="D607" s="72">
        <v>661397587</v>
      </c>
      <c r="E607" s="73">
        <v>9196126835</v>
      </c>
      <c r="F607" s="39" t="s">
        <v>247</v>
      </c>
      <c r="G607" s="81">
        <v>34912</v>
      </c>
      <c r="H607" s="105" t="str">
        <f>CHOOSE(MONTH(G607),"January","February","March","April","May","June","July","August","September","October","November","December")</f>
        <v>August</v>
      </c>
      <c r="I607" s="51">
        <f ca="1">DATEDIF(G607,TODAY(),"Y")</f>
        <v>21</v>
      </c>
      <c r="J607" s="52"/>
      <c r="K607" s="53">
        <v>40560</v>
      </c>
      <c r="L607" s="54">
        <v>5</v>
      </c>
    </row>
    <row r="608" spans="1:12" ht="15">
      <c r="A608" s="39" t="s">
        <v>671</v>
      </c>
      <c r="B608" s="46" t="s">
        <v>285</v>
      </c>
      <c r="C608" s="39" t="s">
        <v>456</v>
      </c>
      <c r="D608" s="72">
        <v>771953685</v>
      </c>
      <c r="E608" s="73">
        <v>2526739978</v>
      </c>
      <c r="F608" s="39" t="s">
        <v>252</v>
      </c>
      <c r="G608" s="81">
        <v>37946</v>
      </c>
      <c r="H608" s="105" t="str">
        <f>CHOOSE(MONTH(G608),"January","February","March","April","May","June","July","August","September","October","November","December")</f>
        <v>November</v>
      </c>
      <c r="I608" s="51">
        <f ca="1">DATEDIF(G608,TODAY(),"Y")</f>
        <v>12</v>
      </c>
      <c r="J608" s="52" t="s">
        <v>257</v>
      </c>
      <c r="K608" s="53">
        <v>85130</v>
      </c>
      <c r="L608" s="54">
        <v>5</v>
      </c>
    </row>
    <row r="609" spans="1:12" ht="15">
      <c r="A609" s="39" t="s">
        <v>511</v>
      </c>
      <c r="B609" s="46" t="s">
        <v>271</v>
      </c>
      <c r="C609" s="39" t="s">
        <v>456</v>
      </c>
      <c r="D609" s="72">
        <v>351268538</v>
      </c>
      <c r="E609" s="73">
        <v>2525610944</v>
      </c>
      <c r="F609" s="39" t="s">
        <v>252</v>
      </c>
      <c r="G609" s="81">
        <v>36519</v>
      </c>
      <c r="H609" s="105" t="str">
        <f>CHOOSE(MONTH(G609),"January","February","March","April","May","June","July","August","September","October","November","December")</f>
        <v>December</v>
      </c>
      <c r="I609" s="51">
        <f ca="1">DATEDIF(G609,TODAY(),"Y")</f>
        <v>16</v>
      </c>
      <c r="J609" s="52" t="s">
        <v>283</v>
      </c>
      <c r="K609" s="53">
        <v>61860</v>
      </c>
      <c r="L609" s="54">
        <v>5</v>
      </c>
    </row>
    <row r="610" spans="1:12" ht="15">
      <c r="A610" s="39" t="s">
        <v>1003</v>
      </c>
      <c r="B610" s="46" t="s">
        <v>285</v>
      </c>
      <c r="C610" s="39" t="s">
        <v>465</v>
      </c>
      <c r="D610" s="72">
        <v>618535019</v>
      </c>
      <c r="E610" s="73">
        <v>9193695179</v>
      </c>
      <c r="F610" s="39" t="s">
        <v>256</v>
      </c>
      <c r="G610" s="81">
        <v>35932</v>
      </c>
      <c r="H610" s="105" t="str">
        <f>CHOOSE(MONTH(G610),"January","February","March","April","May","June","July","August","September","October","November","December")</f>
        <v>May</v>
      </c>
      <c r="I610" s="51">
        <f ca="1">DATEDIF(G610,TODAY(),"Y")</f>
        <v>18</v>
      </c>
      <c r="J610" s="52" t="s">
        <v>283</v>
      </c>
      <c r="K610" s="53">
        <v>89740</v>
      </c>
      <c r="L610" s="54">
        <v>5</v>
      </c>
    </row>
    <row r="611" spans="1:12" ht="15">
      <c r="A611" s="39" t="s">
        <v>897</v>
      </c>
      <c r="B611" s="46" t="s">
        <v>285</v>
      </c>
      <c r="C611" s="39" t="s">
        <v>465</v>
      </c>
      <c r="D611" s="72">
        <v>130619578</v>
      </c>
      <c r="E611" s="73">
        <v>9195057530</v>
      </c>
      <c r="F611" s="39" t="s">
        <v>247</v>
      </c>
      <c r="G611" s="81">
        <v>36718</v>
      </c>
      <c r="H611" s="105" t="str">
        <f>CHOOSE(MONTH(G611),"January","February","March","April","May","June","July","August","September","October","November","December")</f>
        <v>July</v>
      </c>
      <c r="I611" s="51">
        <f ca="1">DATEDIF(G611,TODAY(),"Y")</f>
        <v>16</v>
      </c>
      <c r="J611" s="52"/>
      <c r="K611" s="53">
        <v>89520</v>
      </c>
      <c r="L611" s="54">
        <v>5</v>
      </c>
    </row>
    <row r="612" spans="1:12" ht="15">
      <c r="A612" s="39" t="s">
        <v>633</v>
      </c>
      <c r="B612" s="46" t="s">
        <v>285</v>
      </c>
      <c r="C612" s="39" t="s">
        <v>465</v>
      </c>
      <c r="D612" s="72">
        <v>876777922</v>
      </c>
      <c r="E612" s="73">
        <v>2527358099</v>
      </c>
      <c r="F612" s="39" t="s">
        <v>247</v>
      </c>
      <c r="G612" s="103">
        <v>40449</v>
      </c>
      <c r="H612" s="105" t="str">
        <f>CHOOSE(MONTH(G612),"January","February","March","April","May","June","July","August","September","October","November","December")</f>
        <v>September</v>
      </c>
      <c r="I612" s="51">
        <f ca="1">DATEDIF(G612,TODAY(),"Y")</f>
        <v>6</v>
      </c>
      <c r="J612" s="52"/>
      <c r="K612" s="53">
        <v>88840</v>
      </c>
      <c r="L612" s="54">
        <v>5</v>
      </c>
    </row>
    <row r="613" spans="1:12" ht="15">
      <c r="A613" s="39" t="s">
        <v>755</v>
      </c>
      <c r="B613" s="46" t="s">
        <v>271</v>
      </c>
      <c r="C613" s="39" t="s">
        <v>465</v>
      </c>
      <c r="D613" s="72">
        <v>462995574</v>
      </c>
      <c r="E613" s="73">
        <v>2523431009</v>
      </c>
      <c r="F613" s="39" t="s">
        <v>256</v>
      </c>
      <c r="G613" s="81">
        <v>36101</v>
      </c>
      <c r="H613" s="105" t="str">
        <f>CHOOSE(MONTH(G613),"January","February","March","April","May","June","July","August","September","October","November","December")</f>
        <v>November</v>
      </c>
      <c r="I613" s="51">
        <f ca="1">DATEDIF(G613,TODAY(),"Y")</f>
        <v>18</v>
      </c>
      <c r="J613" s="52" t="s">
        <v>257</v>
      </c>
      <c r="K613" s="53">
        <v>88240</v>
      </c>
      <c r="L613" s="54">
        <v>5</v>
      </c>
    </row>
    <row r="614" spans="1:12" ht="15">
      <c r="A614" s="39" t="s">
        <v>662</v>
      </c>
      <c r="B614" s="46" t="s">
        <v>285</v>
      </c>
      <c r="C614" s="39" t="s">
        <v>465</v>
      </c>
      <c r="D614" s="72">
        <v>594680949</v>
      </c>
      <c r="E614" s="73">
        <v>9192375580</v>
      </c>
      <c r="F614" s="39" t="s">
        <v>261</v>
      </c>
      <c r="G614" s="81">
        <v>36422</v>
      </c>
      <c r="H614" s="105" t="str">
        <f>CHOOSE(MONTH(G614),"January","February","March","April","May","June","July","August","September","October","November","December")</f>
        <v>September</v>
      </c>
      <c r="I614" s="51">
        <f ca="1">DATEDIF(G614,TODAY(),"Y")</f>
        <v>17</v>
      </c>
      <c r="J614" s="52" t="s">
        <v>283</v>
      </c>
      <c r="K614" s="53">
        <v>17270</v>
      </c>
      <c r="L614" s="54">
        <v>5</v>
      </c>
    </row>
    <row r="615" spans="1:12" ht="15">
      <c r="A615" s="39" t="s">
        <v>377</v>
      </c>
      <c r="B615" s="46" t="s">
        <v>285</v>
      </c>
      <c r="C615" s="39" t="s">
        <v>465</v>
      </c>
      <c r="D615" s="72">
        <v>276980518</v>
      </c>
      <c r="E615" s="73">
        <v>9195267252</v>
      </c>
      <c r="F615" s="39" t="s">
        <v>256</v>
      </c>
      <c r="G615" s="81">
        <v>38832</v>
      </c>
      <c r="H615" s="105" t="str">
        <f>CHOOSE(MONTH(G615),"January","February","March","April","May","June","July","August","September","October","November","December")</f>
        <v>April</v>
      </c>
      <c r="I615" s="51">
        <f ca="1">DATEDIF(G615,TODAY(),"Y")</f>
        <v>10</v>
      </c>
      <c r="J615" s="52" t="s">
        <v>276</v>
      </c>
      <c r="K615" s="53">
        <v>29420</v>
      </c>
      <c r="L615" s="54">
        <v>5</v>
      </c>
    </row>
    <row r="616" spans="1:12" ht="15">
      <c r="A616" s="39" t="s">
        <v>545</v>
      </c>
      <c r="B616" s="46" t="s">
        <v>271</v>
      </c>
      <c r="C616" s="39" t="s">
        <v>465</v>
      </c>
      <c r="D616" s="72">
        <v>854806695</v>
      </c>
      <c r="E616" s="73">
        <v>9192672603</v>
      </c>
      <c r="F616" s="39" t="s">
        <v>256</v>
      </c>
      <c r="G616" s="81">
        <v>33721</v>
      </c>
      <c r="H616" s="105" t="str">
        <f>CHOOSE(MONTH(G616),"January","February","March","April","May","June","July","August","September","October","November","December")</f>
        <v>April</v>
      </c>
      <c r="I616" s="51">
        <f ca="1">DATEDIF(G616,TODAY(),"Y")</f>
        <v>24</v>
      </c>
      <c r="J616" s="52" t="s">
        <v>283</v>
      </c>
      <c r="K616" s="53">
        <v>26190</v>
      </c>
      <c r="L616" s="54">
        <v>5</v>
      </c>
    </row>
    <row r="617" spans="1:12" ht="15">
      <c r="A617" s="39" t="s">
        <v>603</v>
      </c>
      <c r="B617" s="46" t="s">
        <v>280</v>
      </c>
      <c r="C617" s="39" t="s">
        <v>465</v>
      </c>
      <c r="D617" s="72">
        <v>180095803</v>
      </c>
      <c r="E617" s="73">
        <v>2526503334</v>
      </c>
      <c r="F617" s="39" t="s">
        <v>256</v>
      </c>
      <c r="G617" s="81">
        <v>39972</v>
      </c>
      <c r="H617" s="105" t="str">
        <f>CHOOSE(MONTH(G617),"January","February","March","April","May","June","July","August","September","October","November","December")</f>
        <v>June</v>
      </c>
      <c r="I617" s="51">
        <f ca="1">DATEDIF(G617,TODAY(),"Y")</f>
        <v>7</v>
      </c>
      <c r="J617" s="52" t="s">
        <v>257</v>
      </c>
      <c r="K617" s="53">
        <v>78170</v>
      </c>
      <c r="L617" s="54">
        <v>5</v>
      </c>
    </row>
    <row r="618" spans="1:12" ht="15">
      <c r="A618" s="39" t="s">
        <v>738</v>
      </c>
      <c r="B618" s="46" t="s">
        <v>266</v>
      </c>
      <c r="C618" s="39" t="s">
        <v>465</v>
      </c>
      <c r="D618" s="72">
        <v>881975933</v>
      </c>
      <c r="E618" s="73">
        <v>9192354572</v>
      </c>
      <c r="F618" s="39" t="s">
        <v>256</v>
      </c>
      <c r="G618" s="81">
        <v>35830</v>
      </c>
      <c r="H618" s="105" t="str">
        <f>CHOOSE(MONTH(G618),"January","February","March","April","May","June","July","August","September","October","November","December")</f>
        <v>February</v>
      </c>
      <c r="I618" s="51">
        <f ca="1">DATEDIF(G618,TODAY(),"Y")</f>
        <v>18</v>
      </c>
      <c r="J618" s="52" t="s">
        <v>267</v>
      </c>
      <c r="K618" s="53">
        <v>35460</v>
      </c>
      <c r="L618" s="54">
        <v>5</v>
      </c>
    </row>
    <row r="619" spans="1:12" ht="15">
      <c r="A619" s="39" t="s">
        <v>303</v>
      </c>
      <c r="B619" s="46" t="s">
        <v>251</v>
      </c>
      <c r="C619" s="39" t="s">
        <v>465</v>
      </c>
      <c r="D619" s="72">
        <v>682907379</v>
      </c>
      <c r="E619" s="73">
        <v>2521854525</v>
      </c>
      <c r="F619" s="39" t="s">
        <v>256</v>
      </c>
      <c r="G619" s="81">
        <v>35311</v>
      </c>
      <c r="H619" s="105" t="str">
        <f>CHOOSE(MONTH(G619),"January","February","March","April","May","June","July","August","September","October","November","December")</f>
        <v>September</v>
      </c>
      <c r="I619" s="51">
        <f ca="1">DATEDIF(G619,TODAY(),"Y")</f>
        <v>20</v>
      </c>
      <c r="J619" s="52" t="s">
        <v>267</v>
      </c>
      <c r="K619" s="53">
        <v>39520</v>
      </c>
      <c r="L619" s="54">
        <v>5</v>
      </c>
    </row>
    <row r="620" spans="1:12" ht="15">
      <c r="A620" s="39" t="s">
        <v>912</v>
      </c>
      <c r="B620" s="46" t="s">
        <v>285</v>
      </c>
      <c r="C620" s="39" t="s">
        <v>465</v>
      </c>
      <c r="D620" s="72">
        <v>798466688</v>
      </c>
      <c r="E620" s="73">
        <v>9192232339</v>
      </c>
      <c r="F620" s="39" t="s">
        <v>256</v>
      </c>
      <c r="G620" s="81">
        <v>40203</v>
      </c>
      <c r="H620" s="105" t="str">
        <f>CHOOSE(MONTH(G620),"January","February","March","April","May","June","July","August","September","October","November","December")</f>
        <v>January</v>
      </c>
      <c r="I620" s="51">
        <f ca="1">DATEDIF(G620,TODAY(),"Y")</f>
        <v>6</v>
      </c>
      <c r="J620" s="52" t="s">
        <v>257</v>
      </c>
      <c r="K620" s="53">
        <v>35600</v>
      </c>
      <c r="L620" s="54">
        <v>5</v>
      </c>
    </row>
    <row r="621" spans="1:12" ht="15">
      <c r="A621" s="39" t="s">
        <v>751</v>
      </c>
      <c r="B621" s="46" t="s">
        <v>271</v>
      </c>
      <c r="C621" s="39" t="s">
        <v>465</v>
      </c>
      <c r="D621" s="72">
        <v>470719383</v>
      </c>
      <c r="E621" s="73">
        <v>9197848542</v>
      </c>
      <c r="F621" s="39" t="s">
        <v>256</v>
      </c>
      <c r="G621" s="81">
        <v>36009</v>
      </c>
      <c r="H621" s="105" t="str">
        <f>CHOOSE(MONTH(G621),"January","February","March","April","May","June","July","August","September","October","November","December")</f>
        <v>August</v>
      </c>
      <c r="I621" s="51">
        <f ca="1">DATEDIF(G621,TODAY(),"Y")</f>
        <v>18</v>
      </c>
      <c r="J621" s="52" t="s">
        <v>257</v>
      </c>
      <c r="K621" s="53">
        <v>75120</v>
      </c>
      <c r="L621" s="54">
        <v>5</v>
      </c>
    </row>
    <row r="622" spans="1:12" ht="15">
      <c r="A622" s="39" t="s">
        <v>585</v>
      </c>
      <c r="B622" s="46" t="s">
        <v>245</v>
      </c>
      <c r="C622" s="39" t="s">
        <v>465</v>
      </c>
      <c r="D622" s="72">
        <v>612295735</v>
      </c>
      <c r="E622" s="73">
        <v>9195228292</v>
      </c>
      <c r="F622" s="39" t="s">
        <v>256</v>
      </c>
      <c r="G622" s="81">
        <v>35511</v>
      </c>
      <c r="H622" s="105" t="str">
        <f>CHOOSE(MONTH(G622),"January","February","March","April","May","June","July","August","September","October","November","December")</f>
        <v>March</v>
      </c>
      <c r="I622" s="51">
        <f ca="1">DATEDIF(G622,TODAY(),"Y")</f>
        <v>19</v>
      </c>
      <c r="J622" s="52" t="s">
        <v>283</v>
      </c>
      <c r="K622" s="53">
        <v>73144</v>
      </c>
      <c r="L622" s="54">
        <v>5</v>
      </c>
    </row>
    <row r="623" spans="1:12" ht="15">
      <c r="A623" s="39" t="s">
        <v>640</v>
      </c>
      <c r="B623" s="46" t="s">
        <v>285</v>
      </c>
      <c r="C623" s="39" t="s">
        <v>465</v>
      </c>
      <c r="D623" s="72">
        <v>561737107</v>
      </c>
      <c r="E623" s="73">
        <v>9198294156</v>
      </c>
      <c r="F623" s="39" t="s">
        <v>256</v>
      </c>
      <c r="G623" s="81">
        <v>35024</v>
      </c>
      <c r="H623" s="105" t="str">
        <f>CHOOSE(MONTH(G623),"January","February","March","April","May","June","July","August","September","October","November","December")</f>
        <v>November</v>
      </c>
      <c r="I623" s="51">
        <f ca="1">DATEDIF(G623,TODAY(),"Y")</f>
        <v>20</v>
      </c>
      <c r="J623" s="52" t="s">
        <v>283</v>
      </c>
      <c r="K623" s="53">
        <v>73072</v>
      </c>
      <c r="L623" s="54">
        <v>5</v>
      </c>
    </row>
    <row r="624" spans="1:12" ht="15">
      <c r="A624" s="39" t="s">
        <v>890</v>
      </c>
      <c r="B624" s="46" t="s">
        <v>285</v>
      </c>
      <c r="C624" s="39" t="s">
        <v>465</v>
      </c>
      <c r="D624" s="72">
        <v>725801036</v>
      </c>
      <c r="E624" s="73">
        <v>9195089157</v>
      </c>
      <c r="F624" s="39" t="s">
        <v>247</v>
      </c>
      <c r="G624" s="81">
        <v>35972</v>
      </c>
      <c r="H624" s="105" t="str">
        <f>CHOOSE(MONTH(G624),"January","February","March","April","May","June","July","August","September","October","November","December")</f>
        <v>June</v>
      </c>
      <c r="I624" s="51">
        <f ca="1">DATEDIF(G624,TODAY(),"Y")</f>
        <v>18</v>
      </c>
      <c r="J624" s="52"/>
      <c r="K624" s="53">
        <v>71710</v>
      </c>
      <c r="L624" s="54">
        <v>5</v>
      </c>
    </row>
    <row r="625" spans="1:12" ht="15">
      <c r="A625" s="39" t="s">
        <v>634</v>
      </c>
      <c r="B625" s="46" t="s">
        <v>271</v>
      </c>
      <c r="C625" s="39" t="s">
        <v>465</v>
      </c>
      <c r="D625" s="72">
        <v>930314379</v>
      </c>
      <c r="E625" s="73">
        <v>2524854867</v>
      </c>
      <c r="F625" s="39" t="s">
        <v>256</v>
      </c>
      <c r="G625" s="81">
        <v>39390</v>
      </c>
      <c r="H625" s="105" t="str">
        <f>CHOOSE(MONTH(G625),"January","February","March","April","May","June","July","August","September","October","November","December")</f>
        <v>November</v>
      </c>
      <c r="I625" s="51">
        <f ca="1">DATEDIF(G625,TODAY(),"Y")</f>
        <v>9</v>
      </c>
      <c r="J625" s="52" t="s">
        <v>267</v>
      </c>
      <c r="K625" s="53">
        <v>71490</v>
      </c>
      <c r="L625" s="54">
        <v>5</v>
      </c>
    </row>
    <row r="626" spans="1:12" ht="15">
      <c r="A626" s="39" t="s">
        <v>450</v>
      </c>
      <c r="B626" s="46" t="s">
        <v>251</v>
      </c>
      <c r="C626" s="39" t="s">
        <v>465</v>
      </c>
      <c r="D626" s="72">
        <v>624234626</v>
      </c>
      <c r="E626" s="73">
        <v>2523077504</v>
      </c>
      <c r="F626" s="39" t="s">
        <v>261</v>
      </c>
      <c r="G626" s="81">
        <v>35343</v>
      </c>
      <c r="H626" s="105" t="str">
        <f>CHOOSE(MONTH(G626),"January","February","March","April","May","June","July","August","September","October","November","December")</f>
        <v>October</v>
      </c>
      <c r="I626" s="51">
        <f ca="1">DATEDIF(G626,TODAY(),"Y")</f>
        <v>20</v>
      </c>
      <c r="J626" s="52" t="s">
        <v>257</v>
      </c>
      <c r="K626" s="53">
        <v>46645</v>
      </c>
      <c r="L626" s="54">
        <v>5</v>
      </c>
    </row>
    <row r="627" spans="1:12" ht="15">
      <c r="A627" s="39" t="s">
        <v>1012</v>
      </c>
      <c r="B627" s="46" t="s">
        <v>285</v>
      </c>
      <c r="C627" s="39" t="s">
        <v>465</v>
      </c>
      <c r="D627" s="72">
        <v>635767088</v>
      </c>
      <c r="E627" s="73">
        <v>2522153322</v>
      </c>
      <c r="F627" s="39" t="s">
        <v>247</v>
      </c>
      <c r="G627" s="81">
        <v>36977</v>
      </c>
      <c r="H627" s="105" t="str">
        <f>CHOOSE(MONTH(G627),"January","February","March","April","May","June","July","August","September","October","November","December")</f>
        <v>March</v>
      </c>
      <c r="I627" s="51">
        <f ca="1">DATEDIF(G627,TODAY(),"Y")</f>
        <v>15</v>
      </c>
      <c r="J627" s="52"/>
      <c r="K627" s="53">
        <v>68510</v>
      </c>
      <c r="L627" s="54">
        <v>5</v>
      </c>
    </row>
    <row r="628" spans="1:12" ht="15">
      <c r="A628" s="39" t="s">
        <v>502</v>
      </c>
      <c r="B628" s="46" t="s">
        <v>271</v>
      </c>
      <c r="C628" s="39" t="s">
        <v>465</v>
      </c>
      <c r="D628" s="72">
        <v>332289257</v>
      </c>
      <c r="E628" s="73">
        <v>9198367725</v>
      </c>
      <c r="F628" s="39" t="s">
        <v>247</v>
      </c>
      <c r="G628" s="81">
        <v>35992</v>
      </c>
      <c r="H628" s="105" t="str">
        <f>CHOOSE(MONTH(G628),"January","February","March","April","May","June","July","August","September","October","November","December")</f>
        <v>July</v>
      </c>
      <c r="I628" s="51">
        <f ca="1">DATEDIF(G628,TODAY(),"Y")</f>
        <v>18</v>
      </c>
      <c r="J628" s="52"/>
      <c r="K628" s="53">
        <v>68260</v>
      </c>
      <c r="L628" s="54">
        <v>5</v>
      </c>
    </row>
    <row r="629" spans="1:12" ht="15">
      <c r="A629" s="39" t="s">
        <v>962</v>
      </c>
      <c r="B629" s="46" t="s">
        <v>285</v>
      </c>
      <c r="C629" s="39" t="s">
        <v>465</v>
      </c>
      <c r="D629" s="72">
        <v>894030119</v>
      </c>
      <c r="E629" s="73">
        <v>2528652588</v>
      </c>
      <c r="F629" s="39" t="s">
        <v>256</v>
      </c>
      <c r="G629" s="81">
        <v>37068</v>
      </c>
      <c r="H629" s="105" t="str">
        <f>CHOOSE(MONTH(G629),"January","February","March","April","May","June","July","August","September","October","November","December")</f>
        <v>June</v>
      </c>
      <c r="I629" s="51">
        <f ca="1">DATEDIF(G629,TODAY(),"Y")</f>
        <v>15</v>
      </c>
      <c r="J629" s="52" t="s">
        <v>262</v>
      </c>
      <c r="K629" s="53">
        <v>66010</v>
      </c>
      <c r="L629" s="54">
        <v>5</v>
      </c>
    </row>
    <row r="630" spans="1:12" ht="15">
      <c r="A630" s="39" t="s">
        <v>929</v>
      </c>
      <c r="B630" s="46" t="s">
        <v>266</v>
      </c>
      <c r="C630" s="39" t="s">
        <v>465</v>
      </c>
      <c r="D630" s="72">
        <v>378189642</v>
      </c>
      <c r="E630" s="73">
        <v>2526228199</v>
      </c>
      <c r="F630" s="39" t="s">
        <v>247</v>
      </c>
      <c r="G630" s="81">
        <v>37899</v>
      </c>
      <c r="H630" s="105" t="str">
        <f>CHOOSE(MONTH(G630),"January","February","March","April","May","June","July","August","September","October","November","December")</f>
        <v>October</v>
      </c>
      <c r="I630" s="51">
        <f ca="1">DATEDIF(G630,TODAY(),"Y")</f>
        <v>13</v>
      </c>
      <c r="J630" s="52"/>
      <c r="K630" s="53">
        <v>64220</v>
      </c>
      <c r="L630" s="54">
        <v>5</v>
      </c>
    </row>
    <row r="631" spans="1:12" ht="15">
      <c r="A631" s="39" t="s">
        <v>663</v>
      </c>
      <c r="B631" s="46" t="s">
        <v>285</v>
      </c>
      <c r="C631" s="39" t="s">
        <v>465</v>
      </c>
      <c r="D631" s="72">
        <v>930282755</v>
      </c>
      <c r="E631" s="73">
        <v>9192380636</v>
      </c>
      <c r="F631" s="39" t="s">
        <v>261</v>
      </c>
      <c r="G631" s="81">
        <v>35189</v>
      </c>
      <c r="H631" s="105" t="str">
        <f>CHOOSE(MONTH(G631),"January","February","March","April","May","June","July","August","September","October","November","December")</f>
        <v>May</v>
      </c>
      <c r="I631" s="51">
        <f ca="1">DATEDIF(G631,TODAY(),"Y")</f>
        <v>20</v>
      </c>
      <c r="J631" s="52" t="s">
        <v>257</v>
      </c>
      <c r="K631" s="53">
        <v>46285</v>
      </c>
      <c r="L631" s="54">
        <v>5</v>
      </c>
    </row>
    <row r="632" spans="1:12" ht="15">
      <c r="A632" s="39" t="s">
        <v>902</v>
      </c>
      <c r="B632" s="46" t="s">
        <v>285</v>
      </c>
      <c r="C632" s="39" t="s">
        <v>465</v>
      </c>
      <c r="D632" s="72">
        <v>249929042</v>
      </c>
      <c r="E632" s="73">
        <v>2525790872</v>
      </c>
      <c r="F632" s="39" t="s">
        <v>256</v>
      </c>
      <c r="G632" s="81">
        <v>38664</v>
      </c>
      <c r="H632" s="105" t="str">
        <f>CHOOSE(MONTH(G632),"January","February","March","April","May","June","July","August","September","October","November","December")</f>
        <v>November</v>
      </c>
      <c r="I632" s="51">
        <f ca="1">DATEDIF(G632,TODAY(),"Y")</f>
        <v>11</v>
      </c>
      <c r="J632" s="52" t="s">
        <v>257</v>
      </c>
      <c r="K632" s="53">
        <v>61060</v>
      </c>
      <c r="L632" s="54">
        <v>5</v>
      </c>
    </row>
    <row r="633" spans="1:12" ht="15">
      <c r="A633" s="39" t="s">
        <v>519</v>
      </c>
      <c r="B633" s="46" t="s">
        <v>271</v>
      </c>
      <c r="C633" s="39" t="s">
        <v>465</v>
      </c>
      <c r="D633" s="72">
        <v>616417564</v>
      </c>
      <c r="E633" s="73">
        <v>9191806180</v>
      </c>
      <c r="F633" s="39" t="s">
        <v>247</v>
      </c>
      <c r="G633" s="81">
        <v>35451</v>
      </c>
      <c r="H633" s="105" t="str">
        <f>CHOOSE(MONTH(G633),"January","February","March","April","May","June","July","August","September","October","November","December")</f>
        <v>January</v>
      </c>
      <c r="I633" s="51">
        <f ca="1">DATEDIF(G633,TODAY(),"Y")</f>
        <v>19</v>
      </c>
      <c r="J633" s="52"/>
      <c r="K633" s="53">
        <v>42150</v>
      </c>
      <c r="L633" s="54">
        <v>5</v>
      </c>
    </row>
    <row r="634" spans="1:12" ht="15">
      <c r="A634" s="39" t="s">
        <v>809</v>
      </c>
      <c r="B634" s="46" t="s">
        <v>271</v>
      </c>
      <c r="C634" s="39" t="s">
        <v>465</v>
      </c>
      <c r="D634" s="72">
        <v>220781349</v>
      </c>
      <c r="E634" s="73">
        <v>2525185281</v>
      </c>
      <c r="F634" s="39" t="s">
        <v>247</v>
      </c>
      <c r="G634" s="81">
        <v>34149</v>
      </c>
      <c r="H634" s="105" t="str">
        <f>CHOOSE(MONTH(G634),"January","February","March","April","May","June","July","August","September","October","November","December")</f>
        <v>June</v>
      </c>
      <c r="I634" s="51">
        <f ca="1">DATEDIF(G634,TODAY(),"Y")</f>
        <v>23</v>
      </c>
      <c r="J634" s="52"/>
      <c r="K634" s="53">
        <v>45770</v>
      </c>
      <c r="L634" s="54">
        <v>5</v>
      </c>
    </row>
    <row r="635" spans="1:12" ht="15">
      <c r="A635" s="39" t="s">
        <v>616</v>
      </c>
      <c r="B635" s="46" t="s">
        <v>245</v>
      </c>
      <c r="C635" s="39" t="s">
        <v>465</v>
      </c>
      <c r="D635" s="72">
        <v>436778229</v>
      </c>
      <c r="E635" s="73">
        <v>2525871924</v>
      </c>
      <c r="F635" s="39" t="s">
        <v>247</v>
      </c>
      <c r="G635" s="81">
        <v>39822</v>
      </c>
      <c r="H635" s="105" t="str">
        <f>CHOOSE(MONTH(G635),"January","February","March","April","May","June","July","August","September","October","November","December")</f>
        <v>January</v>
      </c>
      <c r="I635" s="51">
        <f ca="1">DATEDIF(G635,TODAY(),"Y")</f>
        <v>7</v>
      </c>
      <c r="J635" s="52"/>
      <c r="K635" s="53">
        <v>60040</v>
      </c>
      <c r="L635" s="54">
        <v>5</v>
      </c>
    </row>
    <row r="636" spans="1:12" ht="15">
      <c r="A636" s="39" t="s">
        <v>1470</v>
      </c>
      <c r="B636" s="46" t="s">
        <v>266</v>
      </c>
      <c r="C636" s="39" t="s">
        <v>465</v>
      </c>
      <c r="D636" s="72">
        <v>906321388</v>
      </c>
      <c r="E636" s="73">
        <v>2527919826</v>
      </c>
      <c r="F636" s="39" t="s">
        <v>247</v>
      </c>
      <c r="G636" s="81">
        <v>35360</v>
      </c>
      <c r="H636" s="105" t="str">
        <f>CHOOSE(MONTH(G636),"January","February","March","April","May","June","July","August","September","October","November","December")</f>
        <v>October</v>
      </c>
      <c r="I636" s="51">
        <f ca="1">DATEDIF(G636,TODAY(),"Y")</f>
        <v>20</v>
      </c>
      <c r="J636" s="52"/>
      <c r="K636" s="53">
        <v>28260</v>
      </c>
      <c r="L636" s="54">
        <v>5</v>
      </c>
    </row>
    <row r="637" spans="1:12" ht="15">
      <c r="A637" s="39" t="s">
        <v>979</v>
      </c>
      <c r="B637" s="46" t="s">
        <v>271</v>
      </c>
      <c r="C637" s="39" t="s">
        <v>465</v>
      </c>
      <c r="D637" s="72">
        <v>527185620</v>
      </c>
      <c r="E637" s="73">
        <v>2524627771</v>
      </c>
      <c r="F637" s="39" t="s">
        <v>256</v>
      </c>
      <c r="G637" s="81">
        <v>40270</v>
      </c>
      <c r="H637" s="105" t="str">
        <f>CHOOSE(MONTH(G637),"January","February","March","April","May","June","July","August","September","October","November","December")</f>
        <v>April</v>
      </c>
      <c r="I637" s="51">
        <f ca="1">DATEDIF(G637,TODAY(),"Y")</f>
        <v>6</v>
      </c>
      <c r="J637" s="52" t="s">
        <v>283</v>
      </c>
      <c r="K637" s="53">
        <v>35300</v>
      </c>
      <c r="L637" s="54">
        <v>5</v>
      </c>
    </row>
    <row r="638" spans="1:12" ht="15">
      <c r="A638" s="39" t="s">
        <v>574</v>
      </c>
      <c r="B638" s="46" t="s">
        <v>280</v>
      </c>
      <c r="C638" s="39" t="s">
        <v>465</v>
      </c>
      <c r="D638" s="72">
        <v>969216994</v>
      </c>
      <c r="E638" s="73">
        <v>2528973095</v>
      </c>
      <c r="F638" s="39" t="s">
        <v>247</v>
      </c>
      <c r="G638" s="81">
        <v>36283</v>
      </c>
      <c r="H638" s="105" t="str">
        <f>CHOOSE(MONTH(G638),"January","February","March","April","May","June","July","August","September","October","November","December")</f>
        <v>May</v>
      </c>
      <c r="I638" s="51">
        <f ca="1">DATEDIF(G638,TODAY(),"Y")</f>
        <v>17</v>
      </c>
      <c r="J638" s="52"/>
      <c r="K638" s="53">
        <v>25130</v>
      </c>
      <c r="L638" s="54">
        <v>5</v>
      </c>
    </row>
    <row r="639" spans="1:12" ht="15">
      <c r="A639" s="39" t="s">
        <v>635</v>
      </c>
      <c r="B639" s="46" t="s">
        <v>285</v>
      </c>
      <c r="C639" s="39" t="s">
        <v>465</v>
      </c>
      <c r="D639" s="72">
        <v>291715078</v>
      </c>
      <c r="E639" s="73">
        <v>9197662359</v>
      </c>
      <c r="F639" s="39" t="s">
        <v>256</v>
      </c>
      <c r="G639" s="81">
        <v>33613</v>
      </c>
      <c r="H639" s="105" t="str">
        <f>CHOOSE(MONTH(G639),"January","February","March","April","May","June","July","August","September","October","November","December")</f>
        <v>January</v>
      </c>
      <c r="I639" s="51">
        <f ca="1">DATEDIF(G639,TODAY(),"Y")</f>
        <v>24</v>
      </c>
      <c r="J639" s="52" t="s">
        <v>586</v>
      </c>
      <c r="K639" s="53">
        <v>56900</v>
      </c>
      <c r="L639" s="54">
        <v>5</v>
      </c>
    </row>
    <row r="640" spans="1:12" ht="15">
      <c r="A640" s="39" t="s">
        <v>813</v>
      </c>
      <c r="B640" s="46" t="s">
        <v>266</v>
      </c>
      <c r="C640" s="39" t="s">
        <v>465</v>
      </c>
      <c r="D640" s="72">
        <v>135965371</v>
      </c>
      <c r="E640" s="73">
        <v>9195592950</v>
      </c>
      <c r="F640" s="39" t="s">
        <v>256</v>
      </c>
      <c r="G640" s="81">
        <v>37936</v>
      </c>
      <c r="H640" s="105" t="str">
        <f>CHOOSE(MONTH(G640),"January","February","March","April","May","June","July","August","September","October","November","December")</f>
        <v>November</v>
      </c>
      <c r="I640" s="51">
        <f ca="1">DATEDIF(G640,TODAY(),"Y")</f>
        <v>12</v>
      </c>
      <c r="J640" s="52" t="s">
        <v>283</v>
      </c>
      <c r="K640" s="53">
        <v>30920</v>
      </c>
      <c r="L640" s="54">
        <v>5</v>
      </c>
    </row>
    <row r="641" spans="1:12" ht="15">
      <c r="A641" s="39" t="s">
        <v>286</v>
      </c>
      <c r="B641" s="46" t="s">
        <v>245</v>
      </c>
      <c r="C641" s="39" t="s">
        <v>465</v>
      </c>
      <c r="D641" s="72">
        <v>416394493</v>
      </c>
      <c r="E641" s="73">
        <v>2525228252</v>
      </c>
      <c r="F641" s="39" t="s">
        <v>256</v>
      </c>
      <c r="G641" s="81">
        <v>35938</v>
      </c>
      <c r="H641" s="105" t="str">
        <f>CHOOSE(MONTH(G641),"January","February","March","April","May","June","July","August","September","October","November","December")</f>
        <v>May</v>
      </c>
      <c r="I641" s="51">
        <f ca="1">DATEDIF(G641,TODAY(),"Y")</f>
        <v>18</v>
      </c>
      <c r="J641" s="52" t="s">
        <v>267</v>
      </c>
      <c r="K641" s="53">
        <v>55450</v>
      </c>
      <c r="L641" s="54">
        <v>5</v>
      </c>
    </row>
    <row r="642" spans="1:12" ht="15">
      <c r="A642" s="39" t="s">
        <v>460</v>
      </c>
      <c r="B642" s="46" t="s">
        <v>285</v>
      </c>
      <c r="C642" s="39" t="s">
        <v>465</v>
      </c>
      <c r="D642" s="72">
        <v>903618594</v>
      </c>
      <c r="E642" s="73">
        <v>9194733288</v>
      </c>
      <c r="F642" s="39" t="s">
        <v>256</v>
      </c>
      <c r="G642" s="81">
        <v>37866</v>
      </c>
      <c r="H642" s="105" t="str">
        <f>CHOOSE(MONTH(G642),"January","February","March","April","May","June","July","August","September","October","November","December")</f>
        <v>September</v>
      </c>
      <c r="I642" s="51">
        <f ca="1">DATEDIF(G642,TODAY(),"Y")</f>
        <v>13</v>
      </c>
      <c r="J642" s="52" t="s">
        <v>262</v>
      </c>
      <c r="K642" s="53">
        <v>54230</v>
      </c>
      <c r="L642" s="54">
        <v>5</v>
      </c>
    </row>
    <row r="643" spans="1:12" ht="15">
      <c r="A643" s="39" t="s">
        <v>722</v>
      </c>
      <c r="B643" s="46" t="s">
        <v>251</v>
      </c>
      <c r="C643" s="39" t="s">
        <v>465</v>
      </c>
      <c r="D643" s="72">
        <v>100679868</v>
      </c>
      <c r="E643" s="73">
        <v>9198082183</v>
      </c>
      <c r="F643" s="39" t="s">
        <v>261</v>
      </c>
      <c r="G643" s="81">
        <v>35807</v>
      </c>
      <c r="H643" s="105" t="str">
        <f>CHOOSE(MONTH(G643),"January","February","March","April","May","June","July","August","September","October","November","December")</f>
        <v>January</v>
      </c>
      <c r="I643" s="51">
        <f ca="1">DATEDIF(G643,TODAY(),"Y")</f>
        <v>18</v>
      </c>
      <c r="J643" s="52" t="s">
        <v>257</v>
      </c>
      <c r="K643" s="53">
        <v>48835</v>
      </c>
      <c r="L643" s="54">
        <v>5</v>
      </c>
    </row>
    <row r="644" spans="1:12" ht="15">
      <c r="A644" s="45" t="s">
        <v>281</v>
      </c>
      <c r="B644" s="46" t="s">
        <v>251</v>
      </c>
      <c r="C644" s="39" t="s">
        <v>618</v>
      </c>
      <c r="D644" s="72">
        <v>370608224</v>
      </c>
      <c r="E644" s="73">
        <v>2521535362</v>
      </c>
      <c r="F644" s="39" t="s">
        <v>256</v>
      </c>
      <c r="G644" s="81">
        <v>37407</v>
      </c>
      <c r="H644" s="105" t="str">
        <f>CHOOSE(MONTH(G644),"January","February","March","April","May","June","July","August","September","October","November","December")</f>
        <v>May</v>
      </c>
      <c r="I644" s="51">
        <f ca="1">DATEDIF(G644,TODAY(),"Y")</f>
        <v>14</v>
      </c>
      <c r="J644" s="52" t="s">
        <v>257</v>
      </c>
      <c r="K644" s="53">
        <v>59140</v>
      </c>
      <c r="L644" s="54">
        <v>5</v>
      </c>
    </row>
    <row r="645" spans="1:12" ht="15">
      <c r="A645" s="39" t="s">
        <v>505</v>
      </c>
      <c r="B645" s="46" t="s">
        <v>266</v>
      </c>
      <c r="C645" s="39" t="s">
        <v>618</v>
      </c>
      <c r="D645" s="72">
        <v>723930767</v>
      </c>
      <c r="E645" s="73">
        <v>9191375297</v>
      </c>
      <c r="F645" s="39" t="s">
        <v>256</v>
      </c>
      <c r="G645" s="103">
        <v>40313</v>
      </c>
      <c r="H645" s="105" t="str">
        <f>CHOOSE(MONTH(G645),"January","February","March","April","May","June","July","August","September","October","November","December")</f>
        <v>May</v>
      </c>
      <c r="I645" s="51">
        <f ca="1">DATEDIF(G645,TODAY(),"Y")</f>
        <v>6</v>
      </c>
      <c r="J645" s="52" t="s">
        <v>283</v>
      </c>
      <c r="K645" s="53">
        <v>27250</v>
      </c>
      <c r="L645" s="54">
        <v>5</v>
      </c>
    </row>
    <row r="646" spans="1:12" ht="15">
      <c r="A646" s="39" t="s">
        <v>675</v>
      </c>
      <c r="B646" s="46" t="s">
        <v>245</v>
      </c>
      <c r="C646" s="39" t="s">
        <v>626</v>
      </c>
      <c r="D646" s="72">
        <v>662247915</v>
      </c>
      <c r="E646" s="73">
        <v>9194378387</v>
      </c>
      <c r="F646" s="39" t="s">
        <v>256</v>
      </c>
      <c r="G646" s="81">
        <v>36940</v>
      </c>
      <c r="H646" s="105" t="str">
        <f>CHOOSE(MONTH(G646),"January","February","March","April","May","June","July","August","September","October","November","December")</f>
        <v>February</v>
      </c>
      <c r="I646" s="51">
        <f ca="1">DATEDIF(G646,TODAY(),"Y")</f>
        <v>15</v>
      </c>
      <c r="J646" s="52" t="s">
        <v>257</v>
      </c>
      <c r="K646" s="53">
        <v>48990</v>
      </c>
      <c r="L646" s="54">
        <v>5</v>
      </c>
    </row>
    <row r="647" spans="1:12" ht="15">
      <c r="A647" s="39" t="s">
        <v>987</v>
      </c>
      <c r="B647" s="46" t="s">
        <v>245</v>
      </c>
      <c r="C647" s="39" t="s">
        <v>626</v>
      </c>
      <c r="D647" s="72">
        <v>259330447</v>
      </c>
      <c r="E647" s="73">
        <v>9195252544</v>
      </c>
      <c r="F647" s="39" t="s">
        <v>247</v>
      </c>
      <c r="G647" s="81">
        <v>36192</v>
      </c>
      <c r="H647" s="105" t="str">
        <f>CHOOSE(MONTH(G647),"January","February","March","April","May","June","July","August","September","October","November","December")</f>
        <v>February</v>
      </c>
      <c r="I647" s="51">
        <f ca="1">DATEDIF(G647,TODAY(),"Y")</f>
        <v>17</v>
      </c>
      <c r="J647" s="52"/>
      <c r="K647" s="53">
        <v>47620</v>
      </c>
      <c r="L647" s="54">
        <v>5</v>
      </c>
    </row>
    <row r="648" spans="1:12" ht="15">
      <c r="A648" s="39" t="s">
        <v>347</v>
      </c>
      <c r="B648" s="46" t="s">
        <v>280</v>
      </c>
      <c r="C648" s="39" t="s">
        <v>626</v>
      </c>
      <c r="D648" s="72">
        <v>991764142</v>
      </c>
      <c r="E648" s="73">
        <v>9192490678</v>
      </c>
      <c r="F648" s="39" t="s">
        <v>247</v>
      </c>
      <c r="G648" s="81">
        <v>34947</v>
      </c>
      <c r="H648" s="105" t="str">
        <f>CHOOSE(MONTH(G648),"January","February","March","April","May","June","July","August","September","October","November","December")</f>
        <v>September</v>
      </c>
      <c r="I648" s="51">
        <f ca="1">DATEDIF(G648,TODAY(),"Y")</f>
        <v>21</v>
      </c>
      <c r="J648" s="52"/>
      <c r="K648" s="53">
        <v>81930</v>
      </c>
      <c r="L648" s="54">
        <v>5</v>
      </c>
    </row>
    <row r="649" spans="1:12" ht="15">
      <c r="A649" s="39" t="s">
        <v>764</v>
      </c>
      <c r="B649" s="46" t="s">
        <v>266</v>
      </c>
      <c r="C649" s="39" t="s">
        <v>626</v>
      </c>
      <c r="D649" s="72">
        <v>466400098</v>
      </c>
      <c r="E649" s="73">
        <v>2524652136</v>
      </c>
      <c r="F649" s="39" t="s">
        <v>247</v>
      </c>
      <c r="G649" s="81">
        <v>34054</v>
      </c>
      <c r="H649" s="105" t="str">
        <f>CHOOSE(MONTH(G649),"January","February","March","April","May","June","July","August","September","October","November","December")</f>
        <v>March</v>
      </c>
      <c r="I649" s="51">
        <f ca="1">DATEDIF(G649,TODAY(),"Y")</f>
        <v>23</v>
      </c>
      <c r="J649" s="52"/>
      <c r="K649" s="53">
        <v>29000</v>
      </c>
      <c r="L649" s="54">
        <v>5</v>
      </c>
    </row>
    <row r="650" spans="1:12" ht="15">
      <c r="A650" s="39" t="s">
        <v>470</v>
      </c>
      <c r="B650" s="46" t="s">
        <v>271</v>
      </c>
      <c r="C650" s="39" t="s">
        <v>626</v>
      </c>
      <c r="D650" s="72">
        <v>626767704</v>
      </c>
      <c r="E650" s="73">
        <v>2526971022</v>
      </c>
      <c r="F650" s="39" t="s">
        <v>247</v>
      </c>
      <c r="G650" s="81">
        <v>35776</v>
      </c>
      <c r="H650" s="105" t="str">
        <f>CHOOSE(MONTH(G650),"January","February","March","April","May","June","July","August","September","October","November","December")</f>
        <v>December</v>
      </c>
      <c r="I650" s="51">
        <f ca="1">DATEDIF(G650,TODAY(),"Y")</f>
        <v>18</v>
      </c>
      <c r="J650" s="52"/>
      <c r="K650" s="53">
        <v>77930</v>
      </c>
      <c r="L650" s="54">
        <v>5</v>
      </c>
    </row>
    <row r="651" spans="1:12" ht="15">
      <c r="A651" s="39" t="s">
        <v>686</v>
      </c>
      <c r="B651" s="46" t="s">
        <v>285</v>
      </c>
      <c r="C651" s="39" t="s">
        <v>626</v>
      </c>
      <c r="D651" s="72">
        <v>254201611</v>
      </c>
      <c r="E651" s="73">
        <v>9197803578</v>
      </c>
      <c r="F651" s="39" t="s">
        <v>256</v>
      </c>
      <c r="G651" s="81">
        <v>34034</v>
      </c>
      <c r="H651" s="105" t="str">
        <f>CHOOSE(MONTH(G651),"January","February","March","April","May","June","July","August","September","October","November","December")</f>
        <v>March</v>
      </c>
      <c r="I651" s="51">
        <f ca="1">DATEDIF(G651,TODAY(),"Y")</f>
        <v>23</v>
      </c>
      <c r="J651" s="52" t="s">
        <v>267</v>
      </c>
      <c r="K651" s="53">
        <v>45180</v>
      </c>
      <c r="L651" s="54">
        <v>5</v>
      </c>
    </row>
    <row r="652" spans="1:12" ht="15">
      <c r="A652" s="39" t="s">
        <v>345</v>
      </c>
      <c r="B652" s="46" t="s">
        <v>245</v>
      </c>
      <c r="C652" s="39" t="s">
        <v>626</v>
      </c>
      <c r="D652" s="72">
        <v>738946277</v>
      </c>
      <c r="E652" s="73">
        <v>9194331646</v>
      </c>
      <c r="F652" s="39" t="s">
        <v>256</v>
      </c>
      <c r="G652" s="81">
        <v>33223</v>
      </c>
      <c r="H652" s="105" t="str">
        <f>CHOOSE(MONTH(G652),"January","February","March","April","May","June","July","August","September","October","November","December")</f>
        <v>December</v>
      </c>
      <c r="I652" s="51">
        <f ca="1">DATEDIF(G652,TODAY(),"Y")</f>
        <v>25</v>
      </c>
      <c r="J652" s="52" t="s">
        <v>262</v>
      </c>
      <c r="K652" s="53">
        <v>31260</v>
      </c>
      <c r="L652" s="54">
        <v>5</v>
      </c>
    </row>
    <row r="653" spans="1:12" ht="15">
      <c r="A653" s="39" t="s">
        <v>826</v>
      </c>
      <c r="B653" s="46" t="s">
        <v>285</v>
      </c>
      <c r="C653" s="39" t="s">
        <v>626</v>
      </c>
      <c r="D653" s="72">
        <v>364404060</v>
      </c>
      <c r="E653" s="73">
        <v>2527722509</v>
      </c>
      <c r="F653" s="39" t="s">
        <v>261</v>
      </c>
      <c r="G653" s="81">
        <v>38362</v>
      </c>
      <c r="H653" s="105" t="str">
        <f>CHOOSE(MONTH(G653),"January","February","March","April","May","June","July","August","September","October","November","December")</f>
        <v>January</v>
      </c>
      <c r="I653" s="51">
        <f ca="1">DATEDIF(G653,TODAY(),"Y")</f>
        <v>11</v>
      </c>
      <c r="J653" s="52" t="s">
        <v>257</v>
      </c>
      <c r="K653" s="53">
        <v>31255</v>
      </c>
      <c r="L653" s="54">
        <v>5</v>
      </c>
    </row>
    <row r="654" spans="1:12" ht="15">
      <c r="A654" s="39" t="s">
        <v>503</v>
      </c>
      <c r="B654" s="46" t="s">
        <v>245</v>
      </c>
      <c r="C654" s="39" t="s">
        <v>626</v>
      </c>
      <c r="D654" s="72">
        <v>980960186</v>
      </c>
      <c r="E654" s="73">
        <v>9191517218</v>
      </c>
      <c r="F654" s="39" t="s">
        <v>261</v>
      </c>
      <c r="G654" s="81">
        <v>39098</v>
      </c>
      <c r="H654" s="105" t="str">
        <f>CHOOSE(MONTH(G654),"January","February","March","April","May","June","July","August","September","October","November","December")</f>
        <v>January</v>
      </c>
      <c r="I654" s="51">
        <f ca="1">DATEDIF(G654,TODAY(),"Y")</f>
        <v>9</v>
      </c>
      <c r="J654" s="52" t="s">
        <v>283</v>
      </c>
      <c r="K654" s="53">
        <v>47705</v>
      </c>
      <c r="L654" s="54">
        <v>5</v>
      </c>
    </row>
    <row r="655" spans="1:12" ht="15">
      <c r="A655" s="39" t="s">
        <v>915</v>
      </c>
      <c r="B655" s="46" t="s">
        <v>251</v>
      </c>
      <c r="C655" s="39" t="s">
        <v>626</v>
      </c>
      <c r="D655" s="72">
        <v>345817459</v>
      </c>
      <c r="E655" s="73">
        <v>9195594427</v>
      </c>
      <c r="F655" s="39" t="s">
        <v>247</v>
      </c>
      <c r="G655" s="81">
        <v>36199</v>
      </c>
      <c r="H655" s="105" t="str">
        <f>CHOOSE(MONTH(G655),"January","February","March","April","May","June","July","August","September","October","November","December")</f>
        <v>February</v>
      </c>
      <c r="I655" s="51">
        <f ca="1">DATEDIF(G655,TODAY(),"Y")</f>
        <v>17</v>
      </c>
      <c r="J655" s="52"/>
      <c r="K655" s="53">
        <v>31270</v>
      </c>
      <c r="L655" s="54">
        <v>5</v>
      </c>
    </row>
    <row r="656" spans="1:12" ht="15">
      <c r="A656" s="39" t="s">
        <v>649</v>
      </c>
      <c r="B656" s="46" t="s">
        <v>271</v>
      </c>
      <c r="C656" s="39" t="s">
        <v>626</v>
      </c>
      <c r="D656" s="72">
        <v>796685092</v>
      </c>
      <c r="E656" s="73">
        <v>2527469217</v>
      </c>
      <c r="F656" s="39" t="s">
        <v>256</v>
      </c>
      <c r="G656" s="81">
        <v>36456</v>
      </c>
      <c r="H656" s="105" t="str">
        <f>CHOOSE(MONTH(G656),"January","February","March","April","May","June","July","August","September","October","November","December")</f>
        <v>October</v>
      </c>
      <c r="I656" s="51">
        <f ca="1">DATEDIF(G656,TODAY(),"Y")</f>
        <v>17</v>
      </c>
      <c r="J656" s="52" t="s">
        <v>283</v>
      </c>
      <c r="K656" s="53">
        <v>43460</v>
      </c>
      <c r="L656" s="54">
        <v>5</v>
      </c>
    </row>
    <row r="657" spans="1:12" ht="15">
      <c r="A657" s="39" t="s">
        <v>644</v>
      </c>
      <c r="B657" s="46" t="s">
        <v>280</v>
      </c>
      <c r="C657" s="39" t="s">
        <v>678</v>
      </c>
      <c r="D657" s="72">
        <v>247555666</v>
      </c>
      <c r="E657" s="73">
        <v>2528183445</v>
      </c>
      <c r="F657" s="39" t="s">
        <v>256</v>
      </c>
      <c r="G657" s="81">
        <v>33617</v>
      </c>
      <c r="H657" s="105" t="str">
        <f>CHOOSE(MONTH(G657),"January","February","March","April","May","June","July","August","September","October","November","December")</f>
        <v>January</v>
      </c>
      <c r="I657" s="51">
        <f ca="1">DATEDIF(G657,TODAY(),"Y")</f>
        <v>24</v>
      </c>
      <c r="J657" s="52" t="s">
        <v>257</v>
      </c>
      <c r="K657" s="53">
        <v>39110</v>
      </c>
      <c r="L657" s="54">
        <v>5</v>
      </c>
    </row>
    <row r="658" spans="1:12" ht="15">
      <c r="A658" s="39" t="s">
        <v>720</v>
      </c>
      <c r="B658" s="46" t="s">
        <v>285</v>
      </c>
      <c r="C658" s="39" t="s">
        <v>678</v>
      </c>
      <c r="D658" s="72">
        <v>414905182</v>
      </c>
      <c r="E658" s="73">
        <v>9193820411</v>
      </c>
      <c r="F658" s="39" t="s">
        <v>256</v>
      </c>
      <c r="G658" s="81">
        <v>35121</v>
      </c>
      <c r="H658" s="105" t="str">
        <f>CHOOSE(MONTH(G658),"January","February","March","April","May","June","July","August","September","October","November","December")</f>
        <v>February</v>
      </c>
      <c r="I658" s="51">
        <f ca="1">DATEDIF(G658,TODAY(),"Y")</f>
        <v>20</v>
      </c>
      <c r="J658" s="52" t="s">
        <v>283</v>
      </c>
      <c r="K658" s="53">
        <v>22860</v>
      </c>
      <c r="L658" s="54">
        <v>5</v>
      </c>
    </row>
    <row r="659" spans="1:12" ht="15">
      <c r="A659" s="39" t="s">
        <v>409</v>
      </c>
      <c r="B659" s="46" t="s">
        <v>280</v>
      </c>
      <c r="C659" s="39" t="s">
        <v>678</v>
      </c>
      <c r="D659" s="72">
        <v>665006199</v>
      </c>
      <c r="E659" s="73">
        <v>2525555817</v>
      </c>
      <c r="F659" s="39" t="s">
        <v>256</v>
      </c>
      <c r="G659" s="81">
        <v>36567</v>
      </c>
      <c r="H659" s="105" t="str">
        <f>CHOOSE(MONTH(G659),"January","February","March","April","May","June","July","August","September","October","November","December")</f>
        <v>February</v>
      </c>
      <c r="I659" s="51">
        <f ca="1">DATEDIF(G659,TODAY(),"Y")</f>
        <v>16</v>
      </c>
      <c r="J659" s="52" t="s">
        <v>276</v>
      </c>
      <c r="K659" s="53">
        <v>45450</v>
      </c>
      <c r="L659" s="54">
        <v>5</v>
      </c>
    </row>
    <row r="660" spans="1:12" ht="15">
      <c r="A660" s="39" t="s">
        <v>473</v>
      </c>
      <c r="B660" s="46" t="s">
        <v>266</v>
      </c>
      <c r="C660" s="39" t="s">
        <v>678</v>
      </c>
      <c r="D660" s="72">
        <v>113377726</v>
      </c>
      <c r="E660" s="73">
        <v>9197494648</v>
      </c>
      <c r="F660" s="39" t="s">
        <v>256</v>
      </c>
      <c r="G660" s="81">
        <v>36466</v>
      </c>
      <c r="H660" s="105" t="str">
        <f>CHOOSE(MONTH(G660),"January","February","March","April","May","June","July","August","September","October","November","December")</f>
        <v>November</v>
      </c>
      <c r="I660" s="51">
        <f ca="1">DATEDIF(G660,TODAY(),"Y")</f>
        <v>17</v>
      </c>
      <c r="J660" s="52" t="s">
        <v>283</v>
      </c>
      <c r="K660" s="53">
        <v>68410</v>
      </c>
      <c r="L660" s="54">
        <v>5</v>
      </c>
    </row>
    <row r="661" spans="1:12" ht="15">
      <c r="A661" s="39" t="s">
        <v>967</v>
      </c>
      <c r="B661" s="46" t="s">
        <v>285</v>
      </c>
      <c r="C661" s="39" t="s">
        <v>678</v>
      </c>
      <c r="D661" s="72">
        <v>468953266</v>
      </c>
      <c r="E661" s="73">
        <v>9192126707</v>
      </c>
      <c r="F661" s="39" t="s">
        <v>256</v>
      </c>
      <c r="G661" s="81">
        <v>33741</v>
      </c>
      <c r="H661" s="105" t="str">
        <f>CHOOSE(MONTH(G661),"January","February","March","April","May","June","July","August","September","October","November","December")</f>
        <v>May</v>
      </c>
      <c r="I661" s="51">
        <f ca="1">DATEDIF(G661,TODAY(),"Y")</f>
        <v>24</v>
      </c>
      <c r="J661" s="52" t="s">
        <v>257</v>
      </c>
      <c r="K661" s="53">
        <v>48550</v>
      </c>
      <c r="L661" s="54">
        <v>5</v>
      </c>
    </row>
    <row r="662" spans="1:12" ht="15">
      <c r="A662" s="39" t="s">
        <v>888</v>
      </c>
      <c r="B662" s="46" t="s">
        <v>245</v>
      </c>
      <c r="C662" s="39" t="s">
        <v>705</v>
      </c>
      <c r="D662" s="72">
        <v>972791650</v>
      </c>
      <c r="E662" s="73">
        <v>2525236892</v>
      </c>
      <c r="F662" s="39" t="s">
        <v>261</v>
      </c>
      <c r="G662" s="81">
        <v>37470</v>
      </c>
      <c r="H662" s="105" t="str">
        <f>CHOOSE(MONTH(G662),"January","February","March","April","May","June","July","August","September","October","November","December")</f>
        <v>August</v>
      </c>
      <c r="I662" s="51">
        <f ca="1">DATEDIF(G662,TODAY(),"Y")</f>
        <v>14</v>
      </c>
      <c r="J662" s="52" t="s">
        <v>257</v>
      </c>
      <c r="K662" s="53">
        <v>33810</v>
      </c>
      <c r="L662" s="54">
        <v>5</v>
      </c>
    </row>
    <row r="663" spans="1:12" ht="15">
      <c r="A663" s="39" t="s">
        <v>398</v>
      </c>
      <c r="B663" s="46" t="s">
        <v>245</v>
      </c>
      <c r="C663" s="39" t="s">
        <v>705</v>
      </c>
      <c r="D663" s="72">
        <v>623823805</v>
      </c>
      <c r="E663" s="73">
        <v>9192602559</v>
      </c>
      <c r="F663" s="39" t="s">
        <v>252</v>
      </c>
      <c r="G663" s="109">
        <v>40403</v>
      </c>
      <c r="H663" s="105" t="str">
        <f>CHOOSE(MONTH(G663),"January","February","March","April","May","June","July","August","September","October","November","December")</f>
        <v>August</v>
      </c>
      <c r="I663" s="51">
        <f ca="1">DATEDIF(G663,TODAY(),"Y")</f>
        <v>6</v>
      </c>
      <c r="J663" s="52"/>
      <c r="K663" s="53">
        <v>15056</v>
      </c>
      <c r="L663" s="54">
        <v>5</v>
      </c>
    </row>
    <row r="664" spans="1:12" ht="15">
      <c r="A664" s="39" t="s">
        <v>384</v>
      </c>
      <c r="B664" s="46" t="s">
        <v>271</v>
      </c>
      <c r="C664" s="39" t="s">
        <v>705</v>
      </c>
      <c r="D664" s="72">
        <v>839899522</v>
      </c>
      <c r="E664" s="73">
        <v>9195512521</v>
      </c>
      <c r="F664" s="39" t="s">
        <v>256</v>
      </c>
      <c r="G664" s="81">
        <v>35969</v>
      </c>
      <c r="H664" s="105" t="str">
        <f>CHOOSE(MONTH(G664),"January","February","March","April","May","June","July","August","September","October","November","December")</f>
        <v>June</v>
      </c>
      <c r="I664" s="51">
        <f ca="1">DATEDIF(G664,TODAY(),"Y")</f>
        <v>18</v>
      </c>
      <c r="J664" s="52" t="s">
        <v>257</v>
      </c>
      <c r="K664" s="53">
        <v>74530</v>
      </c>
      <c r="L664" s="54">
        <v>5</v>
      </c>
    </row>
    <row r="665" spans="1:12" ht="15">
      <c r="A665" s="39" t="s">
        <v>453</v>
      </c>
      <c r="B665" s="46" t="s">
        <v>271</v>
      </c>
      <c r="C665" s="39" t="s">
        <v>705</v>
      </c>
      <c r="D665" s="72">
        <v>934447306</v>
      </c>
      <c r="E665" s="73">
        <v>2525981242</v>
      </c>
      <c r="F665" s="39" t="s">
        <v>256</v>
      </c>
      <c r="G665" s="81">
        <v>34111</v>
      </c>
      <c r="H665" s="105" t="str">
        <f>CHOOSE(MONTH(G665),"January","February","March","April","May","June","July","August","September","October","November","December")</f>
        <v>May</v>
      </c>
      <c r="I665" s="51">
        <f ca="1">DATEDIF(G665,TODAY(),"Y")</f>
        <v>23</v>
      </c>
      <c r="J665" s="52" t="s">
        <v>283</v>
      </c>
      <c r="K665" s="53">
        <v>73030</v>
      </c>
      <c r="L665" s="54">
        <v>5</v>
      </c>
    </row>
    <row r="666" spans="1:12" ht="15">
      <c r="A666" s="39" t="s">
        <v>1004</v>
      </c>
      <c r="B666" s="46" t="s">
        <v>285</v>
      </c>
      <c r="C666" s="39" t="s">
        <v>705</v>
      </c>
      <c r="D666" s="72">
        <v>248820119</v>
      </c>
      <c r="E666" s="73">
        <v>2521711684</v>
      </c>
      <c r="F666" s="39" t="s">
        <v>256</v>
      </c>
      <c r="G666" s="81">
        <v>35903</v>
      </c>
      <c r="H666" s="105" t="str">
        <f>CHOOSE(MONTH(G666),"January","February","March","April","May","June","July","August","September","October","November","December")</f>
        <v>April</v>
      </c>
      <c r="I666" s="51">
        <f ca="1">DATEDIF(G666,TODAY(),"Y")</f>
        <v>18</v>
      </c>
      <c r="J666" s="52" t="s">
        <v>257</v>
      </c>
      <c r="K666" s="53">
        <v>68520</v>
      </c>
      <c r="L666" s="54">
        <v>5</v>
      </c>
    </row>
    <row r="667" spans="1:12" ht="15">
      <c r="A667" s="39" t="s">
        <v>513</v>
      </c>
      <c r="B667" s="46" t="s">
        <v>280</v>
      </c>
      <c r="C667" s="39" t="s">
        <v>705</v>
      </c>
      <c r="D667" s="72">
        <v>577239513</v>
      </c>
      <c r="E667" s="73">
        <v>9193199265</v>
      </c>
      <c r="F667" s="39" t="s">
        <v>256</v>
      </c>
      <c r="G667" s="81">
        <v>35133</v>
      </c>
      <c r="H667" s="105" t="str">
        <f>CHOOSE(MONTH(G667),"January","February","March","April","May","June","July","August","September","October","November","December")</f>
        <v>March</v>
      </c>
      <c r="I667" s="51">
        <f ca="1">DATEDIF(G667,TODAY(),"Y")</f>
        <v>20</v>
      </c>
      <c r="J667" s="52" t="s">
        <v>283</v>
      </c>
      <c r="K667" s="53">
        <v>63080</v>
      </c>
      <c r="L667" s="54">
        <v>5</v>
      </c>
    </row>
    <row r="668" spans="1:12" ht="15">
      <c r="A668" s="39" t="s">
        <v>380</v>
      </c>
      <c r="B668" s="46" t="s">
        <v>285</v>
      </c>
      <c r="C668" s="39" t="s">
        <v>705</v>
      </c>
      <c r="D668" s="72">
        <v>959568761</v>
      </c>
      <c r="E668" s="73">
        <v>9194744493</v>
      </c>
      <c r="F668" s="39" t="s">
        <v>256</v>
      </c>
      <c r="G668" s="81">
        <v>33457</v>
      </c>
      <c r="H668" s="105" t="str">
        <f>CHOOSE(MONTH(G668),"January","February","March","April","May","June","July","August","September","October","November","December")</f>
        <v>August</v>
      </c>
      <c r="I668" s="51">
        <f ca="1">DATEDIF(G668,TODAY(),"Y")</f>
        <v>25</v>
      </c>
      <c r="J668" s="52" t="s">
        <v>267</v>
      </c>
      <c r="K668" s="53">
        <v>61470</v>
      </c>
      <c r="L668" s="54">
        <v>5</v>
      </c>
    </row>
    <row r="669" spans="1:12" ht="15">
      <c r="A669" s="39" t="s">
        <v>706</v>
      </c>
      <c r="B669" s="46" t="s">
        <v>271</v>
      </c>
      <c r="C669" s="39" t="s">
        <v>705</v>
      </c>
      <c r="D669" s="72">
        <v>931977751</v>
      </c>
      <c r="E669" s="73">
        <v>9194471952</v>
      </c>
      <c r="F669" s="39" t="s">
        <v>256</v>
      </c>
      <c r="G669" s="81">
        <v>34901</v>
      </c>
      <c r="H669" s="105" t="str">
        <f>CHOOSE(MONTH(G669),"January","February","March","April","May","June","July","August","September","October","November","December")</f>
        <v>July</v>
      </c>
      <c r="I669" s="51">
        <f ca="1">DATEDIF(G669,TODAY(),"Y")</f>
        <v>21</v>
      </c>
      <c r="J669" s="52" t="s">
        <v>257</v>
      </c>
      <c r="K669" s="53">
        <v>25830</v>
      </c>
      <c r="L669" s="54">
        <v>5</v>
      </c>
    </row>
    <row r="670" spans="1:12" ht="15">
      <c r="A670" s="39" t="s">
        <v>425</v>
      </c>
      <c r="B670" s="46" t="s">
        <v>271</v>
      </c>
      <c r="C670" s="39" t="s">
        <v>705</v>
      </c>
      <c r="D670" s="72">
        <v>617795992</v>
      </c>
      <c r="E670" s="73">
        <v>2526345909</v>
      </c>
      <c r="F670" s="39" t="s">
        <v>256</v>
      </c>
      <c r="G670" s="81">
        <v>33578</v>
      </c>
      <c r="H670" s="105" t="str">
        <f>CHOOSE(MONTH(G670),"January","February","March","April","May","June","July","August","September","October","November","December")</f>
        <v>December</v>
      </c>
      <c r="I670" s="51">
        <f ca="1">DATEDIF(G670,TODAY(),"Y")</f>
        <v>24</v>
      </c>
      <c r="J670" s="52" t="s">
        <v>257</v>
      </c>
      <c r="K670" s="53">
        <v>43580</v>
      </c>
      <c r="L670" s="54">
        <v>5</v>
      </c>
    </row>
    <row r="671" spans="1:12" ht="15">
      <c r="A671" s="39" t="s">
        <v>376</v>
      </c>
      <c r="B671" s="46" t="s">
        <v>245</v>
      </c>
      <c r="C671" s="39" t="s">
        <v>750</v>
      </c>
      <c r="D671" s="72">
        <v>360904659</v>
      </c>
      <c r="E671" s="73">
        <v>2523766803</v>
      </c>
      <c r="F671" s="39" t="s">
        <v>256</v>
      </c>
      <c r="G671" s="81">
        <v>33588</v>
      </c>
      <c r="H671" s="105" t="str">
        <f>CHOOSE(MONTH(G671),"January","February","March","April","May","June","July","August","September","October","November","December")</f>
        <v>December</v>
      </c>
      <c r="I671" s="51">
        <f ca="1">DATEDIF(G671,TODAY(),"Y")</f>
        <v>24</v>
      </c>
      <c r="J671" s="52" t="s">
        <v>283</v>
      </c>
      <c r="K671" s="53">
        <v>44620</v>
      </c>
      <c r="L671" s="54">
        <v>5</v>
      </c>
    </row>
    <row r="672" spans="1:12" ht="15">
      <c r="A672" s="39" t="s">
        <v>416</v>
      </c>
      <c r="B672" s="46" t="s">
        <v>271</v>
      </c>
      <c r="C672" s="39" t="s">
        <v>750</v>
      </c>
      <c r="D672" s="72">
        <v>444159297</v>
      </c>
      <c r="E672" s="73">
        <v>2522456406</v>
      </c>
      <c r="F672" s="39" t="s">
        <v>256</v>
      </c>
      <c r="G672" s="81">
        <v>33536</v>
      </c>
      <c r="H672" s="105" t="str">
        <f>CHOOSE(MONTH(G672),"January","February","March","April","May","June","July","August","September","October","November","December")</f>
        <v>October</v>
      </c>
      <c r="I672" s="51">
        <f ca="1">DATEDIF(G672,TODAY(),"Y")</f>
        <v>25</v>
      </c>
      <c r="J672" s="52" t="s">
        <v>257</v>
      </c>
      <c r="K672" s="53">
        <v>81530</v>
      </c>
      <c r="L672" s="54">
        <v>5</v>
      </c>
    </row>
    <row r="673" spans="1:12" ht="15">
      <c r="A673" s="39" t="s">
        <v>432</v>
      </c>
      <c r="B673" s="46" t="s">
        <v>245</v>
      </c>
      <c r="C673" s="39" t="s">
        <v>750</v>
      </c>
      <c r="D673" s="72">
        <v>671360508</v>
      </c>
      <c r="E673" s="73">
        <v>2528385730</v>
      </c>
      <c r="F673" s="39" t="s">
        <v>261</v>
      </c>
      <c r="G673" s="108">
        <v>33160</v>
      </c>
      <c r="H673" s="105" t="str">
        <f>CHOOSE(MONTH(G673),"January","February","March","April","May","June","July","August","September","October","November","December")</f>
        <v>October</v>
      </c>
      <c r="I673" s="51">
        <f ca="1">DATEDIF(G673,TODAY(),"Y")</f>
        <v>26</v>
      </c>
      <c r="J673" s="52" t="s">
        <v>262</v>
      </c>
      <c r="K673" s="53">
        <v>39620</v>
      </c>
      <c r="L673" s="54">
        <v>5</v>
      </c>
    </row>
    <row r="674" spans="1:12" ht="15">
      <c r="A674" s="39" t="s">
        <v>317</v>
      </c>
      <c r="B674" s="46" t="s">
        <v>271</v>
      </c>
      <c r="C674" s="39" t="s">
        <v>750</v>
      </c>
      <c r="D674" s="72">
        <v>763518183</v>
      </c>
      <c r="E674" s="73">
        <v>2522581491</v>
      </c>
      <c r="F674" s="39" t="s">
        <v>256</v>
      </c>
      <c r="G674" s="81">
        <v>33440</v>
      </c>
      <c r="H674" s="105" t="str">
        <f>CHOOSE(MONTH(G674),"January","February","March","April","May","June","July","August","September","October","November","December")</f>
        <v>July</v>
      </c>
      <c r="I674" s="51">
        <f ca="1">DATEDIF(G674,TODAY(),"Y")</f>
        <v>25</v>
      </c>
      <c r="J674" s="52" t="s">
        <v>257</v>
      </c>
      <c r="K674" s="53">
        <v>69400</v>
      </c>
      <c r="L674" s="54">
        <v>5</v>
      </c>
    </row>
    <row r="675" spans="1:12" ht="15">
      <c r="A675" s="39" t="s">
        <v>957</v>
      </c>
      <c r="B675" s="46" t="s">
        <v>271</v>
      </c>
      <c r="C675" s="39" t="s">
        <v>750</v>
      </c>
      <c r="D675" s="72">
        <v>134557291</v>
      </c>
      <c r="E675" s="73">
        <v>2525536623</v>
      </c>
      <c r="F675" s="39" t="s">
        <v>256</v>
      </c>
      <c r="G675" s="81">
        <v>33113</v>
      </c>
      <c r="H675" s="105" t="str">
        <f>CHOOSE(MONTH(G675),"January","February","March","April","May","June","July","August","September","October","November","December")</f>
        <v>August</v>
      </c>
      <c r="I675" s="51">
        <f ca="1">DATEDIF(G675,TODAY(),"Y")</f>
        <v>26</v>
      </c>
      <c r="J675" s="52" t="s">
        <v>257</v>
      </c>
      <c r="K675" s="53">
        <v>32600</v>
      </c>
      <c r="L675" s="54">
        <v>5</v>
      </c>
    </row>
    <row r="676" spans="1:12" ht="15">
      <c r="A676" s="39" t="s">
        <v>917</v>
      </c>
      <c r="B676" s="46" t="s">
        <v>245</v>
      </c>
      <c r="C676" s="39" t="s">
        <v>767</v>
      </c>
      <c r="D676" s="72">
        <v>570756015</v>
      </c>
      <c r="E676" s="73">
        <v>2522238535</v>
      </c>
      <c r="F676" s="39" t="s">
        <v>261</v>
      </c>
      <c r="G676" s="103">
        <v>40421</v>
      </c>
      <c r="H676" s="105" t="str">
        <f>CHOOSE(MONTH(G676),"January","February","March","April","May","June","July","August","September","October","November","December")</f>
        <v>August</v>
      </c>
      <c r="I676" s="51">
        <f ca="1">DATEDIF(G676,TODAY(),"Y")</f>
        <v>6</v>
      </c>
      <c r="J676" s="52" t="s">
        <v>262</v>
      </c>
      <c r="K676" s="53">
        <v>49355</v>
      </c>
      <c r="L676" s="54">
        <v>5</v>
      </c>
    </row>
    <row r="677" spans="1:12" ht="15">
      <c r="A677" s="39" t="s">
        <v>653</v>
      </c>
      <c r="B677" s="46" t="s">
        <v>271</v>
      </c>
      <c r="C677" s="39" t="s">
        <v>767</v>
      </c>
      <c r="D677" s="72">
        <v>978154935</v>
      </c>
      <c r="E677" s="73">
        <v>2521384592</v>
      </c>
      <c r="F677" s="39" t="s">
        <v>256</v>
      </c>
      <c r="G677" s="81">
        <v>36195</v>
      </c>
      <c r="H677" s="105" t="str">
        <f>CHOOSE(MONTH(G677),"January","February","March","April","May","June","July","August","September","October","November","December")</f>
        <v>February</v>
      </c>
      <c r="I677" s="51">
        <f ca="1">DATEDIF(G677,TODAY(),"Y")</f>
        <v>17</v>
      </c>
      <c r="J677" s="52" t="s">
        <v>267</v>
      </c>
      <c r="K677" s="53">
        <v>46360</v>
      </c>
      <c r="L677" s="54">
        <v>5</v>
      </c>
    </row>
    <row r="678" spans="1:12" ht="15">
      <c r="A678" s="39" t="s">
        <v>827</v>
      </c>
      <c r="B678" s="46" t="s">
        <v>285</v>
      </c>
      <c r="C678" s="39" t="s">
        <v>767</v>
      </c>
      <c r="D678" s="72">
        <v>161439267</v>
      </c>
      <c r="E678" s="73">
        <v>9197600603</v>
      </c>
      <c r="F678" s="39" t="s">
        <v>256</v>
      </c>
      <c r="G678" s="81">
        <v>39362</v>
      </c>
      <c r="H678" s="105" t="str">
        <f>CHOOSE(MONTH(G678),"January","February","March","April","May","June","July","August","September","October","November","December")</f>
        <v>October</v>
      </c>
      <c r="I678" s="51">
        <f ca="1">DATEDIF(G678,TODAY(),"Y")</f>
        <v>9</v>
      </c>
      <c r="J678" s="52" t="s">
        <v>262</v>
      </c>
      <c r="K678" s="53">
        <v>42020</v>
      </c>
      <c r="L678" s="54">
        <v>5</v>
      </c>
    </row>
    <row r="679" spans="1:12" ht="15">
      <c r="A679" s="39" t="s">
        <v>449</v>
      </c>
      <c r="B679" s="46" t="s">
        <v>271</v>
      </c>
      <c r="C679" s="39" t="s">
        <v>767</v>
      </c>
      <c r="D679" s="72">
        <v>924942231</v>
      </c>
      <c r="E679" s="73">
        <v>9193279828</v>
      </c>
      <c r="F679" s="39" t="s">
        <v>261</v>
      </c>
      <c r="G679" s="81">
        <v>40166</v>
      </c>
      <c r="H679" s="105" t="str">
        <f>CHOOSE(MONTH(G679),"January","February","March","April","May","June","July","August","September","October","November","December")</f>
        <v>December</v>
      </c>
      <c r="I679" s="51">
        <f ca="1">DATEDIF(G679,TODAY(),"Y")</f>
        <v>6</v>
      </c>
      <c r="J679" s="52" t="s">
        <v>276</v>
      </c>
      <c r="K679" s="53">
        <v>25245</v>
      </c>
      <c r="L679" s="54">
        <v>5</v>
      </c>
    </row>
    <row r="680" spans="1:12" ht="15">
      <c r="A680" s="39" t="s">
        <v>976</v>
      </c>
      <c r="B680" s="46" t="s">
        <v>280</v>
      </c>
      <c r="C680" s="39" t="s">
        <v>767</v>
      </c>
      <c r="D680" s="72">
        <v>445693854</v>
      </c>
      <c r="E680" s="73">
        <v>9192891217</v>
      </c>
      <c r="F680" s="39" t="s">
        <v>247</v>
      </c>
      <c r="G680" s="81">
        <v>34915</v>
      </c>
      <c r="H680" s="105" t="str">
        <f>CHOOSE(MONTH(G680),"January","February","March","April","May","June","July","August","September","October","November","December")</f>
        <v>August</v>
      </c>
      <c r="I680" s="51">
        <f ca="1">DATEDIF(G680,TODAY(),"Y")</f>
        <v>21</v>
      </c>
      <c r="J680" s="52"/>
      <c r="K680" s="53">
        <v>76870</v>
      </c>
      <c r="L680" s="54">
        <v>5</v>
      </c>
    </row>
    <row r="681" spans="1:12" ht="15">
      <c r="A681" s="39" t="s">
        <v>715</v>
      </c>
      <c r="B681" s="46" t="s">
        <v>245</v>
      </c>
      <c r="C681" s="39" t="s">
        <v>767</v>
      </c>
      <c r="D681" s="72">
        <v>174159111</v>
      </c>
      <c r="E681" s="73">
        <v>9191675237</v>
      </c>
      <c r="F681" s="39" t="s">
        <v>256</v>
      </c>
      <c r="G681" s="81">
        <v>35286</v>
      </c>
      <c r="H681" s="105" t="str">
        <f>CHOOSE(MONTH(G681),"January","February","March","April","May","June","July","August","September","October","November","December")</f>
        <v>August</v>
      </c>
      <c r="I681" s="51">
        <f ca="1">DATEDIF(G681,TODAY(),"Y")</f>
        <v>20</v>
      </c>
      <c r="J681" s="52" t="s">
        <v>262</v>
      </c>
      <c r="K681" s="53">
        <v>72700</v>
      </c>
      <c r="L681" s="54">
        <v>5</v>
      </c>
    </row>
    <row r="682" spans="1:12" ht="15">
      <c r="A682" s="39" t="s">
        <v>497</v>
      </c>
      <c r="B682" s="46" t="s">
        <v>266</v>
      </c>
      <c r="C682" s="39" t="s">
        <v>767</v>
      </c>
      <c r="D682" s="72">
        <v>239847790</v>
      </c>
      <c r="E682" s="73">
        <v>2524045531</v>
      </c>
      <c r="F682" s="39" t="s">
        <v>247</v>
      </c>
      <c r="G682" s="81">
        <v>36375</v>
      </c>
      <c r="H682" s="105" t="str">
        <f>CHOOSE(MONTH(G682),"January","February","March","April","May","June","July","August","September","October","November","December")</f>
        <v>August</v>
      </c>
      <c r="I682" s="51">
        <f ca="1">DATEDIF(G682,TODAY(),"Y")</f>
        <v>17</v>
      </c>
      <c r="J682" s="52"/>
      <c r="K682" s="53">
        <v>71300</v>
      </c>
      <c r="L682" s="54">
        <v>5</v>
      </c>
    </row>
    <row r="683" spans="1:12" ht="15">
      <c r="A683" s="39" t="s">
        <v>1021</v>
      </c>
      <c r="B683" s="46" t="s">
        <v>245</v>
      </c>
      <c r="C683" s="39" t="s">
        <v>767</v>
      </c>
      <c r="D683" s="72">
        <v>525699951</v>
      </c>
      <c r="E683" s="73">
        <v>9198400261</v>
      </c>
      <c r="F683" s="39" t="s">
        <v>252</v>
      </c>
      <c r="G683" s="81">
        <v>35946</v>
      </c>
      <c r="H683" s="105" t="str">
        <f>CHOOSE(MONTH(G683),"January","February","March","April","May","June","July","August","September","October","November","December")</f>
        <v>May</v>
      </c>
      <c r="I683" s="51">
        <f ca="1">DATEDIF(G683,TODAY(),"Y")</f>
        <v>18</v>
      </c>
      <c r="J683" s="52"/>
      <c r="K683" s="53">
        <v>14332</v>
      </c>
      <c r="L683" s="54">
        <v>5</v>
      </c>
    </row>
    <row r="684" spans="1:12" ht="15">
      <c r="A684" s="39" t="s">
        <v>578</v>
      </c>
      <c r="B684" s="46" t="s">
        <v>271</v>
      </c>
      <c r="C684" s="39" t="s">
        <v>767</v>
      </c>
      <c r="D684" s="72">
        <v>867100310</v>
      </c>
      <c r="E684" s="73">
        <v>9191376854</v>
      </c>
      <c r="F684" s="39" t="s">
        <v>256</v>
      </c>
      <c r="G684" s="81">
        <v>36393</v>
      </c>
      <c r="H684" s="105" t="str">
        <f>CHOOSE(MONTH(G684),"January","February","March","April","May","June","July","August","September","October","November","December")</f>
        <v>August</v>
      </c>
      <c r="I684" s="51">
        <f ca="1">DATEDIF(G684,TODAY(),"Y")</f>
        <v>17</v>
      </c>
      <c r="J684" s="52" t="s">
        <v>283</v>
      </c>
      <c r="K684" s="53">
        <v>65910</v>
      </c>
      <c r="L684" s="54">
        <v>5</v>
      </c>
    </row>
    <row r="685" spans="1:12" ht="15">
      <c r="A685" s="39" t="s">
        <v>287</v>
      </c>
      <c r="B685" s="46" t="s">
        <v>271</v>
      </c>
      <c r="C685" s="39" t="s">
        <v>767</v>
      </c>
      <c r="D685" s="72">
        <v>990843236</v>
      </c>
      <c r="E685" s="73">
        <v>9196245634</v>
      </c>
      <c r="F685" s="39" t="s">
        <v>256</v>
      </c>
      <c r="G685" s="81">
        <v>39047</v>
      </c>
      <c r="H685" s="105" t="str">
        <f>CHOOSE(MONTH(G685),"January","February","March","April","May","June","July","August","September","October","November","December")</f>
        <v>November</v>
      </c>
      <c r="I685" s="51">
        <f ca="1">DATEDIF(G685,TODAY(),"Y")</f>
        <v>9</v>
      </c>
      <c r="J685" s="52" t="s">
        <v>283</v>
      </c>
      <c r="K685" s="53">
        <v>65880</v>
      </c>
      <c r="L685" s="54">
        <v>5</v>
      </c>
    </row>
    <row r="686" spans="1:12" ht="15">
      <c r="A686" s="39" t="s">
        <v>1032</v>
      </c>
      <c r="B686" s="46" t="s">
        <v>285</v>
      </c>
      <c r="C686" s="39" t="s">
        <v>767</v>
      </c>
      <c r="D686" s="72">
        <v>765512793</v>
      </c>
      <c r="E686" s="73">
        <v>9197686976</v>
      </c>
      <c r="F686" s="39" t="s">
        <v>256</v>
      </c>
      <c r="G686" s="81">
        <v>39864</v>
      </c>
      <c r="H686" s="105" t="str">
        <f>CHOOSE(MONTH(G686),"January","February","March","April","May","June","July","August","September","October","November","December")</f>
        <v>February</v>
      </c>
      <c r="I686" s="51">
        <f ca="1">DATEDIF(G686,TODAY(),"Y")</f>
        <v>7</v>
      </c>
      <c r="J686" s="52" t="s">
        <v>257</v>
      </c>
      <c r="K686" s="53">
        <v>64320</v>
      </c>
      <c r="L686" s="54">
        <v>5</v>
      </c>
    </row>
    <row r="687" spans="1:12" ht="15">
      <c r="A687" s="39" t="s">
        <v>362</v>
      </c>
      <c r="B687" s="46" t="s">
        <v>271</v>
      </c>
      <c r="C687" s="39" t="s">
        <v>767</v>
      </c>
      <c r="D687" s="72">
        <v>278129861</v>
      </c>
      <c r="E687" s="73">
        <v>9198561246</v>
      </c>
      <c r="F687" s="39" t="s">
        <v>247</v>
      </c>
      <c r="G687" s="103">
        <v>40404</v>
      </c>
      <c r="H687" s="105" t="str">
        <f>CHOOSE(MONTH(G687),"January","February","March","April","May","June","July","August","September","October","November","December")</f>
        <v>August</v>
      </c>
      <c r="I687" s="51">
        <f ca="1">DATEDIF(G687,TODAY(),"Y")</f>
        <v>6</v>
      </c>
      <c r="J687" s="52"/>
      <c r="K687" s="53">
        <v>39550</v>
      </c>
      <c r="L687" s="54">
        <v>5</v>
      </c>
    </row>
    <row r="688" spans="1:12" ht="15">
      <c r="A688" s="39" t="s">
        <v>980</v>
      </c>
      <c r="B688" s="46" t="s">
        <v>271</v>
      </c>
      <c r="C688" s="39" t="s">
        <v>767</v>
      </c>
      <c r="D688" s="72">
        <v>548283920</v>
      </c>
      <c r="E688" s="73">
        <v>2524160215</v>
      </c>
      <c r="F688" s="39" t="s">
        <v>247</v>
      </c>
      <c r="G688" s="81">
        <v>36297</v>
      </c>
      <c r="H688" s="105" t="str">
        <f>CHOOSE(MONTH(G688),"January","February","March","April","May","June","July","August","September","October","November","December")</f>
        <v>May</v>
      </c>
      <c r="I688" s="51">
        <f ca="1">DATEDIF(G688,TODAY(),"Y")</f>
        <v>17</v>
      </c>
      <c r="J688" s="52"/>
      <c r="K688" s="53">
        <v>57990</v>
      </c>
      <c r="L688" s="54">
        <v>5</v>
      </c>
    </row>
    <row r="689" spans="1:12" ht="15">
      <c r="A689" s="39" t="s">
        <v>868</v>
      </c>
      <c r="B689" s="46" t="s">
        <v>285</v>
      </c>
      <c r="C689" s="39" t="s">
        <v>767</v>
      </c>
      <c r="D689" s="72">
        <v>349174221</v>
      </c>
      <c r="E689" s="73">
        <v>2521220758</v>
      </c>
      <c r="F689" s="39" t="s">
        <v>261</v>
      </c>
      <c r="G689" s="81">
        <v>36084</v>
      </c>
      <c r="H689" s="105" t="str">
        <f>CHOOSE(MONTH(G689),"January","February","March","April","May","June","July","August","September","October","November","December")</f>
        <v>October</v>
      </c>
      <c r="I689" s="51">
        <f ca="1">DATEDIF(G689,TODAY(),"Y")</f>
        <v>18</v>
      </c>
      <c r="J689" s="52" t="s">
        <v>262</v>
      </c>
      <c r="K689" s="53">
        <v>45750</v>
      </c>
      <c r="L689" s="54">
        <v>5</v>
      </c>
    </row>
    <row r="690" spans="1:12" ht="15">
      <c r="A690" s="39" t="s">
        <v>699</v>
      </c>
      <c r="B690" s="46" t="s">
        <v>271</v>
      </c>
      <c r="C690" s="39" t="s">
        <v>767</v>
      </c>
      <c r="D690" s="72">
        <v>358017400</v>
      </c>
      <c r="E690" s="73">
        <v>2523265407</v>
      </c>
      <c r="F690" s="39" t="s">
        <v>252</v>
      </c>
      <c r="G690" s="81">
        <v>36380</v>
      </c>
      <c r="H690" s="105" t="str">
        <f>CHOOSE(MONTH(G690),"January","February","March","April","May","June","July","August","September","October","November","December")</f>
        <v>August</v>
      </c>
      <c r="I690" s="51">
        <f ca="1">DATEDIF(G690,TODAY(),"Y")</f>
        <v>17</v>
      </c>
      <c r="J690" s="52"/>
      <c r="K690" s="53">
        <v>36052</v>
      </c>
      <c r="L690" s="54">
        <v>5</v>
      </c>
    </row>
    <row r="691" spans="1:12" ht="15">
      <c r="A691" s="39" t="s">
        <v>323</v>
      </c>
      <c r="B691" s="46" t="s">
        <v>271</v>
      </c>
      <c r="C691" s="39" t="s">
        <v>767</v>
      </c>
      <c r="D691" s="72">
        <v>561530671</v>
      </c>
      <c r="E691" s="73">
        <v>9192999652</v>
      </c>
      <c r="F691" s="39" t="s">
        <v>256</v>
      </c>
      <c r="G691" s="81">
        <v>33510</v>
      </c>
      <c r="H691" s="105" t="str">
        <f>CHOOSE(MONTH(G691),"January","February","March","April","May","June","July","August","September","October","November","December")</f>
        <v>September</v>
      </c>
      <c r="I691" s="51">
        <f ca="1">DATEDIF(G691,TODAY(),"Y")</f>
        <v>25</v>
      </c>
      <c r="J691" s="52" t="s">
        <v>262</v>
      </c>
      <c r="K691" s="53">
        <v>54500</v>
      </c>
      <c r="L691" s="54">
        <v>5</v>
      </c>
    </row>
    <row r="692" spans="1:12" ht="15">
      <c r="A692" s="39" t="s">
        <v>935</v>
      </c>
      <c r="B692" s="46" t="s">
        <v>271</v>
      </c>
      <c r="C692" s="39" t="s">
        <v>856</v>
      </c>
      <c r="D692" s="72">
        <v>709234421</v>
      </c>
      <c r="E692" s="73">
        <v>2523838954</v>
      </c>
      <c r="F692" s="39" t="s">
        <v>256</v>
      </c>
      <c r="G692" s="81">
        <v>34754</v>
      </c>
      <c r="H692" s="105" t="str">
        <f>CHOOSE(MONTH(G692),"January","February","March","April","May","June","July","August","September","October","November","December")</f>
        <v>February</v>
      </c>
      <c r="I692" s="51">
        <f ca="1">DATEDIF(G692,TODAY(),"Y")</f>
        <v>21</v>
      </c>
      <c r="J692" s="52" t="s">
        <v>257</v>
      </c>
      <c r="K692" s="53">
        <v>39000</v>
      </c>
      <c r="L692" s="54">
        <v>5</v>
      </c>
    </row>
    <row r="693" spans="1:12" ht="15">
      <c r="A693" s="39" t="s">
        <v>597</v>
      </c>
      <c r="B693" s="46" t="s">
        <v>245</v>
      </c>
      <c r="C693" s="39" t="s">
        <v>856</v>
      </c>
      <c r="D693" s="72">
        <v>518009092</v>
      </c>
      <c r="E693" s="73">
        <v>2528792521</v>
      </c>
      <c r="F693" s="39" t="s">
        <v>252</v>
      </c>
      <c r="G693" s="81">
        <v>35869</v>
      </c>
      <c r="H693" s="105" t="str">
        <f>CHOOSE(MONTH(G693),"January","February","March","April","May","June","July","August","September","October","November","December")</f>
        <v>March</v>
      </c>
      <c r="I693" s="51">
        <f ca="1">DATEDIF(G693,TODAY(),"Y")</f>
        <v>18</v>
      </c>
      <c r="J693" s="52"/>
      <c r="K693" s="53">
        <v>17912</v>
      </c>
      <c r="L693" s="54">
        <v>5</v>
      </c>
    </row>
    <row r="694" spans="1:12" ht="15">
      <c r="A694" s="39" t="s">
        <v>907</v>
      </c>
      <c r="B694" s="46" t="s">
        <v>245</v>
      </c>
      <c r="C694" s="39" t="s">
        <v>856</v>
      </c>
      <c r="D694" s="72">
        <v>649292883</v>
      </c>
      <c r="E694" s="73">
        <v>9198413896</v>
      </c>
      <c r="F694" s="39" t="s">
        <v>256</v>
      </c>
      <c r="G694" s="81">
        <v>38237</v>
      </c>
      <c r="H694" s="105" t="str">
        <f>CHOOSE(MONTH(G694),"January","February","March","April","May","June","July","August","September","October","November","December")</f>
        <v>September</v>
      </c>
      <c r="I694" s="51">
        <f ca="1">DATEDIF(G694,TODAY(),"Y")</f>
        <v>12</v>
      </c>
      <c r="J694" s="52" t="s">
        <v>283</v>
      </c>
      <c r="K694" s="53">
        <v>31910</v>
      </c>
      <c r="L694" s="54">
        <v>5</v>
      </c>
    </row>
    <row r="695" spans="1:12" ht="15">
      <c r="A695" s="39" t="s">
        <v>1007</v>
      </c>
      <c r="B695" s="46" t="s">
        <v>266</v>
      </c>
      <c r="C695" s="39" t="s">
        <v>856</v>
      </c>
      <c r="D695" s="72">
        <v>313648228</v>
      </c>
      <c r="E695" s="73">
        <v>2524998145</v>
      </c>
      <c r="F695" s="39" t="s">
        <v>256</v>
      </c>
      <c r="G695" s="81">
        <v>37625</v>
      </c>
      <c r="H695" s="105" t="str">
        <f>CHOOSE(MONTH(G695),"January","February","March","April","May","June","July","August","September","October","November","December")</f>
        <v>January</v>
      </c>
      <c r="I695" s="51">
        <f ca="1">DATEDIF(G695,TODAY(),"Y")</f>
        <v>13</v>
      </c>
      <c r="J695" s="52" t="s">
        <v>283</v>
      </c>
      <c r="K695" s="53">
        <v>82490</v>
      </c>
      <c r="L695" s="54">
        <v>5</v>
      </c>
    </row>
    <row r="696" spans="1:12" ht="15">
      <c r="A696" s="39" t="s">
        <v>639</v>
      </c>
      <c r="B696" s="46" t="s">
        <v>271</v>
      </c>
      <c r="C696" s="39" t="s">
        <v>856</v>
      </c>
      <c r="D696" s="72">
        <v>843632637</v>
      </c>
      <c r="E696" s="73">
        <v>9198545681</v>
      </c>
      <c r="F696" s="39" t="s">
        <v>252</v>
      </c>
      <c r="G696" s="81">
        <v>35861</v>
      </c>
      <c r="H696" s="105" t="str">
        <f>CHOOSE(MONTH(G696),"January","February","March","April","May","June","July","August","September","October","November","December")</f>
        <v>March</v>
      </c>
      <c r="I696" s="51">
        <f ca="1">DATEDIF(G696,TODAY(),"Y")</f>
        <v>18</v>
      </c>
      <c r="J696" s="52"/>
      <c r="K696" s="53">
        <v>12836</v>
      </c>
      <c r="L696" s="54">
        <v>5</v>
      </c>
    </row>
    <row r="697" spans="1:12" ht="15">
      <c r="A697" s="39" t="s">
        <v>745</v>
      </c>
      <c r="B697" s="46" t="s">
        <v>280</v>
      </c>
      <c r="C697" s="39" t="s">
        <v>856</v>
      </c>
      <c r="D697" s="72">
        <v>491830893</v>
      </c>
      <c r="E697" s="73">
        <v>2524713634</v>
      </c>
      <c r="F697" s="39" t="s">
        <v>256</v>
      </c>
      <c r="G697" s="81">
        <v>40078</v>
      </c>
      <c r="H697" s="105" t="str">
        <f>CHOOSE(MONTH(G697),"January","February","March","April","May","June","July","August","September","October","November","December")</f>
        <v>September</v>
      </c>
      <c r="I697" s="51">
        <f ca="1">DATEDIF(G697,TODAY(),"Y")</f>
        <v>7</v>
      </c>
      <c r="J697" s="52" t="s">
        <v>283</v>
      </c>
      <c r="K697" s="53">
        <v>23190</v>
      </c>
      <c r="L697" s="54">
        <v>5</v>
      </c>
    </row>
    <row r="698" spans="1:12" ht="15">
      <c r="A698" s="39" t="s">
        <v>512</v>
      </c>
      <c r="B698" s="46" t="s">
        <v>285</v>
      </c>
      <c r="C698" s="39" t="s">
        <v>856</v>
      </c>
      <c r="D698" s="72">
        <v>489667166</v>
      </c>
      <c r="E698" s="73">
        <v>2522238881</v>
      </c>
      <c r="F698" s="39" t="s">
        <v>256</v>
      </c>
      <c r="G698" s="81">
        <v>36407</v>
      </c>
      <c r="H698" s="105" t="str">
        <f>CHOOSE(MONTH(G698),"January","February","March","April","May","June","July","August","September","October","November","December")</f>
        <v>September</v>
      </c>
      <c r="I698" s="51">
        <f ca="1">DATEDIF(G698,TODAY(),"Y")</f>
        <v>17</v>
      </c>
      <c r="J698" s="52" t="s">
        <v>262</v>
      </c>
      <c r="K698" s="53">
        <v>45880</v>
      </c>
      <c r="L698" s="54">
        <v>5</v>
      </c>
    </row>
    <row r="699" spans="1:12" ht="15">
      <c r="A699" s="39" t="s">
        <v>943</v>
      </c>
      <c r="B699" s="46" t="s">
        <v>285</v>
      </c>
      <c r="C699" s="39" t="s">
        <v>856</v>
      </c>
      <c r="D699" s="72">
        <v>826508763</v>
      </c>
      <c r="E699" s="73">
        <v>2526801348</v>
      </c>
      <c r="F699" s="39" t="s">
        <v>256</v>
      </c>
      <c r="G699" s="81">
        <v>39745</v>
      </c>
      <c r="H699" s="105" t="str">
        <f>CHOOSE(MONTH(G699),"January","February","March","April","May","June","July","August","September","October","November","December")</f>
        <v>October</v>
      </c>
      <c r="I699" s="51">
        <f ca="1">DATEDIF(G699,TODAY(),"Y")</f>
        <v>8</v>
      </c>
      <c r="J699" s="52" t="s">
        <v>283</v>
      </c>
      <c r="K699" s="53">
        <v>29330</v>
      </c>
      <c r="L699" s="54">
        <v>5</v>
      </c>
    </row>
    <row r="700" spans="1:12" ht="15">
      <c r="A700" s="39" t="s">
        <v>288</v>
      </c>
      <c r="B700" s="46" t="s">
        <v>285</v>
      </c>
      <c r="C700" s="39" t="s">
        <v>856</v>
      </c>
      <c r="D700" s="72">
        <v>932553359</v>
      </c>
      <c r="E700" s="73">
        <v>9192376215</v>
      </c>
      <c r="F700" s="39" t="s">
        <v>247</v>
      </c>
      <c r="G700" s="81">
        <v>39720</v>
      </c>
      <c r="H700" s="105" t="str">
        <f>CHOOSE(MONTH(G700),"January","February","March","April","May","June","July","August","September","October","November","December")</f>
        <v>September</v>
      </c>
      <c r="I700" s="51">
        <f ca="1">DATEDIF(G700,TODAY(),"Y")</f>
        <v>8</v>
      </c>
      <c r="J700" s="52"/>
      <c r="K700" s="53">
        <v>43320</v>
      </c>
      <c r="L700" s="54">
        <v>5</v>
      </c>
    </row>
    <row r="701" spans="1:12" ht="15">
      <c r="A701" s="39" t="s">
        <v>788</v>
      </c>
      <c r="B701" s="46" t="s">
        <v>245</v>
      </c>
      <c r="C701" s="39" t="s">
        <v>856</v>
      </c>
      <c r="D701" s="72">
        <v>765836666</v>
      </c>
      <c r="E701" s="73">
        <v>2525013435</v>
      </c>
      <c r="F701" s="39" t="s">
        <v>256</v>
      </c>
      <c r="G701" s="81">
        <v>39153</v>
      </c>
      <c r="H701" s="105" t="str">
        <f>CHOOSE(MONTH(G701),"January","February","March","April","May","June","July","August","September","October","November","December")</f>
        <v>March</v>
      </c>
      <c r="I701" s="51">
        <f ca="1">DATEDIF(G701,TODAY(),"Y")</f>
        <v>9</v>
      </c>
      <c r="J701" s="52" t="s">
        <v>283</v>
      </c>
      <c r="K701" s="53">
        <v>43600</v>
      </c>
      <c r="L701" s="54">
        <v>5</v>
      </c>
    </row>
    <row r="702" spans="1:12" ht="15">
      <c r="A702" s="39" t="s">
        <v>444</v>
      </c>
      <c r="B702" s="46" t="s">
        <v>280</v>
      </c>
      <c r="C702" s="39" t="s">
        <v>856</v>
      </c>
      <c r="D702" s="72">
        <v>531654742</v>
      </c>
      <c r="E702" s="73">
        <v>9195770085</v>
      </c>
      <c r="F702" s="39" t="s">
        <v>256</v>
      </c>
      <c r="G702" s="81">
        <v>37793</v>
      </c>
      <c r="H702" s="105" t="str">
        <f>CHOOSE(MONTH(G702),"January","February","March","April","May","June","July","August","September","October","November","December")</f>
        <v>June</v>
      </c>
      <c r="I702" s="51">
        <f ca="1">DATEDIF(G702,TODAY(),"Y")</f>
        <v>13</v>
      </c>
      <c r="J702" s="52" t="s">
        <v>257</v>
      </c>
      <c r="K702" s="53">
        <v>29210</v>
      </c>
      <c r="L702" s="54">
        <v>5</v>
      </c>
    </row>
    <row r="703" spans="1:12" ht="15">
      <c r="A703" s="39" t="s">
        <v>469</v>
      </c>
      <c r="B703" s="46" t="s">
        <v>245</v>
      </c>
      <c r="C703" s="39" t="s">
        <v>856</v>
      </c>
      <c r="D703" s="72">
        <v>291274360</v>
      </c>
      <c r="E703" s="73">
        <v>2524563177</v>
      </c>
      <c r="F703" s="39" t="s">
        <v>256</v>
      </c>
      <c r="G703" s="81">
        <v>36081</v>
      </c>
      <c r="H703" s="105" t="str">
        <f>CHOOSE(MONTH(G703),"January","February","March","April","May","June","July","August","September","October","November","December")</f>
        <v>October</v>
      </c>
      <c r="I703" s="51">
        <f ca="1">DATEDIF(G703,TODAY(),"Y")</f>
        <v>18</v>
      </c>
      <c r="J703" s="52" t="s">
        <v>283</v>
      </c>
      <c r="K703" s="53">
        <v>67407</v>
      </c>
      <c r="L703" s="54">
        <v>5</v>
      </c>
    </row>
    <row r="704" spans="1:12" ht="15">
      <c r="A704" s="39" t="s">
        <v>360</v>
      </c>
      <c r="B704" s="46" t="s">
        <v>271</v>
      </c>
      <c r="C704" s="39" t="s">
        <v>856</v>
      </c>
      <c r="D704" s="72">
        <v>705186668</v>
      </c>
      <c r="E704" s="73">
        <v>9193922813</v>
      </c>
      <c r="F704" s="39" t="s">
        <v>252</v>
      </c>
      <c r="G704" s="81">
        <v>34180</v>
      </c>
      <c r="H704" s="105" t="str">
        <f>CHOOSE(MONTH(G704),"January","February","March","April","May","June","July","August","September","October","November","December")</f>
        <v>July</v>
      </c>
      <c r="I704" s="51">
        <f ca="1">DATEDIF(G704,TODAY(),"Y")</f>
        <v>23</v>
      </c>
      <c r="J704" s="52"/>
      <c r="K704" s="53">
        <v>26484</v>
      </c>
      <c r="L704" s="54">
        <v>5</v>
      </c>
    </row>
    <row r="705" spans="1:12" ht="15">
      <c r="A705" s="39" t="s">
        <v>994</v>
      </c>
      <c r="B705" s="46" t="s">
        <v>280</v>
      </c>
      <c r="C705" s="39" t="s">
        <v>856</v>
      </c>
      <c r="D705" s="72">
        <v>619456809</v>
      </c>
      <c r="E705" s="73">
        <v>9196865606</v>
      </c>
      <c r="F705" s="39" t="s">
        <v>261</v>
      </c>
      <c r="G705" s="81">
        <v>35842</v>
      </c>
      <c r="H705" s="105" t="str">
        <f>CHOOSE(MONTH(G705),"January","February","March","April","May","June","July","August","September","October","November","December")</f>
        <v>February</v>
      </c>
      <c r="I705" s="51">
        <f ca="1">DATEDIF(G705,TODAY(),"Y")</f>
        <v>18</v>
      </c>
      <c r="J705" s="52" t="s">
        <v>267</v>
      </c>
      <c r="K705" s="53">
        <v>39530</v>
      </c>
      <c r="L705" s="54">
        <v>5</v>
      </c>
    </row>
    <row r="706" spans="1:12" ht="15">
      <c r="A706" s="39" t="s">
        <v>356</v>
      </c>
      <c r="B706" s="46" t="s">
        <v>285</v>
      </c>
      <c r="C706" s="39" t="s">
        <v>856</v>
      </c>
      <c r="D706" s="72">
        <v>125540405</v>
      </c>
      <c r="E706" s="73">
        <v>2524589262</v>
      </c>
      <c r="F706" s="39" t="s">
        <v>256</v>
      </c>
      <c r="G706" s="81">
        <v>36245</v>
      </c>
      <c r="H706" s="105" t="str">
        <f>CHOOSE(MONTH(G706),"January","February","March","April","May","June","July","August","September","October","November","December")</f>
        <v>March</v>
      </c>
      <c r="I706" s="51">
        <f ca="1">DATEDIF(G706,TODAY(),"Y")</f>
        <v>17</v>
      </c>
      <c r="J706" s="52" t="s">
        <v>257</v>
      </c>
      <c r="K706" s="53">
        <v>58410</v>
      </c>
      <c r="L706" s="54">
        <v>5</v>
      </c>
    </row>
    <row r="707" spans="1:12" ht="15">
      <c r="A707" s="39" t="s">
        <v>694</v>
      </c>
      <c r="B707" s="46" t="s">
        <v>285</v>
      </c>
      <c r="C707" s="39" t="s">
        <v>856</v>
      </c>
      <c r="D707" s="72">
        <v>750722934</v>
      </c>
      <c r="E707" s="73">
        <v>2523631883</v>
      </c>
      <c r="F707" s="39" t="s">
        <v>256</v>
      </c>
      <c r="G707" s="81">
        <v>35569</v>
      </c>
      <c r="H707" s="105" t="str">
        <f>CHOOSE(MONTH(G707),"January","February","March","April","May","June","July","August","September","October","November","December")</f>
        <v>May</v>
      </c>
      <c r="I707" s="51">
        <f ca="1">DATEDIF(G707,TODAY(),"Y")</f>
        <v>19</v>
      </c>
      <c r="J707" s="52" t="s">
        <v>283</v>
      </c>
      <c r="K707" s="53">
        <v>37770</v>
      </c>
      <c r="L707" s="54">
        <v>5</v>
      </c>
    </row>
    <row r="708" spans="1:12" ht="15">
      <c r="A708" s="39" t="s">
        <v>759</v>
      </c>
      <c r="B708" s="46" t="s">
        <v>285</v>
      </c>
      <c r="C708" s="39" t="s">
        <v>856</v>
      </c>
      <c r="D708" s="72">
        <v>693055639</v>
      </c>
      <c r="E708" s="73">
        <v>9195866887</v>
      </c>
      <c r="F708" s="39" t="s">
        <v>256</v>
      </c>
      <c r="G708" s="81">
        <v>33222</v>
      </c>
      <c r="H708" s="105" t="str">
        <f>CHOOSE(MONTH(G708),"January","February","March","April","May","June","July","August","September","October","November","December")</f>
        <v>December</v>
      </c>
      <c r="I708" s="51">
        <f ca="1">DATEDIF(G708,TODAY(),"Y")</f>
        <v>25</v>
      </c>
      <c r="J708" s="52" t="s">
        <v>257</v>
      </c>
      <c r="K708" s="53">
        <v>53900</v>
      </c>
      <c r="L708" s="54">
        <v>5</v>
      </c>
    </row>
    <row r="709" spans="1:12" ht="15">
      <c r="A709" s="39" t="s">
        <v>758</v>
      </c>
      <c r="B709" s="46" t="s">
        <v>285</v>
      </c>
      <c r="C709" s="39" t="s">
        <v>856</v>
      </c>
      <c r="D709" s="72">
        <v>351003584</v>
      </c>
      <c r="E709" s="73">
        <v>2524269081</v>
      </c>
      <c r="F709" s="39" t="s">
        <v>247</v>
      </c>
      <c r="G709" s="81">
        <v>36214</v>
      </c>
      <c r="H709" s="105" t="str">
        <f>CHOOSE(MONTH(G709),"January","February","March","April","May","June","July","August","September","October","November","December")</f>
        <v>February</v>
      </c>
      <c r="I709" s="51">
        <f ca="1">DATEDIF(G709,TODAY(),"Y")</f>
        <v>17</v>
      </c>
      <c r="J709" s="52"/>
      <c r="K709" s="53">
        <v>53310</v>
      </c>
      <c r="L709" s="54">
        <v>5</v>
      </c>
    </row>
    <row r="710" spans="1:12" ht="15">
      <c r="A710" s="39" t="s">
        <v>752</v>
      </c>
      <c r="B710" s="46" t="s">
        <v>266</v>
      </c>
      <c r="C710" s="39" t="s">
        <v>856</v>
      </c>
      <c r="D710" s="72">
        <v>878902154</v>
      </c>
      <c r="E710" s="73">
        <v>9191155509</v>
      </c>
      <c r="F710" s="39" t="s">
        <v>261</v>
      </c>
      <c r="G710" s="81">
        <v>33890</v>
      </c>
      <c r="H710" s="105" t="str">
        <f>CHOOSE(MONTH(G710),"January","February","March","April","May","June","July","August","September","October","November","December")</f>
        <v>October</v>
      </c>
      <c r="I710" s="51">
        <f ca="1">DATEDIF(G710,TODAY(),"Y")</f>
        <v>24</v>
      </c>
      <c r="J710" s="52" t="s">
        <v>283</v>
      </c>
      <c r="K710" s="53">
        <v>25885</v>
      </c>
      <c r="L710" s="54">
        <v>5</v>
      </c>
    </row>
    <row r="711" spans="1:12" ht="15">
      <c r="A711" s="39" t="s">
        <v>1030</v>
      </c>
      <c r="B711" s="46" t="s">
        <v>280</v>
      </c>
      <c r="C711" s="39" t="s">
        <v>930</v>
      </c>
      <c r="D711" s="72">
        <v>651999482</v>
      </c>
      <c r="E711" s="73">
        <v>2523014821</v>
      </c>
      <c r="F711" s="39" t="s">
        <v>256</v>
      </c>
      <c r="G711" s="81">
        <v>39679</v>
      </c>
      <c r="H711" s="105" t="str">
        <f>CHOOSE(MONTH(G711),"January","February","March","April","May","June","July","August","September","October","November","December")</f>
        <v>August</v>
      </c>
      <c r="I711" s="51">
        <f ca="1">DATEDIF(G711,TODAY(),"Y")</f>
        <v>8</v>
      </c>
      <c r="J711" s="52" t="s">
        <v>257</v>
      </c>
      <c r="K711" s="53">
        <v>22820</v>
      </c>
      <c r="L711" s="54">
        <v>5</v>
      </c>
    </row>
    <row r="712" spans="1:12" ht="15">
      <c r="A712" s="39" t="s">
        <v>508</v>
      </c>
      <c r="B712" s="46" t="s">
        <v>271</v>
      </c>
      <c r="C712" s="39" t="s">
        <v>930</v>
      </c>
      <c r="D712" s="72">
        <v>916944119</v>
      </c>
      <c r="E712" s="73">
        <v>2524907564</v>
      </c>
      <c r="F712" s="39" t="s">
        <v>247</v>
      </c>
      <c r="G712" s="108">
        <v>37099</v>
      </c>
      <c r="H712" s="105" t="str">
        <f>CHOOSE(MONTH(G712),"January","February","March","April","May","June","July","August","September","October","November","December")</f>
        <v>July</v>
      </c>
      <c r="I712" s="51">
        <f ca="1">DATEDIF(G712,TODAY(),"Y")</f>
        <v>15</v>
      </c>
      <c r="J712" s="52"/>
      <c r="K712" s="53">
        <v>28270</v>
      </c>
      <c r="L712" s="54">
        <v>5</v>
      </c>
    </row>
    <row r="713" spans="1:12" ht="15">
      <c r="A713" s="39" t="s">
        <v>467</v>
      </c>
      <c r="B713" s="46" t="s">
        <v>245</v>
      </c>
      <c r="C713" s="39" t="s">
        <v>930</v>
      </c>
      <c r="D713" s="72">
        <v>877574472</v>
      </c>
      <c r="E713" s="73">
        <v>2524100997</v>
      </c>
      <c r="F713" s="39" t="s">
        <v>247</v>
      </c>
      <c r="G713" s="81">
        <v>33401</v>
      </c>
      <c r="H713" s="105" t="str">
        <f>CHOOSE(MONTH(G713),"January","February","March","April","May","June","July","August","September","October","November","December")</f>
        <v>June</v>
      </c>
      <c r="I713" s="51">
        <f ca="1">DATEDIF(G713,TODAY(),"Y")</f>
        <v>25</v>
      </c>
      <c r="J713" s="52"/>
      <c r="K713" s="53">
        <v>34680</v>
      </c>
      <c r="L713" s="54">
        <v>5</v>
      </c>
    </row>
    <row r="714" spans="1:12" ht="15">
      <c r="A714" s="45" t="s">
        <v>255</v>
      </c>
      <c r="B714" s="46" t="s">
        <v>285</v>
      </c>
      <c r="C714" s="39" t="s">
        <v>930</v>
      </c>
      <c r="D714" s="72">
        <v>546546374</v>
      </c>
      <c r="E714" s="73">
        <v>9192727944</v>
      </c>
      <c r="F714" s="39" t="s">
        <v>261</v>
      </c>
      <c r="G714" s="81">
        <v>36462</v>
      </c>
      <c r="H714" s="105" t="str">
        <f>CHOOSE(MONTH(G714),"January","February","March","April","May","June","July","August","September","October","November","December")</f>
        <v>October</v>
      </c>
      <c r="I714" s="51">
        <f ca="1">DATEDIF(G714,TODAY(),"Y")</f>
        <v>17</v>
      </c>
      <c r="J714" s="52" t="s">
        <v>283</v>
      </c>
      <c r="K714" s="53">
        <v>26185</v>
      </c>
      <c r="L714" s="54">
        <v>5</v>
      </c>
    </row>
    <row r="715" spans="1:12" ht="15">
      <c r="A715" s="39" t="s">
        <v>883</v>
      </c>
      <c r="B715" s="46" t="s">
        <v>280</v>
      </c>
      <c r="C715" s="39" t="s">
        <v>930</v>
      </c>
      <c r="D715" s="72">
        <v>843299208</v>
      </c>
      <c r="E715" s="73">
        <v>9198631557</v>
      </c>
      <c r="F715" s="39" t="s">
        <v>261</v>
      </c>
      <c r="G715" s="81">
        <v>39535</v>
      </c>
      <c r="H715" s="105" t="str">
        <f>CHOOSE(MONTH(G715),"January","February","March","April","May","June","July","August","September","October","November","December")</f>
        <v>March</v>
      </c>
      <c r="I715" s="51">
        <f ca="1">DATEDIF(G715,TODAY(),"Y")</f>
        <v>8</v>
      </c>
      <c r="J715" s="52" t="s">
        <v>276</v>
      </c>
      <c r="K715" s="53">
        <v>49080</v>
      </c>
      <c r="L715" s="54">
        <v>5</v>
      </c>
    </row>
    <row r="716" spans="1:12" ht="15">
      <c r="A716" s="39" t="s">
        <v>446</v>
      </c>
      <c r="B716" s="46" t="s">
        <v>245</v>
      </c>
      <c r="C716" s="39" t="s">
        <v>930</v>
      </c>
      <c r="D716" s="72">
        <v>667745362</v>
      </c>
      <c r="E716" s="73">
        <v>2522952173</v>
      </c>
      <c r="F716" s="39" t="s">
        <v>247</v>
      </c>
      <c r="G716" s="81">
        <v>39728</v>
      </c>
      <c r="H716" s="105" t="str">
        <f>CHOOSE(MONTH(G716),"January","February","March","April","May","June","July","August","September","October","November","December")</f>
        <v>October</v>
      </c>
      <c r="I716" s="51">
        <f ca="1">DATEDIF(G716,TODAY(),"Y")</f>
        <v>8</v>
      </c>
      <c r="J716" s="52"/>
      <c r="K716" s="53">
        <v>86040</v>
      </c>
      <c r="L716" s="54">
        <v>5</v>
      </c>
    </row>
    <row r="717" spans="1:12" ht="15">
      <c r="A717" s="39" t="s">
        <v>664</v>
      </c>
      <c r="B717" s="46" t="s">
        <v>285</v>
      </c>
      <c r="C717" s="39" t="s">
        <v>930</v>
      </c>
      <c r="D717" s="72">
        <v>458734969</v>
      </c>
      <c r="E717" s="73">
        <v>9196354278</v>
      </c>
      <c r="F717" s="39" t="s">
        <v>256</v>
      </c>
      <c r="G717" s="81">
        <v>39728</v>
      </c>
      <c r="H717" s="105" t="str">
        <f>CHOOSE(MONTH(G717),"January","February","March","April","May","June","July","August","September","October","November","December")</f>
        <v>October</v>
      </c>
      <c r="I717" s="51">
        <f ca="1">DATEDIF(G717,TODAY(),"Y")</f>
        <v>8</v>
      </c>
      <c r="J717" s="52" t="s">
        <v>257</v>
      </c>
      <c r="K717" s="53">
        <v>82370</v>
      </c>
      <c r="L717" s="54">
        <v>5</v>
      </c>
    </row>
    <row r="718" spans="1:12" ht="15">
      <c r="A718" s="39" t="s">
        <v>938</v>
      </c>
      <c r="B718" s="46" t="s">
        <v>285</v>
      </c>
      <c r="C718" s="39" t="s">
        <v>930</v>
      </c>
      <c r="D718" s="72">
        <v>483483618</v>
      </c>
      <c r="E718" s="73">
        <v>2526459263</v>
      </c>
      <c r="F718" s="39" t="s">
        <v>256</v>
      </c>
      <c r="G718" s="81">
        <v>35137</v>
      </c>
      <c r="H718" s="105" t="str">
        <f>CHOOSE(MONTH(G718),"January","February","March","April","May","June","July","August","September","October","November","December")</f>
        <v>March</v>
      </c>
      <c r="I718" s="51">
        <f ca="1">DATEDIF(G718,TODAY(),"Y")</f>
        <v>20</v>
      </c>
      <c r="J718" s="52" t="s">
        <v>283</v>
      </c>
      <c r="K718" s="53">
        <v>33590</v>
      </c>
      <c r="L718" s="54">
        <v>5</v>
      </c>
    </row>
    <row r="719" spans="1:12" ht="15">
      <c r="A719" s="39" t="s">
        <v>986</v>
      </c>
      <c r="B719" s="46" t="s">
        <v>245</v>
      </c>
      <c r="C719" s="39" t="s">
        <v>930</v>
      </c>
      <c r="D719" s="72">
        <v>210491464</v>
      </c>
      <c r="E719" s="73">
        <v>9198405552</v>
      </c>
      <c r="F719" s="39" t="s">
        <v>256</v>
      </c>
      <c r="G719" s="81">
        <v>39602</v>
      </c>
      <c r="H719" s="105" t="str">
        <f>CHOOSE(MONTH(G719),"January","February","March","April","May","June","July","August","September","October","November","December")</f>
        <v>June</v>
      </c>
      <c r="I719" s="51">
        <f ca="1">DATEDIF(G719,TODAY(),"Y")</f>
        <v>8</v>
      </c>
      <c r="J719" s="52" t="s">
        <v>257</v>
      </c>
      <c r="K719" s="53">
        <v>79380</v>
      </c>
      <c r="L719" s="54">
        <v>5</v>
      </c>
    </row>
    <row r="720" spans="1:12" ht="15">
      <c r="A720" s="39" t="s">
        <v>463</v>
      </c>
      <c r="B720" s="46" t="s">
        <v>266</v>
      </c>
      <c r="C720" s="39" t="s">
        <v>930</v>
      </c>
      <c r="D720" s="72">
        <v>592709648</v>
      </c>
      <c r="E720" s="73">
        <v>9191797370</v>
      </c>
      <c r="F720" s="39" t="s">
        <v>247</v>
      </c>
      <c r="G720" s="81">
        <v>37065</v>
      </c>
      <c r="H720" s="105" t="str">
        <f>CHOOSE(MONTH(G720),"January","February","March","April","May","June","July","August","September","October","November","December")</f>
        <v>June</v>
      </c>
      <c r="I720" s="51">
        <f ca="1">DATEDIF(G720,TODAY(),"Y")</f>
        <v>15</v>
      </c>
      <c r="J720" s="52"/>
      <c r="K720" s="53">
        <v>77136</v>
      </c>
      <c r="L720" s="54">
        <v>5</v>
      </c>
    </row>
    <row r="721" spans="1:12" ht="15">
      <c r="A721" s="39" t="s">
        <v>996</v>
      </c>
      <c r="B721" s="46" t="s">
        <v>280</v>
      </c>
      <c r="C721" s="39" t="s">
        <v>930</v>
      </c>
      <c r="D721" s="72">
        <v>749768847</v>
      </c>
      <c r="E721" s="73">
        <v>2528552110</v>
      </c>
      <c r="F721" s="39" t="s">
        <v>247</v>
      </c>
      <c r="G721" s="81">
        <v>35280</v>
      </c>
      <c r="H721" s="105" t="str">
        <f>CHOOSE(MONTH(G721),"January","February","March","April","May","June","July","August","September","October","November","December")</f>
        <v>August</v>
      </c>
      <c r="I721" s="51">
        <f ca="1">DATEDIF(G721,TODAY(),"Y")</f>
        <v>20</v>
      </c>
      <c r="J721" s="52"/>
      <c r="K721" s="53">
        <v>41770</v>
      </c>
      <c r="L721" s="54">
        <v>5</v>
      </c>
    </row>
    <row r="722" spans="1:12" ht="15">
      <c r="A722" s="39" t="s">
        <v>1011</v>
      </c>
      <c r="B722" s="46" t="s">
        <v>280</v>
      </c>
      <c r="C722" s="39" t="s">
        <v>930</v>
      </c>
      <c r="D722" s="72">
        <v>658842625</v>
      </c>
      <c r="E722" s="73">
        <v>9193788281</v>
      </c>
      <c r="F722" s="39" t="s">
        <v>261</v>
      </c>
      <c r="G722" s="81">
        <v>36053</v>
      </c>
      <c r="H722" s="105" t="str">
        <f>CHOOSE(MONTH(G722),"January","February","March","April","May","June","July","August","September","October","November","December")</f>
        <v>September</v>
      </c>
      <c r="I722" s="51">
        <f ca="1">DATEDIF(G722,TODAY(),"Y")</f>
        <v>18</v>
      </c>
      <c r="J722" s="52" t="s">
        <v>276</v>
      </c>
      <c r="K722" s="53">
        <v>46105</v>
      </c>
      <c r="L722" s="54">
        <v>5</v>
      </c>
    </row>
    <row r="723" spans="1:12" ht="15">
      <c r="A723" s="39" t="s">
        <v>373</v>
      </c>
      <c r="B723" s="46" t="s">
        <v>271</v>
      </c>
      <c r="C723" s="39" t="s">
        <v>930</v>
      </c>
      <c r="D723" s="72">
        <v>855663308</v>
      </c>
      <c r="E723" s="73">
        <v>9195797109</v>
      </c>
      <c r="F723" s="39" t="s">
        <v>256</v>
      </c>
      <c r="G723" s="81">
        <v>34670</v>
      </c>
      <c r="H723" s="105" t="str">
        <f>CHOOSE(MONTH(G723),"January","February","March","April","May","June","July","August","September","October","November","December")</f>
        <v>December</v>
      </c>
      <c r="I723" s="51">
        <f ca="1">DATEDIF(G723,TODAY(),"Y")</f>
        <v>21</v>
      </c>
      <c r="J723" s="52" t="s">
        <v>257</v>
      </c>
      <c r="K723" s="53">
        <v>69510</v>
      </c>
      <c r="L723" s="54">
        <v>5</v>
      </c>
    </row>
    <row r="724" spans="1:12" ht="15">
      <c r="A724" s="39" t="s">
        <v>570</v>
      </c>
      <c r="B724" s="46" t="s">
        <v>251</v>
      </c>
      <c r="C724" s="39" t="s">
        <v>930</v>
      </c>
      <c r="D724" s="72">
        <v>332494481</v>
      </c>
      <c r="E724" s="73">
        <v>9192094386</v>
      </c>
      <c r="F724" s="39" t="s">
        <v>256</v>
      </c>
      <c r="G724" s="81">
        <v>36080</v>
      </c>
      <c r="H724" s="105" t="str">
        <f>CHOOSE(MONTH(G724),"January","February","March","April","May","June","July","August","September","October","November","December")</f>
        <v>October</v>
      </c>
      <c r="I724" s="51">
        <f ca="1">DATEDIF(G724,TODAY(),"Y")</f>
        <v>18</v>
      </c>
      <c r="J724" s="52" t="s">
        <v>283</v>
      </c>
      <c r="K724" s="53">
        <v>48410</v>
      </c>
      <c r="L724" s="54">
        <v>5</v>
      </c>
    </row>
    <row r="725" spans="1:12" ht="15">
      <c r="A725" s="39" t="s">
        <v>479</v>
      </c>
      <c r="B725" s="46" t="s">
        <v>285</v>
      </c>
      <c r="C725" s="39" t="s">
        <v>930</v>
      </c>
      <c r="D725" s="72">
        <v>163350417</v>
      </c>
      <c r="E725" s="73">
        <v>2526466230</v>
      </c>
      <c r="F725" s="39" t="s">
        <v>256</v>
      </c>
      <c r="G725" s="81">
        <v>36672</v>
      </c>
      <c r="H725" s="105" t="str">
        <f>CHOOSE(MONTH(G725),"January","February","March","April","May","June","July","August","September","October","November","December")</f>
        <v>May</v>
      </c>
      <c r="I725" s="51">
        <f ca="1">DATEDIF(G725,TODAY(),"Y")</f>
        <v>16</v>
      </c>
      <c r="J725" s="52" t="s">
        <v>262</v>
      </c>
      <c r="K725" s="53">
        <v>65320</v>
      </c>
      <c r="L725" s="54">
        <v>5</v>
      </c>
    </row>
    <row r="726" spans="1:12" ht="15">
      <c r="A726" s="39" t="s">
        <v>921</v>
      </c>
      <c r="B726" s="46" t="s">
        <v>285</v>
      </c>
      <c r="C726" s="39" t="s">
        <v>930</v>
      </c>
      <c r="D726" s="72">
        <v>992674973</v>
      </c>
      <c r="E726" s="73">
        <v>2526088101</v>
      </c>
      <c r="F726" s="39" t="s">
        <v>256</v>
      </c>
      <c r="G726" s="81">
        <v>35052</v>
      </c>
      <c r="H726" s="105" t="str">
        <f>CHOOSE(MONTH(G726),"January","February","March","April","May","June","July","August","September","October","November","December")</f>
        <v>December</v>
      </c>
      <c r="I726" s="51">
        <f ca="1">DATEDIF(G726,TODAY(),"Y")</f>
        <v>20</v>
      </c>
      <c r="J726" s="52" t="s">
        <v>267</v>
      </c>
      <c r="K726" s="53">
        <v>64780</v>
      </c>
      <c r="L726" s="54">
        <v>5</v>
      </c>
    </row>
    <row r="727" spans="1:12" ht="15">
      <c r="A727" s="39" t="s">
        <v>354</v>
      </c>
      <c r="B727" s="46" t="s">
        <v>285</v>
      </c>
      <c r="C727" s="39" t="s">
        <v>930</v>
      </c>
      <c r="D727" s="72">
        <v>249416723</v>
      </c>
      <c r="E727" s="73">
        <v>2521628807</v>
      </c>
      <c r="F727" s="39" t="s">
        <v>256</v>
      </c>
      <c r="G727" s="81">
        <v>36025</v>
      </c>
      <c r="H727" s="105" t="str">
        <f>CHOOSE(MONTH(G727),"January","February","March","April","May","June","July","August","September","October","November","December")</f>
        <v>August</v>
      </c>
      <c r="I727" s="51">
        <f ca="1">DATEDIF(G727,TODAY(),"Y")</f>
        <v>18</v>
      </c>
      <c r="J727" s="52" t="s">
        <v>262</v>
      </c>
      <c r="K727" s="53">
        <v>64470</v>
      </c>
      <c r="L727" s="54">
        <v>5</v>
      </c>
    </row>
    <row r="728" spans="1:12" ht="15">
      <c r="A728" s="39" t="s">
        <v>810</v>
      </c>
      <c r="B728" s="46" t="s">
        <v>271</v>
      </c>
      <c r="C728" s="39" t="s">
        <v>930</v>
      </c>
      <c r="D728" s="72">
        <v>918436287</v>
      </c>
      <c r="E728" s="73">
        <v>2528238755</v>
      </c>
      <c r="F728" s="39" t="s">
        <v>247</v>
      </c>
      <c r="G728" s="81">
        <v>33193</v>
      </c>
      <c r="H728" s="105" t="str">
        <f>CHOOSE(MONTH(G728),"January","February","March","April","May","June","July","August","September","October","November","December")</f>
        <v>November</v>
      </c>
      <c r="I728" s="51">
        <f ca="1">DATEDIF(G728,TODAY(),"Y")</f>
        <v>25</v>
      </c>
      <c r="J728" s="52"/>
      <c r="K728" s="53">
        <v>63610</v>
      </c>
      <c r="L728" s="54">
        <v>5</v>
      </c>
    </row>
    <row r="729" spans="1:12" ht="15">
      <c r="A729" s="39" t="s">
        <v>954</v>
      </c>
      <c r="B729" s="46" t="s">
        <v>271</v>
      </c>
      <c r="C729" s="39" t="s">
        <v>930</v>
      </c>
      <c r="D729" s="72">
        <v>317749924</v>
      </c>
      <c r="E729" s="73">
        <v>9193441810</v>
      </c>
      <c r="F729" s="39" t="s">
        <v>247</v>
      </c>
      <c r="G729" s="81">
        <v>33977</v>
      </c>
      <c r="H729" s="105" t="str">
        <f>CHOOSE(MONTH(G729),"January","February","March","April","May","June","July","August","September","October","November","December")</f>
        <v>January</v>
      </c>
      <c r="I729" s="51">
        <f ca="1">DATEDIF(G729,TODAY(),"Y")</f>
        <v>23</v>
      </c>
      <c r="J729" s="52"/>
      <c r="K729" s="53">
        <v>63290</v>
      </c>
      <c r="L729" s="54">
        <v>5</v>
      </c>
    </row>
    <row r="730" spans="1:12" ht="15">
      <c r="A730" s="39" t="s">
        <v>953</v>
      </c>
      <c r="B730" s="46" t="s">
        <v>285</v>
      </c>
      <c r="C730" s="39" t="s">
        <v>930</v>
      </c>
      <c r="D730" s="72">
        <v>970466937</v>
      </c>
      <c r="E730" s="73">
        <v>9192042331</v>
      </c>
      <c r="F730" s="39" t="s">
        <v>247</v>
      </c>
      <c r="G730" s="81">
        <v>33495</v>
      </c>
      <c r="H730" s="105" t="str">
        <f>CHOOSE(MONTH(G730),"January","February","March","April","May","June","July","August","September","October","November","December")</f>
        <v>September</v>
      </c>
      <c r="I730" s="51">
        <f ca="1">DATEDIF(G730,TODAY(),"Y")</f>
        <v>25</v>
      </c>
      <c r="J730" s="52"/>
      <c r="K730" s="53">
        <v>62480</v>
      </c>
      <c r="L730" s="54">
        <v>5</v>
      </c>
    </row>
    <row r="731" spans="1:12" ht="15">
      <c r="A731" s="39" t="s">
        <v>501</v>
      </c>
      <c r="B731" s="46" t="s">
        <v>271</v>
      </c>
      <c r="C731" s="39" t="s">
        <v>930</v>
      </c>
      <c r="D731" s="72">
        <v>159594851</v>
      </c>
      <c r="E731" s="73">
        <v>9194084456</v>
      </c>
      <c r="F731" s="39" t="s">
        <v>256</v>
      </c>
      <c r="G731" s="103">
        <v>40680</v>
      </c>
      <c r="H731" s="105" t="str">
        <f>CHOOSE(MONTH(G731),"January","February","March","April","May","June","July","August","September","October","November","December")</f>
        <v>May</v>
      </c>
      <c r="I731" s="51">
        <f ca="1">DATEDIF(G731,TODAY(),"Y")</f>
        <v>5</v>
      </c>
      <c r="J731" s="52" t="s">
        <v>276</v>
      </c>
      <c r="K731" s="53">
        <v>40260</v>
      </c>
      <c r="L731" s="54">
        <v>5</v>
      </c>
    </row>
    <row r="732" spans="1:12" ht="15">
      <c r="A732" s="39" t="s">
        <v>541</v>
      </c>
      <c r="B732" s="46" t="s">
        <v>271</v>
      </c>
      <c r="C732" s="39" t="s">
        <v>930</v>
      </c>
      <c r="D732" s="72">
        <v>793256568</v>
      </c>
      <c r="E732" s="73">
        <v>9196999991</v>
      </c>
      <c r="F732" s="39" t="s">
        <v>256</v>
      </c>
      <c r="G732" s="81">
        <v>35364</v>
      </c>
      <c r="H732" s="105" t="str">
        <f>CHOOSE(MONTH(G732),"January","February","March","April","May","June","July","August","September","October","November","December")</f>
        <v>October</v>
      </c>
      <c r="I732" s="51">
        <f ca="1">DATEDIF(G732,TODAY(),"Y")</f>
        <v>20</v>
      </c>
      <c r="J732" s="52" t="s">
        <v>257</v>
      </c>
      <c r="K732" s="53">
        <v>27130</v>
      </c>
      <c r="L732" s="54">
        <v>5</v>
      </c>
    </row>
    <row r="733" spans="1:12" ht="15">
      <c r="A733" s="39" t="s">
        <v>488</v>
      </c>
      <c r="B733" s="46" t="s">
        <v>285</v>
      </c>
      <c r="C733" s="39" t="s">
        <v>930</v>
      </c>
      <c r="D733" s="72">
        <v>879114558</v>
      </c>
      <c r="E733" s="73">
        <v>9194557504</v>
      </c>
      <c r="F733" s="39" t="s">
        <v>261</v>
      </c>
      <c r="G733" s="81">
        <v>36918</v>
      </c>
      <c r="H733" s="105" t="str">
        <f>CHOOSE(MONTH(G733),"January","February","March","April","May","June","July","August","September","October","November","December")</f>
        <v>January</v>
      </c>
      <c r="I733" s="51">
        <f ca="1">DATEDIF(G733,TODAY(),"Y")</f>
        <v>15</v>
      </c>
      <c r="J733" s="52" t="s">
        <v>257</v>
      </c>
      <c r="K733" s="53">
        <v>17205</v>
      </c>
      <c r="L733" s="54">
        <v>5</v>
      </c>
    </row>
    <row r="734" spans="1:12" ht="15">
      <c r="A734" s="39" t="s">
        <v>549</v>
      </c>
      <c r="B734" s="46" t="s">
        <v>245</v>
      </c>
      <c r="C734" s="39" t="s">
        <v>930</v>
      </c>
      <c r="D734" s="72">
        <v>262585858</v>
      </c>
      <c r="E734" s="73">
        <v>2528566597</v>
      </c>
      <c r="F734" s="39" t="s">
        <v>261</v>
      </c>
      <c r="G734" s="81">
        <v>35518</v>
      </c>
      <c r="H734" s="105" t="str">
        <f>CHOOSE(MONTH(G734),"January","February","March","April","May","June","July","August","September","October","November","December")</f>
        <v>March</v>
      </c>
      <c r="I734" s="51">
        <f ca="1">DATEDIF(G734,TODAY(),"Y")</f>
        <v>19</v>
      </c>
      <c r="J734" s="52" t="s">
        <v>262</v>
      </c>
      <c r="K734" s="53">
        <v>13690</v>
      </c>
      <c r="L734" s="54">
        <v>5</v>
      </c>
    </row>
    <row r="735" spans="1:12" ht="15">
      <c r="A735" s="39" t="s">
        <v>402</v>
      </c>
      <c r="B735" s="46" t="s">
        <v>285</v>
      </c>
      <c r="C735" s="39" t="s">
        <v>930</v>
      </c>
      <c r="D735" s="72">
        <v>627494412</v>
      </c>
      <c r="E735" s="73">
        <v>2528249735</v>
      </c>
      <c r="F735" s="39" t="s">
        <v>256</v>
      </c>
      <c r="G735" s="81">
        <v>35276</v>
      </c>
      <c r="H735" s="105" t="str">
        <f>CHOOSE(MONTH(G735),"January","February","March","April","May","June","July","August","September","October","November","December")</f>
        <v>July</v>
      </c>
      <c r="I735" s="51">
        <f ca="1">DATEDIF(G735,TODAY(),"Y")</f>
        <v>20</v>
      </c>
      <c r="J735" s="52" t="s">
        <v>257</v>
      </c>
      <c r="K735" s="53">
        <v>58370</v>
      </c>
      <c r="L735" s="54">
        <v>5</v>
      </c>
    </row>
    <row r="736" spans="1:12" ht="15">
      <c r="A736" s="39" t="s">
        <v>461</v>
      </c>
      <c r="B736" s="46" t="s">
        <v>280</v>
      </c>
      <c r="C736" s="39" t="s">
        <v>930</v>
      </c>
      <c r="D736" s="72">
        <v>643984096</v>
      </c>
      <c r="E736" s="73">
        <v>9191630739</v>
      </c>
      <c r="F736" s="39" t="s">
        <v>247</v>
      </c>
      <c r="G736" s="81">
        <v>33413</v>
      </c>
      <c r="H736" s="105" t="str">
        <f>CHOOSE(MONTH(G736),"January","February","March","April","May","June","July","August","September","October","November","December")</f>
        <v>June</v>
      </c>
      <c r="I736" s="51">
        <f ca="1">DATEDIF(G736,TODAY(),"Y")</f>
        <v>25</v>
      </c>
      <c r="J736" s="52"/>
      <c r="K736" s="53">
        <v>26020</v>
      </c>
      <c r="L736" s="54">
        <v>5</v>
      </c>
    </row>
    <row r="737" spans="1:12" ht="15">
      <c r="A737" s="39" t="s">
        <v>414</v>
      </c>
      <c r="B737" s="46" t="s">
        <v>285</v>
      </c>
      <c r="C737" s="39" t="s">
        <v>930</v>
      </c>
      <c r="D737" s="72">
        <v>121173068</v>
      </c>
      <c r="E737" s="73">
        <v>9196778600</v>
      </c>
      <c r="F737" s="39" t="s">
        <v>256</v>
      </c>
      <c r="G737" s="81">
        <v>40568</v>
      </c>
      <c r="H737" s="105" t="str">
        <f>CHOOSE(MONTH(G737),"January","February","March","April","May","June","July","August","September","October","November","December")</f>
        <v>January</v>
      </c>
      <c r="I737" s="51">
        <f ca="1">DATEDIF(G737,TODAY(),"Y")</f>
        <v>5</v>
      </c>
      <c r="J737" s="52" t="s">
        <v>257</v>
      </c>
      <c r="K737" s="53">
        <v>46390</v>
      </c>
      <c r="L737" s="54">
        <v>5</v>
      </c>
    </row>
    <row r="738" spans="1:12" ht="15">
      <c r="A738" s="39" t="s">
        <v>989</v>
      </c>
      <c r="B738" s="46" t="s">
        <v>271</v>
      </c>
      <c r="C738" s="39" t="s">
        <v>930</v>
      </c>
      <c r="D738" s="72">
        <v>657835603</v>
      </c>
      <c r="E738" s="73">
        <v>2526609693</v>
      </c>
      <c r="F738" s="39" t="s">
        <v>256</v>
      </c>
      <c r="G738" s="81">
        <v>33279</v>
      </c>
      <c r="H738" s="105" t="str">
        <f>CHOOSE(MONTH(G738),"January","February","March","April","May","June","July","August","September","October","November","December")</f>
        <v>February</v>
      </c>
      <c r="I738" s="51">
        <f ca="1">DATEDIF(G738,TODAY(),"Y")</f>
        <v>25</v>
      </c>
      <c r="J738" s="52" t="s">
        <v>257</v>
      </c>
      <c r="K738" s="53">
        <v>24200</v>
      </c>
      <c r="L738" s="54">
        <v>5</v>
      </c>
    </row>
    <row r="739" spans="1:12" ht="15">
      <c r="A739" s="39" t="s">
        <v>732</v>
      </c>
      <c r="B739" s="46" t="s">
        <v>245</v>
      </c>
      <c r="C739" s="39" t="s">
        <v>1025</v>
      </c>
      <c r="D739" s="72">
        <v>797985708</v>
      </c>
      <c r="E739" s="73">
        <v>9193578185</v>
      </c>
      <c r="F739" s="39" t="s">
        <v>256</v>
      </c>
      <c r="G739" s="81">
        <v>37073</v>
      </c>
      <c r="H739" s="105" t="str">
        <f>CHOOSE(MONTH(G739),"January","February","March","April","May","June","July","August","September","October","November","December")</f>
        <v>July</v>
      </c>
      <c r="I739" s="51">
        <f ca="1">DATEDIF(G739,TODAY(),"Y")</f>
        <v>15</v>
      </c>
      <c r="J739" s="52" t="s">
        <v>276</v>
      </c>
      <c r="K739" s="53">
        <v>40680</v>
      </c>
      <c r="L739" s="54">
        <v>5</v>
      </c>
    </row>
    <row r="740" spans="1:12" ht="15">
      <c r="A740" s="39" t="s">
        <v>400</v>
      </c>
      <c r="B740" s="46" t="s">
        <v>266</v>
      </c>
      <c r="C740" s="39" t="s">
        <v>1025</v>
      </c>
      <c r="D740" s="72">
        <v>443926890</v>
      </c>
      <c r="E740" s="73">
        <v>2524411859</v>
      </c>
      <c r="F740" s="39" t="s">
        <v>256</v>
      </c>
      <c r="G740" s="81">
        <v>37684</v>
      </c>
      <c r="H740" s="105" t="str">
        <f>CHOOSE(MONTH(G740),"January","February","March","April","May","June","July","August","September","October","November","December")</f>
        <v>March</v>
      </c>
      <c r="I740" s="51">
        <f ca="1">DATEDIF(G740,TODAY(),"Y")</f>
        <v>13</v>
      </c>
      <c r="J740" s="52" t="s">
        <v>283</v>
      </c>
      <c r="K740" s="53">
        <v>42800</v>
      </c>
      <c r="L740" s="54">
        <v>5</v>
      </c>
    </row>
    <row r="741" spans="1:12" ht="15">
      <c r="A741" s="39" t="s">
        <v>302</v>
      </c>
      <c r="B741" s="46" t="s">
        <v>271</v>
      </c>
      <c r="C741" s="39" t="s">
        <v>1025</v>
      </c>
      <c r="D741" s="72">
        <v>510700395</v>
      </c>
      <c r="E741" s="73">
        <v>9196690862</v>
      </c>
      <c r="F741" s="39" t="s">
        <v>256</v>
      </c>
      <c r="G741" s="81">
        <v>36991</v>
      </c>
      <c r="H741" s="105" t="str">
        <f>CHOOSE(MONTH(G741),"January","February","March","April","May","June","July","August","September","October","November","December")</f>
        <v>April</v>
      </c>
      <c r="I741" s="51">
        <f ca="1">DATEDIF(G741,TODAY(),"Y")</f>
        <v>15</v>
      </c>
      <c r="J741" s="52" t="s">
        <v>257</v>
      </c>
      <c r="K741" s="53">
        <v>63670</v>
      </c>
      <c r="L741" s="54">
        <v>5</v>
      </c>
    </row>
    <row r="742" spans="1:12" ht="15">
      <c r="A742" s="39" t="s">
        <v>406</v>
      </c>
      <c r="B742" s="46" t="s">
        <v>285</v>
      </c>
      <c r="C742" s="39" t="s">
        <v>1031</v>
      </c>
      <c r="D742" s="72">
        <v>978092408</v>
      </c>
      <c r="E742" s="73">
        <v>9191888279</v>
      </c>
      <c r="F742" s="39" t="s">
        <v>247</v>
      </c>
      <c r="G742" s="81">
        <v>34525</v>
      </c>
      <c r="H742" s="105" t="str">
        <f>CHOOSE(MONTH(G742),"January","February","March","April","May","June","July","August","September","October","November","December")</f>
        <v>July</v>
      </c>
      <c r="I742" s="51">
        <f ca="1">DATEDIF(G742,TODAY(),"Y")</f>
        <v>22</v>
      </c>
      <c r="J742" s="52"/>
      <c r="K742" s="53">
        <v>64720</v>
      </c>
      <c r="L742" s="54">
        <v>5</v>
      </c>
    </row>
    <row r="743" spans="1:12" ht="15">
      <c r="A743" s="39"/>
      <c r="B743" s="46"/>
      <c r="C743" s="115"/>
      <c r="D743" s="47"/>
      <c r="E743" s="48"/>
      <c r="F743" s="45"/>
      <c r="G743" s="105"/>
      <c r="H743" s="105"/>
      <c r="I743" s="51"/>
      <c r="J743" s="52"/>
      <c r="K743" s="53"/>
      <c r="L743" s="54"/>
    </row>
    <row r="744" spans="1:12" ht="15">
      <c r="A744" s="39"/>
      <c r="B744" s="46"/>
      <c r="C744" s="115"/>
      <c r="D744" s="47"/>
      <c r="E744" s="48"/>
      <c r="F744" s="45"/>
      <c r="G744" s="105"/>
      <c r="H744" s="105"/>
      <c r="I744" s="51"/>
      <c r="J744" s="52"/>
      <c r="K744" s="53"/>
      <c r="L744" s="54"/>
    </row>
    <row r="745" spans="1:12" ht="15">
      <c r="A745" s="39"/>
      <c r="B745" s="46"/>
      <c r="C745" s="111"/>
      <c r="D745" s="72"/>
      <c r="E745" s="73"/>
      <c r="F745" s="39"/>
      <c r="G745" s="81"/>
      <c r="H745" s="105"/>
      <c r="I745" s="51"/>
      <c r="J745" s="52"/>
      <c r="K745" s="53"/>
      <c r="L745" s="54"/>
    </row>
    <row r="746" spans="1:12" ht="15">
      <c r="A746" s="39"/>
      <c r="B746" s="46"/>
      <c r="C746" s="111"/>
      <c r="D746" s="72"/>
      <c r="E746" s="73"/>
      <c r="F746" s="39"/>
      <c r="G746" s="81"/>
      <c r="H746" s="105"/>
      <c r="I746" s="51"/>
      <c r="J746" s="52"/>
      <c r="K746" s="53"/>
      <c r="L746" s="54"/>
    </row>
    <row r="747" spans="1:12" ht="15">
      <c r="A747" s="39"/>
      <c r="B747" s="46"/>
      <c r="C747" s="111"/>
      <c r="D747" s="72"/>
      <c r="E747" s="73"/>
      <c r="F747" s="39"/>
      <c r="G747" s="81"/>
      <c r="H747" s="105"/>
      <c r="I747" s="51"/>
      <c r="J747" s="52"/>
      <c r="K747" s="53"/>
      <c r="L747" s="54"/>
    </row>
    <row r="748" spans="1:12" ht="15">
      <c r="A748" s="39"/>
      <c r="B748" s="46"/>
      <c r="C748" s="111"/>
      <c r="D748" s="72"/>
      <c r="E748" s="73"/>
      <c r="F748" s="39"/>
      <c r="G748" s="103"/>
      <c r="H748" s="105"/>
      <c r="I748" s="51"/>
      <c r="J748" s="52"/>
      <c r="K748" s="53"/>
      <c r="L748" s="54"/>
    </row>
    <row r="749" spans="1:12" ht="15">
      <c r="A749" s="39"/>
      <c r="B749" s="46"/>
      <c r="C749" s="111"/>
      <c r="D749" s="72"/>
      <c r="E749" s="73"/>
      <c r="F749" s="39"/>
      <c r="G749" s="81"/>
      <c r="H749" s="105"/>
      <c r="I749" s="51"/>
      <c r="J749" s="52"/>
      <c r="K749" s="53"/>
      <c r="L749" s="54"/>
    </row>
    <row r="750" spans="1:12" ht="15">
      <c r="A750" s="39"/>
      <c r="B750" s="46"/>
      <c r="C750" s="111"/>
      <c r="D750" s="72"/>
      <c r="E750" s="73"/>
      <c r="F750" s="39"/>
      <c r="G750" s="81"/>
      <c r="H750" s="105"/>
      <c r="I750" s="51"/>
      <c r="J750" s="52"/>
      <c r="K750" s="53"/>
      <c r="L750" s="54"/>
    </row>
    <row r="751" spans="1:12" ht="15">
      <c r="A751" s="39"/>
      <c r="B751" s="46"/>
      <c r="C751" s="111"/>
      <c r="D751" s="72"/>
      <c r="E751" s="73"/>
      <c r="F751" s="39"/>
      <c r="G751" s="81"/>
      <c r="H751" s="105"/>
      <c r="I751" s="51"/>
      <c r="J751" s="52"/>
      <c r="K751" s="53"/>
      <c r="L751" s="54"/>
    </row>
    <row r="752" spans="1:12" ht="15">
      <c r="A752" s="39"/>
      <c r="B752" s="46"/>
      <c r="C752" s="111"/>
      <c r="D752" s="72"/>
      <c r="E752" s="73"/>
      <c r="F752" s="39"/>
      <c r="G752" s="81"/>
      <c r="H752" s="105"/>
      <c r="I752" s="51"/>
      <c r="J752" s="52"/>
      <c r="K752" s="53"/>
      <c r="L752" s="54"/>
    </row>
    <row r="753" spans="1:12" ht="15">
      <c r="A753" s="39"/>
      <c r="B753" s="46"/>
      <c r="C753" s="111"/>
      <c r="D753" s="72"/>
      <c r="E753" s="73"/>
      <c r="F753" s="39"/>
      <c r="G753" s="81"/>
      <c r="H753" s="105"/>
      <c r="I753" s="51"/>
      <c r="J753" s="52"/>
      <c r="K753" s="53"/>
      <c r="L753" s="54"/>
    </row>
    <row r="754" spans="1:12" ht="15">
      <c r="A754" s="39"/>
      <c r="B754" s="46"/>
      <c r="C754" s="111"/>
      <c r="D754" s="72"/>
      <c r="E754" s="73"/>
      <c r="F754" s="39"/>
      <c r="G754" s="81"/>
      <c r="H754" s="105"/>
      <c r="I754" s="51"/>
      <c r="J754" s="52"/>
      <c r="K754" s="53"/>
      <c r="L754" s="54"/>
    </row>
    <row r="755" spans="1:12" ht="15">
      <c r="A755" s="39"/>
      <c r="B755" s="46"/>
      <c r="C755" s="111"/>
      <c r="D755" s="72"/>
      <c r="E755" s="73"/>
      <c r="F755" s="39"/>
      <c r="G755" s="103"/>
      <c r="H755" s="105"/>
      <c r="I755" s="51"/>
      <c r="J755" s="52"/>
      <c r="K755" s="53"/>
      <c r="L755" s="54"/>
    </row>
    <row r="756" spans="1:12" ht="15">
      <c r="A756" s="39"/>
      <c r="B756" s="46"/>
      <c r="C756" s="111"/>
      <c r="D756" s="72"/>
      <c r="E756" s="73"/>
      <c r="F756" s="39"/>
      <c r="G756" s="81"/>
      <c r="H756" s="105"/>
      <c r="I756" s="51"/>
      <c r="J756" s="52"/>
      <c r="K756" s="53"/>
      <c r="L756" s="54"/>
    </row>
    <row r="757" spans="1:12" ht="15">
      <c r="A757" s="39"/>
      <c r="B757" s="46"/>
      <c r="C757" s="111"/>
      <c r="D757" s="72"/>
      <c r="E757" s="73"/>
      <c r="F757" s="39"/>
      <c r="G757" s="81"/>
      <c r="H757" s="105"/>
      <c r="I757" s="51"/>
      <c r="J757" s="52"/>
      <c r="K757" s="53"/>
      <c r="L757" s="54"/>
    </row>
    <row r="758" spans="1:12" ht="15">
      <c r="A758" s="39"/>
      <c r="B758" s="46"/>
      <c r="C758" s="111"/>
      <c r="D758" s="72"/>
      <c r="E758" s="73"/>
      <c r="F758" s="39"/>
      <c r="G758" s="81"/>
      <c r="H758" s="105"/>
      <c r="I758" s="51"/>
      <c r="J758" s="52"/>
      <c r="K758" s="53"/>
      <c r="L758" s="54"/>
    </row>
    <row r="759" spans="1:12" ht="15">
      <c r="A759" s="39"/>
      <c r="B759" s="46"/>
      <c r="C759" s="111"/>
      <c r="D759" s="72"/>
      <c r="E759" s="73"/>
      <c r="F759" s="39"/>
      <c r="G759" s="81"/>
      <c r="H759" s="105"/>
      <c r="I759" s="51"/>
      <c r="J759" s="52"/>
      <c r="K759" s="53"/>
      <c r="L759" s="54"/>
    </row>
    <row r="760" spans="1:12" ht="15">
      <c r="A760" s="39"/>
      <c r="B760" s="46"/>
      <c r="C760" s="111"/>
      <c r="D760" s="72"/>
      <c r="E760" s="73"/>
      <c r="F760" s="39"/>
      <c r="G760" s="81"/>
      <c r="H760" s="105"/>
      <c r="I760" s="51"/>
      <c r="J760" s="52"/>
      <c r="K760" s="53"/>
      <c r="L760" s="54"/>
    </row>
    <row r="761" spans="1:12" ht="15">
      <c r="A761" s="39"/>
      <c r="B761" s="46"/>
      <c r="C761" s="111"/>
      <c r="D761" s="72"/>
      <c r="E761" s="73"/>
      <c r="F761" s="39"/>
      <c r="G761" s="81"/>
      <c r="H761" s="105"/>
      <c r="I761" s="51"/>
      <c r="J761" s="52"/>
      <c r="K761" s="53"/>
      <c r="L761" s="54"/>
    </row>
    <row r="762" spans="1:12" ht="15">
      <c r="A762" s="39"/>
      <c r="B762" s="46"/>
      <c r="C762" s="111"/>
      <c r="D762" s="72"/>
      <c r="E762" s="73"/>
      <c r="F762" s="39"/>
      <c r="G762" s="81"/>
      <c r="H762" s="105"/>
      <c r="I762" s="51"/>
      <c r="J762" s="52"/>
      <c r="K762" s="53"/>
      <c r="L762" s="54"/>
    </row>
    <row r="763" spans="1:12" ht="15">
      <c r="A763" s="39"/>
      <c r="B763" s="46"/>
      <c r="C763" s="111"/>
      <c r="D763" s="72"/>
      <c r="E763" s="73"/>
      <c r="F763" s="39"/>
      <c r="G763" s="103"/>
      <c r="H763" s="105"/>
      <c r="I763" s="51"/>
      <c r="J763" s="52"/>
      <c r="K763" s="53"/>
      <c r="L763" s="54"/>
    </row>
    <row r="764" spans="1:12" ht="15">
      <c r="A764" s="39"/>
      <c r="B764" s="46"/>
      <c r="C764" s="111"/>
      <c r="D764" s="72"/>
      <c r="E764" s="73"/>
      <c r="F764" s="39"/>
      <c r="G764" s="81"/>
      <c r="H764" s="105"/>
      <c r="I764" s="51"/>
      <c r="J764" s="52"/>
      <c r="K764" s="53"/>
      <c r="L764" s="54"/>
    </row>
  </sheetData>
  <sortState ref="A2:L764">
    <sortCondition ref="L764"/>
  </sortState>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910"/>
  <sheetViews>
    <sheetView topLeftCell="A4" zoomScale="190" zoomScaleNormal="190" workbookViewId="0">
      <selection activeCell="D9" sqref="D9"/>
    </sheetView>
  </sheetViews>
  <sheetFormatPr defaultRowHeight="15"/>
  <cols>
    <col min="1" max="1" width="11.85546875" style="216" bestFit="1" customWidth="1"/>
    <col min="2" max="3" width="12.140625" style="216" customWidth="1"/>
    <col min="4" max="4" width="12.85546875" style="216" customWidth="1"/>
    <col min="5" max="5" width="16.5703125" style="216" customWidth="1"/>
    <col min="6" max="6" width="13.28515625" style="216" customWidth="1"/>
    <col min="7" max="7" width="19.7109375" style="216" customWidth="1"/>
    <col min="8" max="8" width="5" style="216" bestFit="1" customWidth="1"/>
    <col min="9" max="9" width="3.42578125" style="216" bestFit="1" customWidth="1"/>
    <col min="10" max="16384" width="9.140625" style="216"/>
  </cols>
  <sheetData>
    <row r="1" spans="1:9">
      <c r="A1" s="219" t="s">
        <v>1556</v>
      </c>
      <c r="B1" s="219"/>
      <c r="C1" s="219" t="s">
        <v>1555</v>
      </c>
      <c r="D1" s="219"/>
      <c r="E1" s="219" t="s">
        <v>1554</v>
      </c>
      <c r="H1" s="216" t="s">
        <v>248</v>
      </c>
      <c r="I1" s="216">
        <v>1</v>
      </c>
    </row>
    <row r="2" spans="1:9">
      <c r="A2" s="216" t="s">
        <v>1507</v>
      </c>
      <c r="B2" s="218">
        <f>DATE(RIGHT(A2,4),LEFT(A2,2),1)</f>
        <v>41913</v>
      </c>
      <c r="C2" s="216" t="s">
        <v>1506</v>
      </c>
      <c r="D2" s="218"/>
      <c r="E2" s="217" t="s">
        <v>1553</v>
      </c>
      <c r="F2" s="331">
        <f>DATE(LEFT(E2,4),VLOOKUP(MID(E2,6,3),H:I,2,0),RIGHT(E2,2))</f>
        <v>41538</v>
      </c>
      <c r="H2" s="216" t="s">
        <v>253</v>
      </c>
      <c r="I2" s="216">
        <v>2</v>
      </c>
    </row>
    <row r="3" spans="1:9">
      <c r="A3" s="216" t="s">
        <v>1527</v>
      </c>
      <c r="B3" s="218">
        <f t="shared" ref="B3:B66" si="0">DATE(RIGHT(A3,4),LEFT(A3,2),1)</f>
        <v>41730</v>
      </c>
      <c r="C3" s="216" t="s">
        <v>1526</v>
      </c>
      <c r="E3" s="217" t="s">
        <v>1551</v>
      </c>
      <c r="F3" s="331"/>
      <c r="H3" s="216" t="s">
        <v>258</v>
      </c>
      <c r="I3" s="216">
        <v>3</v>
      </c>
    </row>
    <row r="4" spans="1:9">
      <c r="A4" s="216" t="s">
        <v>1531</v>
      </c>
      <c r="B4" s="218">
        <f t="shared" si="0"/>
        <v>41760</v>
      </c>
      <c r="C4" s="216" t="s">
        <v>1530</v>
      </c>
      <c r="E4" s="217" t="s">
        <v>1552</v>
      </c>
      <c r="F4" s="331"/>
      <c r="H4" s="216" t="s">
        <v>263</v>
      </c>
      <c r="I4" s="216">
        <v>4</v>
      </c>
    </row>
    <row r="5" spans="1:9">
      <c r="A5" s="216" t="s">
        <v>1535</v>
      </c>
      <c r="B5" s="218">
        <f t="shared" si="0"/>
        <v>41518</v>
      </c>
      <c r="C5" s="216" t="s">
        <v>1534</v>
      </c>
      <c r="E5" s="217" t="s">
        <v>1551</v>
      </c>
      <c r="H5" s="216" t="s">
        <v>268</v>
      </c>
      <c r="I5" s="216">
        <v>5</v>
      </c>
    </row>
    <row r="6" spans="1:9">
      <c r="A6" s="216" t="s">
        <v>1507</v>
      </c>
      <c r="B6" s="218">
        <f t="shared" si="0"/>
        <v>41913</v>
      </c>
      <c r="C6" s="216" t="s">
        <v>1506</v>
      </c>
      <c r="E6" s="217" t="s">
        <v>1550</v>
      </c>
      <c r="H6" s="216" t="s">
        <v>273</v>
      </c>
      <c r="I6" s="216">
        <v>6</v>
      </c>
    </row>
    <row r="7" spans="1:9">
      <c r="A7" s="216" t="s">
        <v>1521</v>
      </c>
      <c r="B7" s="218">
        <f t="shared" si="0"/>
        <v>41791</v>
      </c>
      <c r="C7" s="216" t="s">
        <v>1520</v>
      </c>
      <c r="E7" s="217" t="s">
        <v>1549</v>
      </c>
      <c r="H7" s="216" t="s">
        <v>249</v>
      </c>
      <c r="I7" s="216">
        <v>7</v>
      </c>
    </row>
    <row r="8" spans="1:9">
      <c r="A8" s="216" t="s">
        <v>1505</v>
      </c>
      <c r="B8" s="218">
        <f t="shared" si="0"/>
        <v>41365</v>
      </c>
      <c r="C8" s="216" t="s">
        <v>1504</v>
      </c>
      <c r="E8" s="217" t="s">
        <v>1548</v>
      </c>
      <c r="H8" s="216" t="s">
        <v>254</v>
      </c>
      <c r="I8" s="216">
        <v>8</v>
      </c>
    </row>
    <row r="9" spans="1:9">
      <c r="A9" s="216" t="s">
        <v>1531</v>
      </c>
      <c r="B9" s="218">
        <f t="shared" si="0"/>
        <v>41760</v>
      </c>
      <c r="C9" s="216" t="s">
        <v>1530</v>
      </c>
      <c r="E9" s="217" t="s">
        <v>1547</v>
      </c>
      <c r="H9" s="216" t="s">
        <v>259</v>
      </c>
      <c r="I9" s="216">
        <v>9</v>
      </c>
    </row>
    <row r="10" spans="1:9">
      <c r="A10" s="216" t="s">
        <v>1537</v>
      </c>
      <c r="B10" s="218">
        <f t="shared" si="0"/>
        <v>41640</v>
      </c>
      <c r="C10" s="216" t="s">
        <v>1536</v>
      </c>
      <c r="E10" s="217" t="s">
        <v>1546</v>
      </c>
      <c r="H10" s="216" t="s">
        <v>264</v>
      </c>
      <c r="I10" s="216">
        <v>10</v>
      </c>
    </row>
    <row r="11" spans="1:9">
      <c r="A11" s="216" t="s">
        <v>1509</v>
      </c>
      <c r="B11" s="218">
        <f t="shared" si="0"/>
        <v>41609</v>
      </c>
      <c r="C11" s="216" t="s">
        <v>1508</v>
      </c>
      <c r="H11" s="216" t="s">
        <v>269</v>
      </c>
      <c r="I11" s="216">
        <v>11</v>
      </c>
    </row>
    <row r="12" spans="1:9">
      <c r="A12" s="216" t="s">
        <v>1509</v>
      </c>
      <c r="B12" s="218">
        <f t="shared" si="0"/>
        <v>41609</v>
      </c>
      <c r="C12" s="216" t="s">
        <v>1508</v>
      </c>
      <c r="D12" s="332" t="s">
        <v>3141</v>
      </c>
      <c r="H12" s="216" t="s">
        <v>274</v>
      </c>
      <c r="I12" s="216">
        <v>12</v>
      </c>
    </row>
    <row r="13" spans="1:9">
      <c r="A13" s="216" t="s">
        <v>1513</v>
      </c>
      <c r="B13" s="218">
        <f t="shared" si="0"/>
        <v>41579</v>
      </c>
      <c r="C13" s="216" t="s">
        <v>1512</v>
      </c>
      <c r="D13" s="216" t="s">
        <v>1405</v>
      </c>
      <c r="E13" s="216" t="s">
        <v>3143</v>
      </c>
    </row>
    <row r="14" spans="1:9">
      <c r="A14" s="216" t="s">
        <v>1539</v>
      </c>
      <c r="B14" s="218">
        <f t="shared" si="0"/>
        <v>41852</v>
      </c>
      <c r="C14" s="216" t="s">
        <v>1538</v>
      </c>
      <c r="D14" s="216" t="s">
        <v>236</v>
      </c>
      <c r="E14" s="216" t="s">
        <v>3145</v>
      </c>
      <c r="F14" s="216" t="s">
        <v>3146</v>
      </c>
      <c r="H14" s="216">
        <v>4</v>
      </c>
      <c r="I14" s="216" t="s">
        <v>3147</v>
      </c>
    </row>
    <row r="15" spans="1:9">
      <c r="A15" s="216" t="s">
        <v>1543</v>
      </c>
      <c r="B15" s="218">
        <f t="shared" si="0"/>
        <v>41944</v>
      </c>
      <c r="C15" s="216" t="s">
        <v>1542</v>
      </c>
      <c r="D15" s="216" t="s">
        <v>3142</v>
      </c>
      <c r="E15" s="216" t="s">
        <v>3144</v>
      </c>
      <c r="H15" s="216">
        <v>61</v>
      </c>
      <c r="I15" s="216" t="s">
        <v>3148</v>
      </c>
    </row>
    <row r="16" spans="1:9">
      <c r="A16" s="216" t="s">
        <v>1499</v>
      </c>
      <c r="B16" s="218">
        <f t="shared" si="0"/>
        <v>41487</v>
      </c>
      <c r="C16" s="216" t="s">
        <v>1498</v>
      </c>
    </row>
    <row r="17" spans="1:3">
      <c r="A17" s="216" t="s">
        <v>1535</v>
      </c>
      <c r="B17" s="218">
        <f t="shared" si="0"/>
        <v>41518</v>
      </c>
      <c r="C17" s="216" t="s">
        <v>1534</v>
      </c>
    </row>
    <row r="18" spans="1:3">
      <c r="A18" s="216" t="s">
        <v>1507</v>
      </c>
      <c r="B18" s="218">
        <f t="shared" si="0"/>
        <v>41913</v>
      </c>
      <c r="C18" s="216" t="s">
        <v>1506</v>
      </c>
    </row>
    <row r="19" spans="1:3">
      <c r="A19" s="216" t="s">
        <v>1543</v>
      </c>
      <c r="B19" s="218">
        <f t="shared" si="0"/>
        <v>41944</v>
      </c>
      <c r="C19" s="216" t="s">
        <v>1542</v>
      </c>
    </row>
    <row r="20" spans="1:3">
      <c r="A20" s="216" t="s">
        <v>1509</v>
      </c>
      <c r="B20" s="218">
        <f t="shared" si="0"/>
        <v>41609</v>
      </c>
      <c r="C20" s="216" t="s">
        <v>1508</v>
      </c>
    </row>
    <row r="21" spans="1:3">
      <c r="A21" s="216" t="s">
        <v>1543</v>
      </c>
      <c r="B21" s="218">
        <f t="shared" si="0"/>
        <v>41944</v>
      </c>
      <c r="C21" s="216" t="s">
        <v>1542</v>
      </c>
    </row>
    <row r="22" spans="1:3">
      <c r="A22" s="216" t="s">
        <v>1525</v>
      </c>
      <c r="B22" s="218">
        <f t="shared" si="0"/>
        <v>41883</v>
      </c>
      <c r="C22" s="216" t="s">
        <v>1524</v>
      </c>
    </row>
    <row r="23" spans="1:3">
      <c r="A23" s="216" t="s">
        <v>1511</v>
      </c>
      <c r="B23" s="218">
        <f t="shared" si="0"/>
        <v>41306</v>
      </c>
      <c r="C23" s="216" t="s">
        <v>1510</v>
      </c>
    </row>
    <row r="24" spans="1:3">
      <c r="A24" s="216" t="s">
        <v>1507</v>
      </c>
      <c r="B24" s="218">
        <f t="shared" si="0"/>
        <v>41913</v>
      </c>
      <c r="C24" s="216" t="s">
        <v>1506</v>
      </c>
    </row>
    <row r="25" spans="1:3">
      <c r="A25" s="216" t="s">
        <v>1537</v>
      </c>
      <c r="B25" s="218">
        <f t="shared" si="0"/>
        <v>41640</v>
      </c>
      <c r="C25" s="216" t="s">
        <v>1536</v>
      </c>
    </row>
    <row r="26" spans="1:3">
      <c r="A26" s="216" t="s">
        <v>1521</v>
      </c>
      <c r="B26" s="218">
        <f t="shared" si="0"/>
        <v>41791</v>
      </c>
      <c r="C26" s="216" t="s">
        <v>1520</v>
      </c>
    </row>
    <row r="27" spans="1:3">
      <c r="A27" s="216" t="s">
        <v>1539</v>
      </c>
      <c r="B27" s="218">
        <f t="shared" si="0"/>
        <v>41852</v>
      </c>
      <c r="C27" s="216" t="s">
        <v>1538</v>
      </c>
    </row>
    <row r="28" spans="1:3">
      <c r="A28" s="216" t="s">
        <v>1513</v>
      </c>
      <c r="B28" s="218">
        <f t="shared" si="0"/>
        <v>41579</v>
      </c>
      <c r="C28" s="216" t="s">
        <v>1512</v>
      </c>
    </row>
    <row r="29" spans="1:3">
      <c r="A29" s="216" t="s">
        <v>1529</v>
      </c>
      <c r="B29" s="218">
        <f t="shared" si="0"/>
        <v>41821</v>
      </c>
      <c r="C29" s="216" t="s">
        <v>1528</v>
      </c>
    </row>
    <row r="30" spans="1:3">
      <c r="A30" s="216" t="s">
        <v>1531</v>
      </c>
      <c r="B30" s="218">
        <f t="shared" si="0"/>
        <v>41760</v>
      </c>
      <c r="C30" s="216" t="s">
        <v>1530</v>
      </c>
    </row>
    <row r="31" spans="1:3">
      <c r="A31" s="216" t="s">
        <v>1543</v>
      </c>
      <c r="B31" s="218">
        <f t="shared" si="0"/>
        <v>41944</v>
      </c>
      <c r="C31" s="216" t="s">
        <v>1542</v>
      </c>
    </row>
    <row r="32" spans="1:3">
      <c r="A32" s="216" t="s">
        <v>1535</v>
      </c>
      <c r="B32" s="218">
        <f t="shared" si="0"/>
        <v>41518</v>
      </c>
      <c r="C32" s="216" t="s">
        <v>1534</v>
      </c>
    </row>
    <row r="33" spans="1:3">
      <c r="A33" s="216" t="s">
        <v>1511</v>
      </c>
      <c r="B33" s="218">
        <f t="shared" si="0"/>
        <v>41306</v>
      </c>
      <c r="C33" s="216" t="s">
        <v>1510</v>
      </c>
    </row>
    <row r="34" spans="1:3">
      <c r="A34" s="216" t="s">
        <v>1545</v>
      </c>
      <c r="B34" s="218">
        <f t="shared" si="0"/>
        <v>41671</v>
      </c>
      <c r="C34" s="216" t="s">
        <v>1544</v>
      </c>
    </row>
    <row r="35" spans="1:3">
      <c r="A35" s="216" t="s">
        <v>1525</v>
      </c>
      <c r="B35" s="218">
        <f t="shared" si="0"/>
        <v>41883</v>
      </c>
      <c r="C35" s="216" t="s">
        <v>1524</v>
      </c>
    </row>
    <row r="36" spans="1:3">
      <c r="A36" s="216" t="s">
        <v>1521</v>
      </c>
      <c r="B36" s="218">
        <f t="shared" si="0"/>
        <v>41791</v>
      </c>
      <c r="C36" s="216" t="s">
        <v>1520</v>
      </c>
    </row>
    <row r="37" spans="1:3">
      <c r="A37" s="216" t="s">
        <v>1507</v>
      </c>
      <c r="B37" s="218">
        <f t="shared" si="0"/>
        <v>41913</v>
      </c>
      <c r="C37" s="216" t="s">
        <v>1506</v>
      </c>
    </row>
    <row r="38" spans="1:3">
      <c r="A38" s="216" t="s">
        <v>1521</v>
      </c>
      <c r="B38" s="218">
        <f t="shared" si="0"/>
        <v>41791</v>
      </c>
      <c r="C38" s="216" t="s">
        <v>1520</v>
      </c>
    </row>
    <row r="39" spans="1:3">
      <c r="A39" s="216" t="s">
        <v>1523</v>
      </c>
      <c r="B39" s="218">
        <f t="shared" si="0"/>
        <v>41395</v>
      </c>
      <c r="C39" s="216" t="s">
        <v>1522</v>
      </c>
    </row>
    <row r="40" spans="1:3">
      <c r="A40" s="216" t="s">
        <v>1503</v>
      </c>
      <c r="B40" s="218">
        <f t="shared" si="0"/>
        <v>41548</v>
      </c>
      <c r="C40" s="216" t="s">
        <v>1502</v>
      </c>
    </row>
    <row r="41" spans="1:3">
      <c r="A41" s="216" t="s">
        <v>1529</v>
      </c>
      <c r="B41" s="218">
        <f t="shared" si="0"/>
        <v>41821</v>
      </c>
      <c r="C41" s="216" t="s">
        <v>1528</v>
      </c>
    </row>
    <row r="42" spans="1:3">
      <c r="A42" s="216" t="s">
        <v>1509</v>
      </c>
      <c r="B42" s="218">
        <f t="shared" si="0"/>
        <v>41609</v>
      </c>
      <c r="C42" s="216" t="s">
        <v>1508</v>
      </c>
    </row>
    <row r="43" spans="1:3">
      <c r="A43" s="216" t="s">
        <v>1499</v>
      </c>
      <c r="B43" s="218">
        <f t="shared" si="0"/>
        <v>41487</v>
      </c>
      <c r="C43" s="216" t="s">
        <v>1498</v>
      </c>
    </row>
    <row r="44" spans="1:3">
      <c r="A44" s="216" t="s">
        <v>1513</v>
      </c>
      <c r="B44" s="218">
        <f t="shared" si="0"/>
        <v>41579</v>
      </c>
      <c r="C44" s="216" t="s">
        <v>1512</v>
      </c>
    </row>
    <row r="45" spans="1:3">
      <c r="A45" s="216" t="s">
        <v>1539</v>
      </c>
      <c r="B45" s="218">
        <f t="shared" si="0"/>
        <v>41852</v>
      </c>
      <c r="C45" s="216" t="s">
        <v>1538</v>
      </c>
    </row>
    <row r="46" spans="1:3">
      <c r="A46" s="216" t="s">
        <v>1537</v>
      </c>
      <c r="B46" s="218">
        <f t="shared" si="0"/>
        <v>41640</v>
      </c>
      <c r="C46" s="216" t="s">
        <v>1536</v>
      </c>
    </row>
    <row r="47" spans="1:3">
      <c r="A47" s="216" t="s">
        <v>1503</v>
      </c>
      <c r="B47" s="218">
        <f t="shared" si="0"/>
        <v>41548</v>
      </c>
      <c r="C47" s="216" t="s">
        <v>1502</v>
      </c>
    </row>
    <row r="48" spans="1:3">
      <c r="A48" s="216" t="s">
        <v>1535</v>
      </c>
      <c r="B48" s="218">
        <f t="shared" si="0"/>
        <v>41518</v>
      </c>
      <c r="C48" s="216" t="s">
        <v>1534</v>
      </c>
    </row>
    <row r="49" spans="1:3">
      <c r="A49" s="216" t="s">
        <v>1537</v>
      </c>
      <c r="B49" s="218">
        <f t="shared" si="0"/>
        <v>41640</v>
      </c>
      <c r="C49" s="216" t="s">
        <v>1536</v>
      </c>
    </row>
    <row r="50" spans="1:3">
      <c r="A50" s="216" t="s">
        <v>1515</v>
      </c>
      <c r="B50" s="218">
        <f t="shared" si="0"/>
        <v>41456</v>
      </c>
      <c r="C50" s="216" t="s">
        <v>1514</v>
      </c>
    </row>
    <row r="51" spans="1:3">
      <c r="A51" s="216" t="s">
        <v>1515</v>
      </c>
      <c r="B51" s="218">
        <f t="shared" si="0"/>
        <v>41456</v>
      </c>
      <c r="C51" s="216" t="s">
        <v>1514</v>
      </c>
    </row>
    <row r="52" spans="1:3">
      <c r="A52" s="216" t="s">
        <v>1515</v>
      </c>
      <c r="B52" s="218">
        <f t="shared" si="0"/>
        <v>41456</v>
      </c>
      <c r="C52" s="216" t="s">
        <v>1514</v>
      </c>
    </row>
    <row r="53" spans="1:3">
      <c r="A53" s="216" t="s">
        <v>1503</v>
      </c>
      <c r="B53" s="218">
        <f t="shared" si="0"/>
        <v>41548</v>
      </c>
      <c r="C53" s="216" t="s">
        <v>1502</v>
      </c>
    </row>
    <row r="54" spans="1:3">
      <c r="A54" s="216" t="s">
        <v>1499</v>
      </c>
      <c r="B54" s="218">
        <f t="shared" si="0"/>
        <v>41487</v>
      </c>
      <c r="C54" s="216" t="s">
        <v>1498</v>
      </c>
    </row>
    <row r="55" spans="1:3">
      <c r="A55" s="216" t="s">
        <v>1505</v>
      </c>
      <c r="B55" s="218">
        <f t="shared" si="0"/>
        <v>41365</v>
      </c>
      <c r="C55" s="216" t="s">
        <v>1504</v>
      </c>
    </row>
    <row r="56" spans="1:3">
      <c r="A56" s="216" t="s">
        <v>1505</v>
      </c>
      <c r="B56" s="218">
        <f t="shared" si="0"/>
        <v>41365</v>
      </c>
      <c r="C56" s="216" t="s">
        <v>1504</v>
      </c>
    </row>
    <row r="57" spans="1:3">
      <c r="A57" s="216" t="s">
        <v>1499</v>
      </c>
      <c r="B57" s="218">
        <f t="shared" si="0"/>
        <v>41487</v>
      </c>
      <c r="C57" s="216" t="s">
        <v>1498</v>
      </c>
    </row>
    <row r="58" spans="1:3">
      <c r="A58" s="216" t="s">
        <v>1501</v>
      </c>
      <c r="B58" s="218">
        <f t="shared" si="0"/>
        <v>41334</v>
      </c>
      <c r="C58" s="216" t="s">
        <v>1500</v>
      </c>
    </row>
    <row r="59" spans="1:3">
      <c r="A59" s="216" t="s">
        <v>1517</v>
      </c>
      <c r="B59" s="218">
        <f t="shared" si="0"/>
        <v>41426</v>
      </c>
      <c r="C59" s="216" t="s">
        <v>1516</v>
      </c>
    </row>
    <row r="60" spans="1:3">
      <c r="A60" s="216" t="s">
        <v>1539</v>
      </c>
      <c r="B60" s="218">
        <f t="shared" si="0"/>
        <v>41852</v>
      </c>
      <c r="C60" s="216" t="s">
        <v>1538</v>
      </c>
    </row>
    <row r="61" spans="1:3">
      <c r="A61" s="216" t="s">
        <v>1521</v>
      </c>
      <c r="B61" s="218">
        <f t="shared" si="0"/>
        <v>41791</v>
      </c>
      <c r="C61" s="216" t="s">
        <v>1520</v>
      </c>
    </row>
    <row r="62" spans="1:3">
      <c r="A62" s="216" t="s">
        <v>1517</v>
      </c>
      <c r="B62" s="218">
        <f t="shared" si="0"/>
        <v>41426</v>
      </c>
      <c r="C62" s="216" t="s">
        <v>1516</v>
      </c>
    </row>
    <row r="63" spans="1:3">
      <c r="A63" s="216" t="s">
        <v>1537</v>
      </c>
      <c r="B63" s="218">
        <f t="shared" si="0"/>
        <v>41640</v>
      </c>
      <c r="C63" s="216" t="s">
        <v>1536</v>
      </c>
    </row>
    <row r="64" spans="1:3">
      <c r="A64" s="216" t="s">
        <v>1519</v>
      </c>
      <c r="B64" s="218">
        <f t="shared" si="0"/>
        <v>41974</v>
      </c>
      <c r="C64" s="216" t="s">
        <v>1518</v>
      </c>
    </row>
    <row r="65" spans="1:3">
      <c r="A65" s="216" t="s">
        <v>1531</v>
      </c>
      <c r="B65" s="218">
        <f t="shared" si="0"/>
        <v>41760</v>
      </c>
      <c r="C65" s="216" t="s">
        <v>1530</v>
      </c>
    </row>
    <row r="66" spans="1:3">
      <c r="A66" s="216" t="s">
        <v>1533</v>
      </c>
      <c r="B66" s="218">
        <f t="shared" si="0"/>
        <v>41699</v>
      </c>
      <c r="C66" s="216" t="s">
        <v>1532</v>
      </c>
    </row>
    <row r="67" spans="1:3">
      <c r="A67" s="216" t="s">
        <v>1533</v>
      </c>
      <c r="B67" s="218">
        <f t="shared" ref="B67:B130" si="1">DATE(RIGHT(A67,4),LEFT(A67,2),1)</f>
        <v>41699</v>
      </c>
      <c r="C67" s="216" t="s">
        <v>1532</v>
      </c>
    </row>
    <row r="68" spans="1:3">
      <c r="A68" s="216" t="s">
        <v>1535</v>
      </c>
      <c r="B68" s="218">
        <f t="shared" si="1"/>
        <v>41518</v>
      </c>
      <c r="C68" s="216" t="s">
        <v>1534</v>
      </c>
    </row>
    <row r="69" spans="1:3">
      <c r="A69" s="216" t="s">
        <v>1545</v>
      </c>
      <c r="B69" s="218">
        <f t="shared" si="1"/>
        <v>41671</v>
      </c>
      <c r="C69" s="216" t="s">
        <v>1544</v>
      </c>
    </row>
    <row r="70" spans="1:3">
      <c r="A70" s="216" t="s">
        <v>1537</v>
      </c>
      <c r="B70" s="218">
        <f t="shared" si="1"/>
        <v>41640</v>
      </c>
      <c r="C70" s="216" t="s">
        <v>1536</v>
      </c>
    </row>
    <row r="71" spans="1:3">
      <c r="A71" s="216" t="s">
        <v>1515</v>
      </c>
      <c r="B71" s="218">
        <f t="shared" si="1"/>
        <v>41456</v>
      </c>
      <c r="C71" s="216" t="s">
        <v>1514</v>
      </c>
    </row>
    <row r="72" spans="1:3">
      <c r="A72" s="216" t="s">
        <v>1535</v>
      </c>
      <c r="B72" s="218">
        <f t="shared" si="1"/>
        <v>41518</v>
      </c>
      <c r="C72" s="216" t="s">
        <v>1534</v>
      </c>
    </row>
    <row r="73" spans="1:3">
      <c r="A73" s="216" t="s">
        <v>1505</v>
      </c>
      <c r="B73" s="218">
        <f t="shared" si="1"/>
        <v>41365</v>
      </c>
      <c r="C73" s="216" t="s">
        <v>1504</v>
      </c>
    </row>
    <row r="74" spans="1:3">
      <c r="A74" s="216" t="s">
        <v>1537</v>
      </c>
      <c r="B74" s="218">
        <f t="shared" si="1"/>
        <v>41640</v>
      </c>
      <c r="C74" s="216" t="s">
        <v>1536</v>
      </c>
    </row>
    <row r="75" spans="1:3">
      <c r="A75" s="216" t="s">
        <v>1541</v>
      </c>
      <c r="B75" s="218">
        <f t="shared" si="1"/>
        <v>41275</v>
      </c>
      <c r="C75" s="216" t="s">
        <v>1540</v>
      </c>
    </row>
    <row r="76" spans="1:3">
      <c r="A76" s="216" t="s">
        <v>1539</v>
      </c>
      <c r="B76" s="218">
        <f t="shared" si="1"/>
        <v>41852</v>
      </c>
      <c r="C76" s="216" t="s">
        <v>1538</v>
      </c>
    </row>
    <row r="77" spans="1:3">
      <c r="A77" s="216" t="s">
        <v>1515</v>
      </c>
      <c r="B77" s="218">
        <f t="shared" si="1"/>
        <v>41456</v>
      </c>
      <c r="C77" s="216" t="s">
        <v>1514</v>
      </c>
    </row>
    <row r="78" spans="1:3">
      <c r="A78" s="216" t="s">
        <v>1543</v>
      </c>
      <c r="B78" s="218">
        <f t="shared" si="1"/>
        <v>41944</v>
      </c>
      <c r="C78" s="216" t="s">
        <v>1542</v>
      </c>
    </row>
    <row r="79" spans="1:3">
      <c r="A79" s="216" t="s">
        <v>1541</v>
      </c>
      <c r="B79" s="218">
        <f t="shared" si="1"/>
        <v>41275</v>
      </c>
      <c r="C79" s="216" t="s">
        <v>1540</v>
      </c>
    </row>
    <row r="80" spans="1:3">
      <c r="A80" s="216" t="s">
        <v>1529</v>
      </c>
      <c r="B80" s="218">
        <f t="shared" si="1"/>
        <v>41821</v>
      </c>
      <c r="C80" s="216" t="s">
        <v>1528</v>
      </c>
    </row>
    <row r="81" spans="1:3">
      <c r="A81" s="216" t="s">
        <v>1511</v>
      </c>
      <c r="B81" s="218">
        <f t="shared" si="1"/>
        <v>41306</v>
      </c>
      <c r="C81" s="216" t="s">
        <v>1510</v>
      </c>
    </row>
    <row r="82" spans="1:3">
      <c r="A82" s="216" t="s">
        <v>1535</v>
      </c>
      <c r="B82" s="218">
        <f t="shared" si="1"/>
        <v>41518</v>
      </c>
      <c r="C82" s="216" t="s">
        <v>1534</v>
      </c>
    </row>
    <row r="83" spans="1:3">
      <c r="A83" s="216" t="s">
        <v>1513</v>
      </c>
      <c r="B83" s="218">
        <f t="shared" si="1"/>
        <v>41579</v>
      </c>
      <c r="C83" s="216" t="s">
        <v>1512</v>
      </c>
    </row>
    <row r="84" spans="1:3">
      <c r="A84" s="216" t="s">
        <v>1535</v>
      </c>
      <c r="B84" s="218">
        <f t="shared" si="1"/>
        <v>41518</v>
      </c>
      <c r="C84" s="216" t="s">
        <v>1534</v>
      </c>
    </row>
    <row r="85" spans="1:3">
      <c r="A85" s="216" t="s">
        <v>1507</v>
      </c>
      <c r="B85" s="218">
        <f t="shared" si="1"/>
        <v>41913</v>
      </c>
      <c r="C85" s="216" t="s">
        <v>1506</v>
      </c>
    </row>
    <row r="86" spans="1:3">
      <c r="A86" s="216" t="s">
        <v>1505</v>
      </c>
      <c r="B86" s="218">
        <f t="shared" si="1"/>
        <v>41365</v>
      </c>
      <c r="C86" s="216" t="s">
        <v>1504</v>
      </c>
    </row>
    <row r="87" spans="1:3">
      <c r="A87" s="216" t="s">
        <v>1529</v>
      </c>
      <c r="B87" s="218">
        <f t="shared" si="1"/>
        <v>41821</v>
      </c>
      <c r="C87" s="216" t="s">
        <v>1528</v>
      </c>
    </row>
    <row r="88" spans="1:3">
      <c r="A88" s="216" t="s">
        <v>1543</v>
      </c>
      <c r="B88" s="218">
        <f t="shared" si="1"/>
        <v>41944</v>
      </c>
      <c r="C88" s="216" t="s">
        <v>1542</v>
      </c>
    </row>
    <row r="89" spans="1:3">
      <c r="A89" s="216" t="s">
        <v>1505</v>
      </c>
      <c r="B89" s="218">
        <f t="shared" si="1"/>
        <v>41365</v>
      </c>
      <c r="C89" s="216" t="s">
        <v>1504</v>
      </c>
    </row>
    <row r="90" spans="1:3">
      <c r="A90" s="216" t="s">
        <v>1503</v>
      </c>
      <c r="B90" s="218">
        <f t="shared" si="1"/>
        <v>41548</v>
      </c>
      <c r="C90" s="216" t="s">
        <v>1502</v>
      </c>
    </row>
    <row r="91" spans="1:3">
      <c r="A91" s="216" t="s">
        <v>1501</v>
      </c>
      <c r="B91" s="218">
        <f t="shared" si="1"/>
        <v>41334</v>
      </c>
      <c r="C91" s="216" t="s">
        <v>1500</v>
      </c>
    </row>
    <row r="92" spans="1:3">
      <c r="A92" s="216" t="s">
        <v>1519</v>
      </c>
      <c r="B92" s="218">
        <f t="shared" si="1"/>
        <v>41974</v>
      </c>
      <c r="C92" s="216" t="s">
        <v>1518</v>
      </c>
    </row>
    <row r="93" spans="1:3">
      <c r="A93" s="216" t="s">
        <v>1531</v>
      </c>
      <c r="B93" s="218">
        <f t="shared" si="1"/>
        <v>41760</v>
      </c>
      <c r="C93" s="216" t="s">
        <v>1530</v>
      </c>
    </row>
    <row r="94" spans="1:3">
      <c r="A94" s="216" t="s">
        <v>1539</v>
      </c>
      <c r="B94" s="218">
        <f t="shared" si="1"/>
        <v>41852</v>
      </c>
      <c r="C94" s="216" t="s">
        <v>1538</v>
      </c>
    </row>
    <row r="95" spans="1:3">
      <c r="A95" s="216" t="s">
        <v>1541</v>
      </c>
      <c r="B95" s="218">
        <f t="shared" si="1"/>
        <v>41275</v>
      </c>
      <c r="C95" s="216" t="s">
        <v>1540</v>
      </c>
    </row>
    <row r="96" spans="1:3">
      <c r="A96" s="216" t="s">
        <v>1515</v>
      </c>
      <c r="B96" s="218">
        <f t="shared" si="1"/>
        <v>41456</v>
      </c>
      <c r="C96" s="216" t="s">
        <v>1514</v>
      </c>
    </row>
    <row r="97" spans="1:3">
      <c r="A97" s="216" t="s">
        <v>1513</v>
      </c>
      <c r="B97" s="218">
        <f t="shared" si="1"/>
        <v>41579</v>
      </c>
      <c r="C97" s="216" t="s">
        <v>1512</v>
      </c>
    </row>
    <row r="98" spans="1:3">
      <c r="A98" s="216" t="s">
        <v>1523</v>
      </c>
      <c r="B98" s="218">
        <f t="shared" si="1"/>
        <v>41395</v>
      </c>
      <c r="C98" s="216" t="s">
        <v>1522</v>
      </c>
    </row>
    <row r="99" spans="1:3">
      <c r="A99" s="216" t="s">
        <v>1531</v>
      </c>
      <c r="B99" s="218">
        <f t="shared" si="1"/>
        <v>41760</v>
      </c>
      <c r="C99" s="216" t="s">
        <v>1530</v>
      </c>
    </row>
    <row r="100" spans="1:3">
      <c r="A100" s="216" t="s">
        <v>1529</v>
      </c>
      <c r="B100" s="218">
        <f t="shared" si="1"/>
        <v>41821</v>
      </c>
      <c r="C100" s="216" t="s">
        <v>1528</v>
      </c>
    </row>
    <row r="101" spans="1:3">
      <c r="A101" s="216" t="s">
        <v>1503</v>
      </c>
      <c r="B101" s="218">
        <f t="shared" si="1"/>
        <v>41548</v>
      </c>
      <c r="C101" s="216" t="s">
        <v>1502</v>
      </c>
    </row>
    <row r="102" spans="1:3">
      <c r="A102" s="216" t="s">
        <v>1513</v>
      </c>
      <c r="B102" s="218">
        <f t="shared" si="1"/>
        <v>41579</v>
      </c>
      <c r="C102" s="216" t="s">
        <v>1512</v>
      </c>
    </row>
    <row r="103" spans="1:3">
      <c r="A103" s="216" t="s">
        <v>1525</v>
      </c>
      <c r="B103" s="218">
        <f t="shared" si="1"/>
        <v>41883</v>
      </c>
      <c r="C103" s="216" t="s">
        <v>1524</v>
      </c>
    </row>
    <row r="104" spans="1:3">
      <c r="A104" s="216" t="s">
        <v>1501</v>
      </c>
      <c r="B104" s="218">
        <f t="shared" si="1"/>
        <v>41334</v>
      </c>
      <c r="C104" s="216" t="s">
        <v>1500</v>
      </c>
    </row>
    <row r="105" spans="1:3">
      <c r="A105" s="216" t="s">
        <v>1509</v>
      </c>
      <c r="B105" s="218">
        <f t="shared" si="1"/>
        <v>41609</v>
      </c>
      <c r="C105" s="216" t="s">
        <v>1508</v>
      </c>
    </row>
    <row r="106" spans="1:3">
      <c r="A106" s="216" t="s">
        <v>1513</v>
      </c>
      <c r="B106" s="218">
        <f t="shared" si="1"/>
        <v>41579</v>
      </c>
      <c r="C106" s="216" t="s">
        <v>1512</v>
      </c>
    </row>
    <row r="107" spans="1:3">
      <c r="A107" s="216" t="s">
        <v>1535</v>
      </c>
      <c r="B107" s="218">
        <f t="shared" si="1"/>
        <v>41518</v>
      </c>
      <c r="C107" s="216" t="s">
        <v>1534</v>
      </c>
    </row>
    <row r="108" spans="1:3">
      <c r="A108" s="216" t="s">
        <v>1545</v>
      </c>
      <c r="B108" s="218">
        <f t="shared" si="1"/>
        <v>41671</v>
      </c>
      <c r="C108" s="216" t="s">
        <v>1544</v>
      </c>
    </row>
    <row r="109" spans="1:3">
      <c r="A109" s="216" t="s">
        <v>1503</v>
      </c>
      <c r="B109" s="218">
        <f t="shared" si="1"/>
        <v>41548</v>
      </c>
      <c r="C109" s="216" t="s">
        <v>1502</v>
      </c>
    </row>
    <row r="110" spans="1:3">
      <c r="A110" s="216" t="s">
        <v>1545</v>
      </c>
      <c r="B110" s="218">
        <f t="shared" si="1"/>
        <v>41671</v>
      </c>
      <c r="C110" s="216" t="s">
        <v>1544</v>
      </c>
    </row>
    <row r="111" spans="1:3">
      <c r="A111" s="216" t="s">
        <v>1543</v>
      </c>
      <c r="B111" s="218">
        <f t="shared" si="1"/>
        <v>41944</v>
      </c>
      <c r="C111" s="216" t="s">
        <v>1542</v>
      </c>
    </row>
    <row r="112" spans="1:3">
      <c r="A112" s="216" t="s">
        <v>1535</v>
      </c>
      <c r="B112" s="218">
        <f t="shared" si="1"/>
        <v>41518</v>
      </c>
      <c r="C112" s="216" t="s">
        <v>1534</v>
      </c>
    </row>
    <row r="113" spans="1:3">
      <c r="A113" s="216" t="s">
        <v>1539</v>
      </c>
      <c r="B113" s="218">
        <f t="shared" si="1"/>
        <v>41852</v>
      </c>
      <c r="C113" s="216" t="s">
        <v>1538</v>
      </c>
    </row>
    <row r="114" spans="1:3">
      <c r="A114" s="216" t="s">
        <v>1529</v>
      </c>
      <c r="B114" s="218">
        <f t="shared" si="1"/>
        <v>41821</v>
      </c>
      <c r="C114" s="216" t="s">
        <v>1528</v>
      </c>
    </row>
    <row r="115" spans="1:3">
      <c r="A115" s="216" t="s">
        <v>1521</v>
      </c>
      <c r="B115" s="218">
        <f t="shared" si="1"/>
        <v>41791</v>
      </c>
      <c r="C115" s="216" t="s">
        <v>1520</v>
      </c>
    </row>
    <row r="116" spans="1:3">
      <c r="A116" s="216" t="s">
        <v>1521</v>
      </c>
      <c r="B116" s="218">
        <f t="shared" si="1"/>
        <v>41791</v>
      </c>
      <c r="C116" s="216" t="s">
        <v>1520</v>
      </c>
    </row>
    <row r="117" spans="1:3">
      <c r="A117" s="216" t="s">
        <v>1499</v>
      </c>
      <c r="B117" s="218">
        <f t="shared" si="1"/>
        <v>41487</v>
      </c>
      <c r="C117" s="216" t="s">
        <v>1498</v>
      </c>
    </row>
    <row r="118" spans="1:3">
      <c r="A118" s="216" t="s">
        <v>1505</v>
      </c>
      <c r="B118" s="218">
        <f t="shared" si="1"/>
        <v>41365</v>
      </c>
      <c r="C118" s="216" t="s">
        <v>1504</v>
      </c>
    </row>
    <row r="119" spans="1:3">
      <c r="A119" s="216" t="s">
        <v>1517</v>
      </c>
      <c r="B119" s="218">
        <f t="shared" si="1"/>
        <v>41426</v>
      </c>
      <c r="C119" s="216" t="s">
        <v>1516</v>
      </c>
    </row>
    <row r="120" spans="1:3">
      <c r="A120" s="216" t="s">
        <v>1503</v>
      </c>
      <c r="B120" s="218">
        <f t="shared" si="1"/>
        <v>41548</v>
      </c>
      <c r="C120" s="216" t="s">
        <v>1502</v>
      </c>
    </row>
    <row r="121" spans="1:3">
      <c r="A121" s="216" t="s">
        <v>1517</v>
      </c>
      <c r="B121" s="218">
        <f t="shared" si="1"/>
        <v>41426</v>
      </c>
      <c r="C121" s="216" t="s">
        <v>1516</v>
      </c>
    </row>
    <row r="122" spans="1:3">
      <c r="A122" s="216" t="s">
        <v>1543</v>
      </c>
      <c r="B122" s="218">
        <f t="shared" si="1"/>
        <v>41944</v>
      </c>
      <c r="C122" s="216" t="s">
        <v>1542</v>
      </c>
    </row>
    <row r="123" spans="1:3">
      <c r="A123" s="216" t="s">
        <v>1535</v>
      </c>
      <c r="B123" s="218">
        <f t="shared" si="1"/>
        <v>41518</v>
      </c>
      <c r="C123" s="216" t="s">
        <v>1534</v>
      </c>
    </row>
    <row r="124" spans="1:3">
      <c r="A124" s="216" t="s">
        <v>1529</v>
      </c>
      <c r="B124" s="218">
        <f t="shared" si="1"/>
        <v>41821</v>
      </c>
      <c r="C124" s="216" t="s">
        <v>1528</v>
      </c>
    </row>
    <row r="125" spans="1:3">
      <c r="A125" s="216" t="s">
        <v>1501</v>
      </c>
      <c r="B125" s="218">
        <f t="shared" si="1"/>
        <v>41334</v>
      </c>
      <c r="C125" s="216" t="s">
        <v>1500</v>
      </c>
    </row>
    <row r="126" spans="1:3">
      <c r="A126" s="216" t="s">
        <v>1541</v>
      </c>
      <c r="B126" s="218">
        <f t="shared" si="1"/>
        <v>41275</v>
      </c>
      <c r="C126" s="216" t="s">
        <v>1540</v>
      </c>
    </row>
    <row r="127" spans="1:3">
      <c r="A127" s="216" t="s">
        <v>1513</v>
      </c>
      <c r="B127" s="218">
        <f t="shared" si="1"/>
        <v>41579</v>
      </c>
      <c r="C127" s="216" t="s">
        <v>1512</v>
      </c>
    </row>
    <row r="128" spans="1:3">
      <c r="A128" s="216" t="s">
        <v>1507</v>
      </c>
      <c r="B128" s="218">
        <f t="shared" si="1"/>
        <v>41913</v>
      </c>
      <c r="C128" s="216" t="s">
        <v>1506</v>
      </c>
    </row>
    <row r="129" spans="1:3">
      <c r="A129" s="216" t="s">
        <v>1523</v>
      </c>
      <c r="B129" s="218">
        <f t="shared" si="1"/>
        <v>41395</v>
      </c>
      <c r="C129" s="216" t="s">
        <v>1522</v>
      </c>
    </row>
    <row r="130" spans="1:3">
      <c r="A130" s="216" t="s">
        <v>1509</v>
      </c>
      <c r="B130" s="218">
        <f t="shared" si="1"/>
        <v>41609</v>
      </c>
      <c r="C130" s="216" t="s">
        <v>1508</v>
      </c>
    </row>
    <row r="131" spans="1:3">
      <c r="A131" s="216" t="s">
        <v>1531</v>
      </c>
      <c r="B131" s="218">
        <f t="shared" ref="B131:B194" si="2">DATE(RIGHT(A131,4),LEFT(A131,2),1)</f>
        <v>41760</v>
      </c>
      <c r="C131" s="216" t="s">
        <v>1530</v>
      </c>
    </row>
    <row r="132" spans="1:3">
      <c r="A132" s="216" t="s">
        <v>1503</v>
      </c>
      <c r="B132" s="218">
        <f t="shared" si="2"/>
        <v>41548</v>
      </c>
      <c r="C132" s="216" t="s">
        <v>1502</v>
      </c>
    </row>
    <row r="133" spans="1:3">
      <c r="A133" s="216" t="s">
        <v>1513</v>
      </c>
      <c r="B133" s="218">
        <f t="shared" si="2"/>
        <v>41579</v>
      </c>
      <c r="C133" s="216" t="s">
        <v>1512</v>
      </c>
    </row>
    <row r="134" spans="1:3">
      <c r="A134" s="216" t="s">
        <v>1503</v>
      </c>
      <c r="B134" s="218">
        <f t="shared" si="2"/>
        <v>41548</v>
      </c>
      <c r="C134" s="216" t="s">
        <v>1502</v>
      </c>
    </row>
    <row r="135" spans="1:3">
      <c r="A135" s="216" t="s">
        <v>1525</v>
      </c>
      <c r="B135" s="218">
        <f t="shared" si="2"/>
        <v>41883</v>
      </c>
      <c r="C135" s="216" t="s">
        <v>1524</v>
      </c>
    </row>
    <row r="136" spans="1:3">
      <c r="A136" s="216" t="s">
        <v>1521</v>
      </c>
      <c r="B136" s="218">
        <f t="shared" si="2"/>
        <v>41791</v>
      </c>
      <c r="C136" s="216" t="s">
        <v>1520</v>
      </c>
    </row>
    <row r="137" spans="1:3">
      <c r="A137" s="216" t="s">
        <v>1527</v>
      </c>
      <c r="B137" s="218">
        <f t="shared" si="2"/>
        <v>41730</v>
      </c>
      <c r="C137" s="216" t="s">
        <v>1526</v>
      </c>
    </row>
    <row r="138" spans="1:3">
      <c r="A138" s="216" t="s">
        <v>1543</v>
      </c>
      <c r="B138" s="218">
        <f t="shared" si="2"/>
        <v>41944</v>
      </c>
      <c r="C138" s="216" t="s">
        <v>1542</v>
      </c>
    </row>
    <row r="139" spans="1:3">
      <c r="A139" s="216" t="s">
        <v>1533</v>
      </c>
      <c r="B139" s="218">
        <f t="shared" si="2"/>
        <v>41699</v>
      </c>
      <c r="C139" s="216" t="s">
        <v>1532</v>
      </c>
    </row>
    <row r="140" spans="1:3">
      <c r="A140" s="216" t="s">
        <v>1507</v>
      </c>
      <c r="B140" s="218">
        <f t="shared" si="2"/>
        <v>41913</v>
      </c>
      <c r="C140" s="216" t="s">
        <v>1506</v>
      </c>
    </row>
    <row r="141" spans="1:3">
      <c r="A141" s="216" t="s">
        <v>1525</v>
      </c>
      <c r="B141" s="218">
        <f t="shared" si="2"/>
        <v>41883</v>
      </c>
      <c r="C141" s="216" t="s">
        <v>1524</v>
      </c>
    </row>
    <row r="142" spans="1:3">
      <c r="A142" s="216" t="s">
        <v>1509</v>
      </c>
      <c r="B142" s="218">
        <f t="shared" si="2"/>
        <v>41609</v>
      </c>
      <c r="C142" s="216" t="s">
        <v>1508</v>
      </c>
    </row>
    <row r="143" spans="1:3">
      <c r="A143" s="216" t="s">
        <v>1531</v>
      </c>
      <c r="B143" s="218">
        <f t="shared" si="2"/>
        <v>41760</v>
      </c>
      <c r="C143" s="216" t="s">
        <v>1530</v>
      </c>
    </row>
    <row r="144" spans="1:3">
      <c r="A144" s="216" t="s">
        <v>1525</v>
      </c>
      <c r="B144" s="218">
        <f t="shared" si="2"/>
        <v>41883</v>
      </c>
      <c r="C144" s="216" t="s">
        <v>1524</v>
      </c>
    </row>
    <row r="145" spans="1:3">
      <c r="A145" s="216" t="s">
        <v>1527</v>
      </c>
      <c r="B145" s="218">
        <f t="shared" si="2"/>
        <v>41730</v>
      </c>
      <c r="C145" s="216" t="s">
        <v>1526</v>
      </c>
    </row>
    <row r="146" spans="1:3">
      <c r="A146" s="216" t="s">
        <v>1521</v>
      </c>
      <c r="B146" s="218">
        <f t="shared" si="2"/>
        <v>41791</v>
      </c>
      <c r="C146" s="216" t="s">
        <v>1520</v>
      </c>
    </row>
    <row r="147" spans="1:3">
      <c r="A147" s="216" t="s">
        <v>1525</v>
      </c>
      <c r="B147" s="218">
        <f t="shared" si="2"/>
        <v>41883</v>
      </c>
      <c r="C147" s="216" t="s">
        <v>1524</v>
      </c>
    </row>
    <row r="148" spans="1:3">
      <c r="A148" s="216" t="s">
        <v>1545</v>
      </c>
      <c r="B148" s="218">
        <f t="shared" si="2"/>
        <v>41671</v>
      </c>
      <c r="C148" s="216" t="s">
        <v>1544</v>
      </c>
    </row>
    <row r="149" spans="1:3">
      <c r="A149" s="216" t="s">
        <v>1531</v>
      </c>
      <c r="B149" s="218">
        <f t="shared" si="2"/>
        <v>41760</v>
      </c>
      <c r="C149" s="216" t="s">
        <v>1530</v>
      </c>
    </row>
    <row r="150" spans="1:3">
      <c r="A150" s="216" t="s">
        <v>1519</v>
      </c>
      <c r="B150" s="218">
        <f t="shared" si="2"/>
        <v>41974</v>
      </c>
      <c r="C150" s="216" t="s">
        <v>1518</v>
      </c>
    </row>
    <row r="151" spans="1:3">
      <c r="A151" s="216" t="s">
        <v>1519</v>
      </c>
      <c r="B151" s="218">
        <f t="shared" si="2"/>
        <v>41974</v>
      </c>
      <c r="C151" s="216" t="s">
        <v>1518</v>
      </c>
    </row>
    <row r="152" spans="1:3">
      <c r="A152" s="216" t="s">
        <v>1517</v>
      </c>
      <c r="B152" s="218">
        <f t="shared" si="2"/>
        <v>41426</v>
      </c>
      <c r="C152" s="216" t="s">
        <v>1516</v>
      </c>
    </row>
    <row r="153" spans="1:3">
      <c r="A153" s="216" t="s">
        <v>1537</v>
      </c>
      <c r="B153" s="218">
        <f t="shared" si="2"/>
        <v>41640</v>
      </c>
      <c r="C153" s="216" t="s">
        <v>1536</v>
      </c>
    </row>
    <row r="154" spans="1:3">
      <c r="A154" s="216" t="s">
        <v>1523</v>
      </c>
      <c r="B154" s="218">
        <f t="shared" si="2"/>
        <v>41395</v>
      </c>
      <c r="C154" s="216" t="s">
        <v>1522</v>
      </c>
    </row>
    <row r="155" spans="1:3">
      <c r="A155" s="216" t="s">
        <v>1545</v>
      </c>
      <c r="B155" s="218">
        <f t="shared" si="2"/>
        <v>41671</v>
      </c>
      <c r="C155" s="216" t="s">
        <v>1544</v>
      </c>
    </row>
    <row r="156" spans="1:3">
      <c r="A156" s="216" t="s">
        <v>1503</v>
      </c>
      <c r="B156" s="218">
        <f t="shared" si="2"/>
        <v>41548</v>
      </c>
      <c r="C156" s="216" t="s">
        <v>1502</v>
      </c>
    </row>
    <row r="157" spans="1:3">
      <c r="A157" s="216" t="s">
        <v>1503</v>
      </c>
      <c r="B157" s="218">
        <f t="shared" si="2"/>
        <v>41548</v>
      </c>
      <c r="C157" s="216" t="s">
        <v>1502</v>
      </c>
    </row>
    <row r="158" spans="1:3">
      <c r="A158" s="216" t="s">
        <v>1521</v>
      </c>
      <c r="B158" s="218">
        <f t="shared" si="2"/>
        <v>41791</v>
      </c>
      <c r="C158" s="216" t="s">
        <v>1520</v>
      </c>
    </row>
    <row r="159" spans="1:3">
      <c r="A159" s="216" t="s">
        <v>1527</v>
      </c>
      <c r="B159" s="218">
        <f t="shared" si="2"/>
        <v>41730</v>
      </c>
      <c r="C159" s="216" t="s">
        <v>1526</v>
      </c>
    </row>
    <row r="160" spans="1:3">
      <c r="A160" s="216" t="s">
        <v>1517</v>
      </c>
      <c r="B160" s="218">
        <f t="shared" si="2"/>
        <v>41426</v>
      </c>
      <c r="C160" s="216" t="s">
        <v>1516</v>
      </c>
    </row>
    <row r="161" spans="1:3">
      <c r="A161" s="216" t="s">
        <v>1499</v>
      </c>
      <c r="B161" s="218">
        <f t="shared" si="2"/>
        <v>41487</v>
      </c>
      <c r="C161" s="216" t="s">
        <v>1498</v>
      </c>
    </row>
    <row r="162" spans="1:3">
      <c r="A162" s="216" t="s">
        <v>1507</v>
      </c>
      <c r="B162" s="218">
        <f t="shared" si="2"/>
        <v>41913</v>
      </c>
      <c r="C162" s="216" t="s">
        <v>1506</v>
      </c>
    </row>
    <row r="163" spans="1:3">
      <c r="A163" s="216" t="s">
        <v>1503</v>
      </c>
      <c r="B163" s="218">
        <f t="shared" si="2"/>
        <v>41548</v>
      </c>
      <c r="C163" s="216" t="s">
        <v>1502</v>
      </c>
    </row>
    <row r="164" spans="1:3">
      <c r="A164" s="216" t="s">
        <v>1535</v>
      </c>
      <c r="B164" s="218">
        <f t="shared" si="2"/>
        <v>41518</v>
      </c>
      <c r="C164" s="216" t="s">
        <v>1534</v>
      </c>
    </row>
    <row r="165" spans="1:3">
      <c r="A165" s="216" t="s">
        <v>1513</v>
      </c>
      <c r="B165" s="218">
        <f t="shared" si="2"/>
        <v>41579</v>
      </c>
      <c r="C165" s="216" t="s">
        <v>1512</v>
      </c>
    </row>
    <row r="166" spans="1:3">
      <c r="A166" s="216" t="s">
        <v>1529</v>
      </c>
      <c r="B166" s="218">
        <f t="shared" si="2"/>
        <v>41821</v>
      </c>
      <c r="C166" s="216" t="s">
        <v>1528</v>
      </c>
    </row>
    <row r="167" spans="1:3">
      <c r="A167" s="216" t="s">
        <v>1509</v>
      </c>
      <c r="B167" s="218">
        <f t="shared" si="2"/>
        <v>41609</v>
      </c>
      <c r="C167" s="216" t="s">
        <v>1508</v>
      </c>
    </row>
    <row r="168" spans="1:3">
      <c r="A168" s="216" t="s">
        <v>1537</v>
      </c>
      <c r="B168" s="218">
        <f t="shared" si="2"/>
        <v>41640</v>
      </c>
      <c r="C168" s="216" t="s">
        <v>1536</v>
      </c>
    </row>
    <row r="169" spans="1:3">
      <c r="A169" s="216" t="s">
        <v>1529</v>
      </c>
      <c r="B169" s="218">
        <f t="shared" si="2"/>
        <v>41821</v>
      </c>
      <c r="C169" s="216" t="s">
        <v>1528</v>
      </c>
    </row>
    <row r="170" spans="1:3">
      <c r="A170" s="216" t="s">
        <v>1503</v>
      </c>
      <c r="B170" s="218">
        <f t="shared" si="2"/>
        <v>41548</v>
      </c>
      <c r="C170" s="216" t="s">
        <v>1502</v>
      </c>
    </row>
    <row r="171" spans="1:3">
      <c r="A171" s="216" t="s">
        <v>1515</v>
      </c>
      <c r="B171" s="218">
        <f t="shared" si="2"/>
        <v>41456</v>
      </c>
      <c r="C171" s="216" t="s">
        <v>1514</v>
      </c>
    </row>
    <row r="172" spans="1:3">
      <c r="A172" s="216" t="s">
        <v>1543</v>
      </c>
      <c r="B172" s="218">
        <f t="shared" si="2"/>
        <v>41944</v>
      </c>
      <c r="C172" s="216" t="s">
        <v>1542</v>
      </c>
    </row>
    <row r="173" spans="1:3">
      <c r="A173" s="216" t="s">
        <v>1537</v>
      </c>
      <c r="B173" s="218">
        <f t="shared" si="2"/>
        <v>41640</v>
      </c>
      <c r="C173" s="216" t="s">
        <v>1536</v>
      </c>
    </row>
    <row r="174" spans="1:3">
      <c r="A174" s="216" t="s">
        <v>1533</v>
      </c>
      <c r="B174" s="218">
        <f t="shared" si="2"/>
        <v>41699</v>
      </c>
      <c r="C174" s="216" t="s">
        <v>1532</v>
      </c>
    </row>
    <row r="175" spans="1:3">
      <c r="A175" s="216" t="s">
        <v>1527</v>
      </c>
      <c r="B175" s="218">
        <f t="shared" si="2"/>
        <v>41730</v>
      </c>
      <c r="C175" s="216" t="s">
        <v>1526</v>
      </c>
    </row>
    <row r="176" spans="1:3">
      <c r="A176" s="216" t="s">
        <v>1519</v>
      </c>
      <c r="B176" s="218">
        <f t="shared" si="2"/>
        <v>41974</v>
      </c>
      <c r="C176" s="216" t="s">
        <v>1518</v>
      </c>
    </row>
    <row r="177" spans="1:3">
      <c r="A177" s="216" t="s">
        <v>1511</v>
      </c>
      <c r="B177" s="218">
        <f t="shared" si="2"/>
        <v>41306</v>
      </c>
      <c r="C177" s="216" t="s">
        <v>1510</v>
      </c>
    </row>
    <row r="178" spans="1:3">
      <c r="A178" s="216" t="s">
        <v>1531</v>
      </c>
      <c r="B178" s="218">
        <f t="shared" si="2"/>
        <v>41760</v>
      </c>
      <c r="C178" s="216" t="s">
        <v>1530</v>
      </c>
    </row>
    <row r="179" spans="1:3">
      <c r="A179" s="216" t="s">
        <v>1517</v>
      </c>
      <c r="B179" s="218">
        <f t="shared" si="2"/>
        <v>41426</v>
      </c>
      <c r="C179" s="216" t="s">
        <v>1516</v>
      </c>
    </row>
    <row r="180" spans="1:3">
      <c r="A180" s="216" t="s">
        <v>1537</v>
      </c>
      <c r="B180" s="218">
        <f t="shared" si="2"/>
        <v>41640</v>
      </c>
      <c r="C180" s="216" t="s">
        <v>1536</v>
      </c>
    </row>
    <row r="181" spans="1:3">
      <c r="A181" s="216" t="s">
        <v>1499</v>
      </c>
      <c r="B181" s="218">
        <f t="shared" si="2"/>
        <v>41487</v>
      </c>
      <c r="C181" s="216" t="s">
        <v>1498</v>
      </c>
    </row>
    <row r="182" spans="1:3">
      <c r="A182" s="216" t="s">
        <v>1507</v>
      </c>
      <c r="B182" s="218">
        <f t="shared" si="2"/>
        <v>41913</v>
      </c>
      <c r="C182" s="216" t="s">
        <v>1506</v>
      </c>
    </row>
    <row r="183" spans="1:3">
      <c r="A183" s="216" t="s">
        <v>1509</v>
      </c>
      <c r="B183" s="218">
        <f t="shared" si="2"/>
        <v>41609</v>
      </c>
      <c r="C183" s="216" t="s">
        <v>1508</v>
      </c>
    </row>
    <row r="184" spans="1:3">
      <c r="A184" s="216" t="s">
        <v>1507</v>
      </c>
      <c r="B184" s="218">
        <f t="shared" si="2"/>
        <v>41913</v>
      </c>
      <c r="C184" s="216" t="s">
        <v>1506</v>
      </c>
    </row>
    <row r="185" spans="1:3">
      <c r="A185" s="216" t="s">
        <v>1531</v>
      </c>
      <c r="B185" s="218">
        <f t="shared" si="2"/>
        <v>41760</v>
      </c>
      <c r="C185" s="216" t="s">
        <v>1530</v>
      </c>
    </row>
    <row r="186" spans="1:3">
      <c r="A186" s="216" t="s">
        <v>1517</v>
      </c>
      <c r="B186" s="218">
        <f t="shared" si="2"/>
        <v>41426</v>
      </c>
      <c r="C186" s="216" t="s">
        <v>1516</v>
      </c>
    </row>
    <row r="187" spans="1:3">
      <c r="A187" s="216" t="s">
        <v>1539</v>
      </c>
      <c r="B187" s="218">
        <f t="shared" si="2"/>
        <v>41852</v>
      </c>
      <c r="C187" s="216" t="s">
        <v>1538</v>
      </c>
    </row>
    <row r="188" spans="1:3">
      <c r="A188" s="216" t="s">
        <v>1545</v>
      </c>
      <c r="B188" s="218">
        <f t="shared" si="2"/>
        <v>41671</v>
      </c>
      <c r="C188" s="216" t="s">
        <v>1544</v>
      </c>
    </row>
    <row r="189" spans="1:3">
      <c r="A189" s="216" t="s">
        <v>1501</v>
      </c>
      <c r="B189" s="218">
        <f t="shared" si="2"/>
        <v>41334</v>
      </c>
      <c r="C189" s="216" t="s">
        <v>1500</v>
      </c>
    </row>
    <row r="190" spans="1:3">
      <c r="A190" s="216" t="s">
        <v>1503</v>
      </c>
      <c r="B190" s="218">
        <f t="shared" si="2"/>
        <v>41548</v>
      </c>
      <c r="C190" s="216" t="s">
        <v>1502</v>
      </c>
    </row>
    <row r="191" spans="1:3">
      <c r="A191" s="216" t="s">
        <v>1545</v>
      </c>
      <c r="B191" s="218">
        <f t="shared" si="2"/>
        <v>41671</v>
      </c>
      <c r="C191" s="216" t="s">
        <v>1544</v>
      </c>
    </row>
    <row r="192" spans="1:3">
      <c r="A192" s="216" t="s">
        <v>1519</v>
      </c>
      <c r="B192" s="218">
        <f t="shared" si="2"/>
        <v>41974</v>
      </c>
      <c r="C192" s="216" t="s">
        <v>1518</v>
      </c>
    </row>
    <row r="193" spans="1:3">
      <c r="A193" s="216" t="s">
        <v>1529</v>
      </c>
      <c r="B193" s="218">
        <f t="shared" si="2"/>
        <v>41821</v>
      </c>
      <c r="C193" s="216" t="s">
        <v>1528</v>
      </c>
    </row>
    <row r="194" spans="1:3">
      <c r="A194" s="216" t="s">
        <v>1515</v>
      </c>
      <c r="B194" s="218">
        <f t="shared" si="2"/>
        <v>41456</v>
      </c>
      <c r="C194" s="216" t="s">
        <v>1514</v>
      </c>
    </row>
    <row r="195" spans="1:3">
      <c r="A195" s="216" t="s">
        <v>1511</v>
      </c>
      <c r="B195" s="218">
        <f t="shared" ref="B195:B258" si="3">DATE(RIGHT(A195,4),LEFT(A195,2),1)</f>
        <v>41306</v>
      </c>
      <c r="C195" s="216" t="s">
        <v>1510</v>
      </c>
    </row>
    <row r="196" spans="1:3">
      <c r="A196" s="216" t="s">
        <v>1527</v>
      </c>
      <c r="B196" s="218">
        <f t="shared" si="3"/>
        <v>41730</v>
      </c>
      <c r="C196" s="216" t="s">
        <v>1526</v>
      </c>
    </row>
    <row r="197" spans="1:3">
      <c r="A197" s="216" t="s">
        <v>1539</v>
      </c>
      <c r="B197" s="218">
        <f t="shared" si="3"/>
        <v>41852</v>
      </c>
      <c r="C197" s="216" t="s">
        <v>1538</v>
      </c>
    </row>
    <row r="198" spans="1:3">
      <c r="A198" s="216" t="s">
        <v>1515</v>
      </c>
      <c r="B198" s="218">
        <f t="shared" si="3"/>
        <v>41456</v>
      </c>
      <c r="C198" s="216" t="s">
        <v>1514</v>
      </c>
    </row>
    <row r="199" spans="1:3">
      <c r="A199" s="216" t="s">
        <v>1545</v>
      </c>
      <c r="B199" s="218">
        <f t="shared" si="3"/>
        <v>41671</v>
      </c>
      <c r="C199" s="216" t="s">
        <v>1544</v>
      </c>
    </row>
    <row r="200" spans="1:3">
      <c r="A200" s="216" t="s">
        <v>1525</v>
      </c>
      <c r="B200" s="218">
        <f t="shared" si="3"/>
        <v>41883</v>
      </c>
      <c r="C200" s="216" t="s">
        <v>1524</v>
      </c>
    </row>
    <row r="201" spans="1:3">
      <c r="A201" s="216" t="s">
        <v>1533</v>
      </c>
      <c r="B201" s="218">
        <f t="shared" si="3"/>
        <v>41699</v>
      </c>
      <c r="C201" s="216" t="s">
        <v>1532</v>
      </c>
    </row>
    <row r="202" spans="1:3">
      <c r="A202" s="216" t="s">
        <v>1545</v>
      </c>
      <c r="B202" s="218">
        <f t="shared" si="3"/>
        <v>41671</v>
      </c>
      <c r="C202" s="216" t="s">
        <v>1544</v>
      </c>
    </row>
    <row r="203" spans="1:3">
      <c r="A203" s="216" t="s">
        <v>1543</v>
      </c>
      <c r="B203" s="218">
        <f t="shared" si="3"/>
        <v>41944</v>
      </c>
      <c r="C203" s="216" t="s">
        <v>1542</v>
      </c>
    </row>
    <row r="204" spans="1:3">
      <c r="A204" s="216" t="s">
        <v>1541</v>
      </c>
      <c r="B204" s="218">
        <f t="shared" si="3"/>
        <v>41275</v>
      </c>
      <c r="C204" s="216" t="s">
        <v>1540</v>
      </c>
    </row>
    <row r="205" spans="1:3">
      <c r="A205" s="216" t="s">
        <v>1535</v>
      </c>
      <c r="B205" s="218">
        <f t="shared" si="3"/>
        <v>41518</v>
      </c>
      <c r="C205" s="216" t="s">
        <v>1534</v>
      </c>
    </row>
    <row r="206" spans="1:3">
      <c r="A206" s="216" t="s">
        <v>1543</v>
      </c>
      <c r="B206" s="218">
        <f t="shared" si="3"/>
        <v>41944</v>
      </c>
      <c r="C206" s="216" t="s">
        <v>1542</v>
      </c>
    </row>
    <row r="207" spans="1:3">
      <c r="A207" s="216" t="s">
        <v>1509</v>
      </c>
      <c r="B207" s="218">
        <f t="shared" si="3"/>
        <v>41609</v>
      </c>
      <c r="C207" s="216" t="s">
        <v>1508</v>
      </c>
    </row>
    <row r="208" spans="1:3">
      <c r="A208" s="216" t="s">
        <v>1545</v>
      </c>
      <c r="B208" s="218">
        <f t="shared" si="3"/>
        <v>41671</v>
      </c>
      <c r="C208" s="216" t="s">
        <v>1544</v>
      </c>
    </row>
    <row r="209" spans="1:3">
      <c r="A209" s="216" t="s">
        <v>1499</v>
      </c>
      <c r="B209" s="218">
        <f t="shared" si="3"/>
        <v>41487</v>
      </c>
      <c r="C209" s="216" t="s">
        <v>1498</v>
      </c>
    </row>
    <row r="210" spans="1:3">
      <c r="A210" s="216" t="s">
        <v>1509</v>
      </c>
      <c r="B210" s="218">
        <f t="shared" si="3"/>
        <v>41609</v>
      </c>
      <c r="C210" s="216" t="s">
        <v>1508</v>
      </c>
    </row>
    <row r="211" spans="1:3">
      <c r="A211" s="216" t="s">
        <v>1511</v>
      </c>
      <c r="B211" s="218">
        <f t="shared" si="3"/>
        <v>41306</v>
      </c>
      <c r="C211" s="216" t="s">
        <v>1510</v>
      </c>
    </row>
    <row r="212" spans="1:3">
      <c r="A212" s="216" t="s">
        <v>1515</v>
      </c>
      <c r="B212" s="218">
        <f t="shared" si="3"/>
        <v>41456</v>
      </c>
      <c r="C212" s="216" t="s">
        <v>1514</v>
      </c>
    </row>
    <row r="213" spans="1:3">
      <c r="A213" s="216" t="s">
        <v>1523</v>
      </c>
      <c r="B213" s="218">
        <f t="shared" si="3"/>
        <v>41395</v>
      </c>
      <c r="C213" s="216" t="s">
        <v>1522</v>
      </c>
    </row>
    <row r="214" spans="1:3">
      <c r="A214" s="216" t="s">
        <v>1543</v>
      </c>
      <c r="B214" s="218">
        <f t="shared" si="3"/>
        <v>41944</v>
      </c>
      <c r="C214" s="216" t="s">
        <v>1542</v>
      </c>
    </row>
    <row r="215" spans="1:3">
      <c r="A215" s="216" t="s">
        <v>1537</v>
      </c>
      <c r="B215" s="218">
        <f t="shared" si="3"/>
        <v>41640</v>
      </c>
      <c r="C215" s="216" t="s">
        <v>1536</v>
      </c>
    </row>
    <row r="216" spans="1:3">
      <c r="A216" s="216" t="s">
        <v>1511</v>
      </c>
      <c r="B216" s="218">
        <f t="shared" si="3"/>
        <v>41306</v>
      </c>
      <c r="C216" s="216" t="s">
        <v>1510</v>
      </c>
    </row>
    <row r="217" spans="1:3">
      <c r="A217" s="216" t="s">
        <v>1503</v>
      </c>
      <c r="B217" s="218">
        <f t="shared" si="3"/>
        <v>41548</v>
      </c>
      <c r="C217" s="216" t="s">
        <v>1502</v>
      </c>
    </row>
    <row r="218" spans="1:3">
      <c r="A218" s="216" t="s">
        <v>1521</v>
      </c>
      <c r="B218" s="218">
        <f t="shared" si="3"/>
        <v>41791</v>
      </c>
      <c r="C218" s="216" t="s">
        <v>1520</v>
      </c>
    </row>
    <row r="219" spans="1:3">
      <c r="A219" s="216" t="s">
        <v>1509</v>
      </c>
      <c r="B219" s="218">
        <f t="shared" si="3"/>
        <v>41609</v>
      </c>
      <c r="C219" s="216" t="s">
        <v>1508</v>
      </c>
    </row>
    <row r="220" spans="1:3">
      <c r="A220" s="216" t="s">
        <v>1539</v>
      </c>
      <c r="B220" s="218">
        <f t="shared" si="3"/>
        <v>41852</v>
      </c>
      <c r="C220" s="216" t="s">
        <v>1538</v>
      </c>
    </row>
    <row r="221" spans="1:3">
      <c r="A221" s="216" t="s">
        <v>1533</v>
      </c>
      <c r="B221" s="218">
        <f t="shared" si="3"/>
        <v>41699</v>
      </c>
      <c r="C221" s="216" t="s">
        <v>1532</v>
      </c>
    </row>
    <row r="222" spans="1:3">
      <c r="A222" s="216" t="s">
        <v>1513</v>
      </c>
      <c r="B222" s="218">
        <f t="shared" si="3"/>
        <v>41579</v>
      </c>
      <c r="C222" s="216" t="s">
        <v>1512</v>
      </c>
    </row>
    <row r="223" spans="1:3">
      <c r="A223" s="216" t="s">
        <v>1537</v>
      </c>
      <c r="B223" s="218">
        <f t="shared" si="3"/>
        <v>41640</v>
      </c>
      <c r="C223" s="216" t="s">
        <v>1536</v>
      </c>
    </row>
    <row r="224" spans="1:3">
      <c r="A224" s="216" t="s">
        <v>1499</v>
      </c>
      <c r="B224" s="218">
        <f t="shared" si="3"/>
        <v>41487</v>
      </c>
      <c r="C224" s="216" t="s">
        <v>1498</v>
      </c>
    </row>
    <row r="225" spans="1:3">
      <c r="A225" s="216" t="s">
        <v>1501</v>
      </c>
      <c r="B225" s="218">
        <f t="shared" si="3"/>
        <v>41334</v>
      </c>
      <c r="C225" s="216" t="s">
        <v>1500</v>
      </c>
    </row>
    <row r="226" spans="1:3">
      <c r="A226" s="216" t="s">
        <v>1509</v>
      </c>
      <c r="B226" s="218">
        <f t="shared" si="3"/>
        <v>41609</v>
      </c>
      <c r="C226" s="216" t="s">
        <v>1508</v>
      </c>
    </row>
    <row r="227" spans="1:3">
      <c r="A227" s="216" t="s">
        <v>1523</v>
      </c>
      <c r="B227" s="218">
        <f t="shared" si="3"/>
        <v>41395</v>
      </c>
      <c r="C227" s="216" t="s">
        <v>1522</v>
      </c>
    </row>
    <row r="228" spans="1:3">
      <c r="A228" s="216" t="s">
        <v>1499</v>
      </c>
      <c r="B228" s="218">
        <f t="shared" si="3"/>
        <v>41487</v>
      </c>
      <c r="C228" s="216" t="s">
        <v>1498</v>
      </c>
    </row>
    <row r="229" spans="1:3">
      <c r="A229" s="216" t="s">
        <v>1499</v>
      </c>
      <c r="B229" s="218">
        <f t="shared" si="3"/>
        <v>41487</v>
      </c>
      <c r="C229" s="216" t="s">
        <v>1498</v>
      </c>
    </row>
    <row r="230" spans="1:3">
      <c r="A230" s="216" t="s">
        <v>1531</v>
      </c>
      <c r="B230" s="218">
        <f t="shared" si="3"/>
        <v>41760</v>
      </c>
      <c r="C230" s="216" t="s">
        <v>1530</v>
      </c>
    </row>
    <row r="231" spans="1:3">
      <c r="A231" s="216" t="s">
        <v>1513</v>
      </c>
      <c r="B231" s="218">
        <f t="shared" si="3"/>
        <v>41579</v>
      </c>
      <c r="C231" s="216" t="s">
        <v>1512</v>
      </c>
    </row>
    <row r="232" spans="1:3">
      <c r="A232" s="216" t="s">
        <v>1529</v>
      </c>
      <c r="B232" s="218">
        <f t="shared" si="3"/>
        <v>41821</v>
      </c>
      <c r="C232" s="216" t="s">
        <v>1528</v>
      </c>
    </row>
    <row r="233" spans="1:3">
      <c r="A233" s="216" t="s">
        <v>1499</v>
      </c>
      <c r="B233" s="218">
        <f t="shared" si="3"/>
        <v>41487</v>
      </c>
      <c r="C233" s="216" t="s">
        <v>1498</v>
      </c>
    </row>
    <row r="234" spans="1:3">
      <c r="A234" s="216" t="s">
        <v>1523</v>
      </c>
      <c r="B234" s="218">
        <f t="shared" si="3"/>
        <v>41395</v>
      </c>
      <c r="C234" s="216" t="s">
        <v>1522</v>
      </c>
    </row>
    <row r="235" spans="1:3">
      <c r="A235" s="216" t="s">
        <v>1505</v>
      </c>
      <c r="B235" s="218">
        <f t="shared" si="3"/>
        <v>41365</v>
      </c>
      <c r="C235" s="216" t="s">
        <v>1504</v>
      </c>
    </row>
    <row r="236" spans="1:3">
      <c r="A236" s="216" t="s">
        <v>1529</v>
      </c>
      <c r="B236" s="218">
        <f t="shared" si="3"/>
        <v>41821</v>
      </c>
      <c r="C236" s="216" t="s">
        <v>1528</v>
      </c>
    </row>
    <row r="237" spans="1:3">
      <c r="A237" s="216" t="s">
        <v>1511</v>
      </c>
      <c r="B237" s="218">
        <f t="shared" si="3"/>
        <v>41306</v>
      </c>
      <c r="C237" s="216" t="s">
        <v>1510</v>
      </c>
    </row>
    <row r="238" spans="1:3">
      <c r="A238" s="216" t="s">
        <v>1521</v>
      </c>
      <c r="B238" s="218">
        <f t="shared" si="3"/>
        <v>41791</v>
      </c>
      <c r="C238" s="216" t="s">
        <v>1520</v>
      </c>
    </row>
    <row r="239" spans="1:3">
      <c r="A239" s="216" t="s">
        <v>1509</v>
      </c>
      <c r="B239" s="218">
        <f t="shared" si="3"/>
        <v>41609</v>
      </c>
      <c r="C239" s="216" t="s">
        <v>1508</v>
      </c>
    </row>
    <row r="240" spans="1:3">
      <c r="A240" s="216" t="s">
        <v>1517</v>
      </c>
      <c r="B240" s="218">
        <f t="shared" si="3"/>
        <v>41426</v>
      </c>
      <c r="C240" s="216" t="s">
        <v>1516</v>
      </c>
    </row>
    <row r="241" spans="1:3">
      <c r="A241" s="216" t="s">
        <v>1501</v>
      </c>
      <c r="B241" s="218">
        <f t="shared" si="3"/>
        <v>41334</v>
      </c>
      <c r="C241" s="216" t="s">
        <v>1500</v>
      </c>
    </row>
    <row r="242" spans="1:3">
      <c r="A242" s="216" t="s">
        <v>1525</v>
      </c>
      <c r="B242" s="218">
        <f t="shared" si="3"/>
        <v>41883</v>
      </c>
      <c r="C242" s="216" t="s">
        <v>1524</v>
      </c>
    </row>
    <row r="243" spans="1:3">
      <c r="A243" s="216" t="s">
        <v>1523</v>
      </c>
      <c r="B243" s="218">
        <f t="shared" si="3"/>
        <v>41395</v>
      </c>
      <c r="C243" s="216" t="s">
        <v>1522</v>
      </c>
    </row>
    <row r="244" spans="1:3">
      <c r="A244" s="216" t="s">
        <v>1517</v>
      </c>
      <c r="B244" s="218">
        <f t="shared" si="3"/>
        <v>41426</v>
      </c>
      <c r="C244" s="216" t="s">
        <v>1516</v>
      </c>
    </row>
    <row r="245" spans="1:3">
      <c r="A245" s="216" t="s">
        <v>1517</v>
      </c>
      <c r="B245" s="218">
        <f t="shared" si="3"/>
        <v>41426</v>
      </c>
      <c r="C245" s="216" t="s">
        <v>1516</v>
      </c>
    </row>
    <row r="246" spans="1:3">
      <c r="A246" s="216" t="s">
        <v>1503</v>
      </c>
      <c r="B246" s="218">
        <f t="shared" si="3"/>
        <v>41548</v>
      </c>
      <c r="C246" s="216" t="s">
        <v>1502</v>
      </c>
    </row>
    <row r="247" spans="1:3">
      <c r="A247" s="216" t="s">
        <v>1533</v>
      </c>
      <c r="B247" s="218">
        <f t="shared" si="3"/>
        <v>41699</v>
      </c>
      <c r="C247" s="216" t="s">
        <v>1532</v>
      </c>
    </row>
    <row r="248" spans="1:3">
      <c r="A248" s="216" t="s">
        <v>1535</v>
      </c>
      <c r="B248" s="218">
        <f t="shared" si="3"/>
        <v>41518</v>
      </c>
      <c r="C248" s="216" t="s">
        <v>1534</v>
      </c>
    </row>
    <row r="249" spans="1:3">
      <c r="A249" s="216" t="s">
        <v>1519</v>
      </c>
      <c r="B249" s="218">
        <f t="shared" si="3"/>
        <v>41974</v>
      </c>
      <c r="C249" s="216" t="s">
        <v>1518</v>
      </c>
    </row>
    <row r="250" spans="1:3">
      <c r="A250" s="216" t="s">
        <v>1525</v>
      </c>
      <c r="B250" s="218">
        <f t="shared" si="3"/>
        <v>41883</v>
      </c>
      <c r="C250" s="216" t="s">
        <v>1524</v>
      </c>
    </row>
    <row r="251" spans="1:3">
      <c r="A251" s="216" t="s">
        <v>1519</v>
      </c>
      <c r="B251" s="218">
        <f t="shared" si="3"/>
        <v>41974</v>
      </c>
      <c r="C251" s="216" t="s">
        <v>1518</v>
      </c>
    </row>
    <row r="252" spans="1:3">
      <c r="A252" s="216" t="s">
        <v>1519</v>
      </c>
      <c r="B252" s="218">
        <f t="shared" si="3"/>
        <v>41974</v>
      </c>
      <c r="C252" s="216" t="s">
        <v>1518</v>
      </c>
    </row>
    <row r="253" spans="1:3">
      <c r="A253" s="216" t="s">
        <v>1509</v>
      </c>
      <c r="B253" s="218">
        <f t="shared" si="3"/>
        <v>41609</v>
      </c>
      <c r="C253" s="216" t="s">
        <v>1508</v>
      </c>
    </row>
    <row r="254" spans="1:3">
      <c r="A254" s="216" t="s">
        <v>1503</v>
      </c>
      <c r="B254" s="218">
        <f t="shared" si="3"/>
        <v>41548</v>
      </c>
      <c r="C254" s="216" t="s">
        <v>1502</v>
      </c>
    </row>
    <row r="255" spans="1:3">
      <c r="A255" s="216" t="s">
        <v>1503</v>
      </c>
      <c r="B255" s="218">
        <f t="shared" si="3"/>
        <v>41548</v>
      </c>
      <c r="C255" s="216" t="s">
        <v>1502</v>
      </c>
    </row>
    <row r="256" spans="1:3">
      <c r="A256" s="216" t="s">
        <v>1513</v>
      </c>
      <c r="B256" s="218">
        <f t="shared" si="3"/>
        <v>41579</v>
      </c>
      <c r="C256" s="216" t="s">
        <v>1512</v>
      </c>
    </row>
    <row r="257" spans="1:3">
      <c r="A257" s="216" t="s">
        <v>1541</v>
      </c>
      <c r="B257" s="218">
        <f t="shared" si="3"/>
        <v>41275</v>
      </c>
      <c r="C257" s="216" t="s">
        <v>1540</v>
      </c>
    </row>
    <row r="258" spans="1:3">
      <c r="A258" s="216" t="s">
        <v>1507</v>
      </c>
      <c r="B258" s="218">
        <f t="shared" si="3"/>
        <v>41913</v>
      </c>
      <c r="C258" s="216" t="s">
        <v>1506</v>
      </c>
    </row>
    <row r="259" spans="1:3">
      <c r="A259" s="216" t="s">
        <v>1521</v>
      </c>
      <c r="B259" s="218">
        <f t="shared" ref="B259:B322" si="4">DATE(RIGHT(A259,4),LEFT(A259,2),1)</f>
        <v>41791</v>
      </c>
      <c r="C259" s="216" t="s">
        <v>1520</v>
      </c>
    </row>
    <row r="260" spans="1:3">
      <c r="A260" s="216" t="s">
        <v>1527</v>
      </c>
      <c r="B260" s="218">
        <f t="shared" si="4"/>
        <v>41730</v>
      </c>
      <c r="C260" s="216" t="s">
        <v>1526</v>
      </c>
    </row>
    <row r="261" spans="1:3">
      <c r="A261" s="216" t="s">
        <v>1535</v>
      </c>
      <c r="B261" s="218">
        <f t="shared" si="4"/>
        <v>41518</v>
      </c>
      <c r="C261" s="216" t="s">
        <v>1534</v>
      </c>
    </row>
    <row r="262" spans="1:3">
      <c r="A262" s="216" t="s">
        <v>1517</v>
      </c>
      <c r="B262" s="218">
        <f t="shared" si="4"/>
        <v>41426</v>
      </c>
      <c r="C262" s="216" t="s">
        <v>1516</v>
      </c>
    </row>
    <row r="263" spans="1:3">
      <c r="A263" s="216" t="s">
        <v>1531</v>
      </c>
      <c r="B263" s="218">
        <f t="shared" si="4"/>
        <v>41760</v>
      </c>
      <c r="C263" s="216" t="s">
        <v>1530</v>
      </c>
    </row>
    <row r="264" spans="1:3">
      <c r="A264" s="216" t="s">
        <v>1529</v>
      </c>
      <c r="B264" s="218">
        <f t="shared" si="4"/>
        <v>41821</v>
      </c>
      <c r="C264" s="216" t="s">
        <v>1528</v>
      </c>
    </row>
    <row r="265" spans="1:3">
      <c r="A265" s="216" t="s">
        <v>1505</v>
      </c>
      <c r="B265" s="218">
        <f t="shared" si="4"/>
        <v>41365</v>
      </c>
      <c r="C265" s="216" t="s">
        <v>1504</v>
      </c>
    </row>
    <row r="266" spans="1:3">
      <c r="A266" s="216" t="s">
        <v>1531</v>
      </c>
      <c r="B266" s="218">
        <f t="shared" si="4"/>
        <v>41760</v>
      </c>
      <c r="C266" s="216" t="s">
        <v>1530</v>
      </c>
    </row>
    <row r="267" spans="1:3">
      <c r="A267" s="216" t="s">
        <v>1533</v>
      </c>
      <c r="B267" s="218">
        <f t="shared" si="4"/>
        <v>41699</v>
      </c>
      <c r="C267" s="216" t="s">
        <v>1532</v>
      </c>
    </row>
    <row r="268" spans="1:3">
      <c r="A268" s="216" t="s">
        <v>1543</v>
      </c>
      <c r="B268" s="218">
        <f t="shared" si="4"/>
        <v>41944</v>
      </c>
      <c r="C268" s="216" t="s">
        <v>1542</v>
      </c>
    </row>
    <row r="269" spans="1:3">
      <c r="A269" s="216" t="s">
        <v>1503</v>
      </c>
      <c r="B269" s="218">
        <f t="shared" si="4"/>
        <v>41548</v>
      </c>
      <c r="C269" s="216" t="s">
        <v>1502</v>
      </c>
    </row>
    <row r="270" spans="1:3">
      <c r="A270" s="216" t="s">
        <v>1513</v>
      </c>
      <c r="B270" s="218">
        <f t="shared" si="4"/>
        <v>41579</v>
      </c>
      <c r="C270" s="216" t="s">
        <v>1512</v>
      </c>
    </row>
    <row r="271" spans="1:3">
      <c r="A271" s="216" t="s">
        <v>1513</v>
      </c>
      <c r="B271" s="218">
        <f t="shared" si="4"/>
        <v>41579</v>
      </c>
      <c r="C271" s="216" t="s">
        <v>1512</v>
      </c>
    </row>
    <row r="272" spans="1:3">
      <c r="A272" s="216" t="s">
        <v>1505</v>
      </c>
      <c r="B272" s="218">
        <f t="shared" si="4"/>
        <v>41365</v>
      </c>
      <c r="C272" s="216" t="s">
        <v>1504</v>
      </c>
    </row>
    <row r="273" spans="1:3">
      <c r="A273" s="216" t="s">
        <v>1545</v>
      </c>
      <c r="B273" s="218">
        <f t="shared" si="4"/>
        <v>41671</v>
      </c>
      <c r="C273" s="216" t="s">
        <v>1544</v>
      </c>
    </row>
    <row r="274" spans="1:3">
      <c r="A274" s="216" t="s">
        <v>1513</v>
      </c>
      <c r="B274" s="218">
        <f t="shared" si="4"/>
        <v>41579</v>
      </c>
      <c r="C274" s="216" t="s">
        <v>1512</v>
      </c>
    </row>
    <row r="275" spans="1:3">
      <c r="A275" s="216" t="s">
        <v>1535</v>
      </c>
      <c r="B275" s="218">
        <f t="shared" si="4"/>
        <v>41518</v>
      </c>
      <c r="C275" s="216" t="s">
        <v>1534</v>
      </c>
    </row>
    <row r="276" spans="1:3">
      <c r="A276" s="216" t="s">
        <v>1543</v>
      </c>
      <c r="B276" s="218">
        <f t="shared" si="4"/>
        <v>41944</v>
      </c>
      <c r="C276" s="216" t="s">
        <v>1542</v>
      </c>
    </row>
    <row r="277" spans="1:3">
      <c r="A277" s="216" t="s">
        <v>1505</v>
      </c>
      <c r="B277" s="218">
        <f t="shared" si="4"/>
        <v>41365</v>
      </c>
      <c r="C277" s="216" t="s">
        <v>1504</v>
      </c>
    </row>
    <row r="278" spans="1:3">
      <c r="A278" s="216" t="s">
        <v>1537</v>
      </c>
      <c r="B278" s="218">
        <f t="shared" si="4"/>
        <v>41640</v>
      </c>
      <c r="C278" s="216" t="s">
        <v>1536</v>
      </c>
    </row>
    <row r="279" spans="1:3">
      <c r="A279" s="216" t="s">
        <v>1543</v>
      </c>
      <c r="B279" s="218">
        <f t="shared" si="4"/>
        <v>41944</v>
      </c>
      <c r="C279" s="216" t="s">
        <v>1542</v>
      </c>
    </row>
    <row r="280" spans="1:3">
      <c r="A280" s="216" t="s">
        <v>1523</v>
      </c>
      <c r="B280" s="218">
        <f t="shared" si="4"/>
        <v>41395</v>
      </c>
      <c r="C280" s="216" t="s">
        <v>1522</v>
      </c>
    </row>
    <row r="281" spans="1:3">
      <c r="A281" s="216" t="s">
        <v>1503</v>
      </c>
      <c r="B281" s="218">
        <f t="shared" si="4"/>
        <v>41548</v>
      </c>
      <c r="C281" s="216" t="s">
        <v>1502</v>
      </c>
    </row>
    <row r="282" spans="1:3">
      <c r="A282" s="216" t="s">
        <v>1505</v>
      </c>
      <c r="B282" s="218">
        <f t="shared" si="4"/>
        <v>41365</v>
      </c>
      <c r="C282" s="216" t="s">
        <v>1504</v>
      </c>
    </row>
    <row r="283" spans="1:3">
      <c r="A283" s="216" t="s">
        <v>1543</v>
      </c>
      <c r="B283" s="218">
        <f t="shared" si="4"/>
        <v>41944</v>
      </c>
      <c r="C283" s="216" t="s">
        <v>1542</v>
      </c>
    </row>
    <row r="284" spans="1:3">
      <c r="A284" s="216" t="s">
        <v>1531</v>
      </c>
      <c r="B284" s="218">
        <f t="shared" si="4"/>
        <v>41760</v>
      </c>
      <c r="C284" s="216" t="s">
        <v>1530</v>
      </c>
    </row>
    <row r="285" spans="1:3">
      <c r="A285" s="216" t="s">
        <v>1517</v>
      </c>
      <c r="B285" s="218">
        <f t="shared" si="4"/>
        <v>41426</v>
      </c>
      <c r="C285" s="216" t="s">
        <v>1516</v>
      </c>
    </row>
    <row r="286" spans="1:3">
      <c r="A286" s="216" t="s">
        <v>1505</v>
      </c>
      <c r="B286" s="218">
        <f t="shared" si="4"/>
        <v>41365</v>
      </c>
      <c r="C286" s="216" t="s">
        <v>1504</v>
      </c>
    </row>
    <row r="287" spans="1:3">
      <c r="A287" s="216" t="s">
        <v>1513</v>
      </c>
      <c r="B287" s="218">
        <f t="shared" si="4"/>
        <v>41579</v>
      </c>
      <c r="C287" s="216" t="s">
        <v>1512</v>
      </c>
    </row>
    <row r="288" spans="1:3">
      <c r="A288" s="216" t="s">
        <v>1535</v>
      </c>
      <c r="B288" s="218">
        <f t="shared" si="4"/>
        <v>41518</v>
      </c>
      <c r="C288" s="216" t="s">
        <v>1534</v>
      </c>
    </row>
    <row r="289" spans="1:3">
      <c r="A289" s="216" t="s">
        <v>1499</v>
      </c>
      <c r="B289" s="218">
        <f t="shared" si="4"/>
        <v>41487</v>
      </c>
      <c r="C289" s="216" t="s">
        <v>1498</v>
      </c>
    </row>
    <row r="290" spans="1:3">
      <c r="A290" s="216" t="s">
        <v>1513</v>
      </c>
      <c r="B290" s="218">
        <f t="shared" si="4"/>
        <v>41579</v>
      </c>
      <c r="C290" s="216" t="s">
        <v>1512</v>
      </c>
    </row>
    <row r="291" spans="1:3">
      <c r="A291" s="216" t="s">
        <v>1543</v>
      </c>
      <c r="B291" s="218">
        <f t="shared" si="4"/>
        <v>41944</v>
      </c>
      <c r="C291" s="216" t="s">
        <v>1542</v>
      </c>
    </row>
    <row r="292" spans="1:3">
      <c r="A292" s="216" t="s">
        <v>1537</v>
      </c>
      <c r="B292" s="218">
        <f t="shared" si="4"/>
        <v>41640</v>
      </c>
      <c r="C292" s="216" t="s">
        <v>1536</v>
      </c>
    </row>
    <row r="293" spans="1:3">
      <c r="A293" s="216" t="s">
        <v>1505</v>
      </c>
      <c r="B293" s="218">
        <f t="shared" si="4"/>
        <v>41365</v>
      </c>
      <c r="C293" s="216" t="s">
        <v>1504</v>
      </c>
    </row>
    <row r="294" spans="1:3">
      <c r="A294" s="216" t="s">
        <v>1523</v>
      </c>
      <c r="B294" s="218">
        <f t="shared" si="4"/>
        <v>41395</v>
      </c>
      <c r="C294" s="216" t="s">
        <v>1522</v>
      </c>
    </row>
    <row r="295" spans="1:3">
      <c r="A295" s="216" t="s">
        <v>1535</v>
      </c>
      <c r="B295" s="218">
        <f t="shared" si="4"/>
        <v>41518</v>
      </c>
      <c r="C295" s="216" t="s">
        <v>1534</v>
      </c>
    </row>
    <row r="296" spans="1:3">
      <c r="A296" s="216" t="s">
        <v>1537</v>
      </c>
      <c r="B296" s="218">
        <f t="shared" si="4"/>
        <v>41640</v>
      </c>
      <c r="C296" s="216" t="s">
        <v>1536</v>
      </c>
    </row>
    <row r="297" spans="1:3">
      <c r="A297" s="216" t="s">
        <v>1501</v>
      </c>
      <c r="B297" s="218">
        <f t="shared" si="4"/>
        <v>41334</v>
      </c>
      <c r="C297" s="216" t="s">
        <v>1500</v>
      </c>
    </row>
    <row r="298" spans="1:3">
      <c r="A298" s="216" t="s">
        <v>1525</v>
      </c>
      <c r="B298" s="218">
        <f t="shared" si="4"/>
        <v>41883</v>
      </c>
      <c r="C298" s="216" t="s">
        <v>1524</v>
      </c>
    </row>
    <row r="299" spans="1:3">
      <c r="A299" s="216" t="s">
        <v>1539</v>
      </c>
      <c r="B299" s="218">
        <f t="shared" si="4"/>
        <v>41852</v>
      </c>
      <c r="C299" s="216" t="s">
        <v>1538</v>
      </c>
    </row>
    <row r="300" spans="1:3">
      <c r="A300" s="216" t="s">
        <v>1521</v>
      </c>
      <c r="B300" s="218">
        <f t="shared" si="4"/>
        <v>41791</v>
      </c>
      <c r="C300" s="216" t="s">
        <v>1520</v>
      </c>
    </row>
    <row r="301" spans="1:3">
      <c r="A301" s="216" t="s">
        <v>1523</v>
      </c>
      <c r="B301" s="218">
        <f t="shared" si="4"/>
        <v>41395</v>
      </c>
      <c r="C301" s="216" t="s">
        <v>1522</v>
      </c>
    </row>
    <row r="302" spans="1:3">
      <c r="A302" s="216" t="s">
        <v>1511</v>
      </c>
      <c r="B302" s="218">
        <f t="shared" si="4"/>
        <v>41306</v>
      </c>
      <c r="C302" s="216" t="s">
        <v>1510</v>
      </c>
    </row>
    <row r="303" spans="1:3">
      <c r="A303" s="216" t="s">
        <v>1505</v>
      </c>
      <c r="B303" s="218">
        <f t="shared" si="4"/>
        <v>41365</v>
      </c>
      <c r="C303" s="216" t="s">
        <v>1504</v>
      </c>
    </row>
    <row r="304" spans="1:3">
      <c r="A304" s="216" t="s">
        <v>1505</v>
      </c>
      <c r="B304" s="218">
        <f t="shared" si="4"/>
        <v>41365</v>
      </c>
      <c r="C304" s="216" t="s">
        <v>1504</v>
      </c>
    </row>
    <row r="305" spans="1:3">
      <c r="A305" s="216" t="s">
        <v>1531</v>
      </c>
      <c r="B305" s="218">
        <f t="shared" si="4"/>
        <v>41760</v>
      </c>
      <c r="C305" s="216" t="s">
        <v>1530</v>
      </c>
    </row>
    <row r="306" spans="1:3">
      <c r="A306" s="216" t="s">
        <v>1533</v>
      </c>
      <c r="B306" s="218">
        <f t="shared" si="4"/>
        <v>41699</v>
      </c>
      <c r="C306" s="216" t="s">
        <v>1532</v>
      </c>
    </row>
    <row r="307" spans="1:3">
      <c r="A307" s="216" t="s">
        <v>1523</v>
      </c>
      <c r="B307" s="218">
        <f t="shared" si="4"/>
        <v>41395</v>
      </c>
      <c r="C307" s="216" t="s">
        <v>1522</v>
      </c>
    </row>
    <row r="308" spans="1:3">
      <c r="A308" s="216" t="s">
        <v>1529</v>
      </c>
      <c r="B308" s="218">
        <f t="shared" si="4"/>
        <v>41821</v>
      </c>
      <c r="C308" s="216" t="s">
        <v>1528</v>
      </c>
    </row>
    <row r="309" spans="1:3">
      <c r="A309" s="216" t="s">
        <v>1545</v>
      </c>
      <c r="B309" s="218">
        <f t="shared" si="4"/>
        <v>41671</v>
      </c>
      <c r="C309" s="216" t="s">
        <v>1544</v>
      </c>
    </row>
    <row r="310" spans="1:3">
      <c r="A310" s="216" t="s">
        <v>1519</v>
      </c>
      <c r="B310" s="218">
        <f t="shared" si="4"/>
        <v>41974</v>
      </c>
      <c r="C310" s="216" t="s">
        <v>1518</v>
      </c>
    </row>
    <row r="311" spans="1:3">
      <c r="A311" s="216" t="s">
        <v>1517</v>
      </c>
      <c r="B311" s="218">
        <f t="shared" si="4"/>
        <v>41426</v>
      </c>
      <c r="C311" s="216" t="s">
        <v>1516</v>
      </c>
    </row>
    <row r="312" spans="1:3">
      <c r="A312" s="216" t="s">
        <v>1527</v>
      </c>
      <c r="B312" s="218">
        <f t="shared" si="4"/>
        <v>41730</v>
      </c>
      <c r="C312" s="216" t="s">
        <v>1526</v>
      </c>
    </row>
    <row r="313" spans="1:3">
      <c r="A313" s="216" t="s">
        <v>1531</v>
      </c>
      <c r="B313" s="218">
        <f t="shared" si="4"/>
        <v>41760</v>
      </c>
      <c r="C313" s="216" t="s">
        <v>1530</v>
      </c>
    </row>
    <row r="314" spans="1:3">
      <c r="A314" s="216" t="s">
        <v>1527</v>
      </c>
      <c r="B314" s="218">
        <f t="shared" si="4"/>
        <v>41730</v>
      </c>
      <c r="C314" s="216" t="s">
        <v>1526</v>
      </c>
    </row>
    <row r="315" spans="1:3">
      <c r="A315" s="216" t="s">
        <v>1525</v>
      </c>
      <c r="B315" s="218">
        <f t="shared" si="4"/>
        <v>41883</v>
      </c>
      <c r="C315" s="216" t="s">
        <v>1524</v>
      </c>
    </row>
    <row r="316" spans="1:3">
      <c r="A316" s="216" t="s">
        <v>1535</v>
      </c>
      <c r="B316" s="218">
        <f t="shared" si="4"/>
        <v>41518</v>
      </c>
      <c r="C316" s="216" t="s">
        <v>1534</v>
      </c>
    </row>
    <row r="317" spans="1:3">
      <c r="A317" s="216" t="s">
        <v>1517</v>
      </c>
      <c r="B317" s="218">
        <f t="shared" si="4"/>
        <v>41426</v>
      </c>
      <c r="C317" s="216" t="s">
        <v>1516</v>
      </c>
    </row>
    <row r="318" spans="1:3">
      <c r="A318" s="216" t="s">
        <v>1541</v>
      </c>
      <c r="B318" s="218">
        <f t="shared" si="4"/>
        <v>41275</v>
      </c>
      <c r="C318" s="216" t="s">
        <v>1540</v>
      </c>
    </row>
    <row r="319" spans="1:3">
      <c r="A319" s="216" t="s">
        <v>1509</v>
      </c>
      <c r="B319" s="218">
        <f t="shared" si="4"/>
        <v>41609</v>
      </c>
      <c r="C319" s="216" t="s">
        <v>1508</v>
      </c>
    </row>
    <row r="320" spans="1:3">
      <c r="A320" s="216" t="s">
        <v>1543</v>
      </c>
      <c r="B320" s="218">
        <f t="shared" si="4"/>
        <v>41944</v>
      </c>
      <c r="C320" s="216" t="s">
        <v>1542</v>
      </c>
    </row>
    <row r="321" spans="1:3">
      <c r="A321" s="216" t="s">
        <v>1541</v>
      </c>
      <c r="B321" s="218">
        <f t="shared" si="4"/>
        <v>41275</v>
      </c>
      <c r="C321" s="216" t="s">
        <v>1540</v>
      </c>
    </row>
    <row r="322" spans="1:3">
      <c r="A322" s="216" t="s">
        <v>1501</v>
      </c>
      <c r="B322" s="218">
        <f t="shared" si="4"/>
        <v>41334</v>
      </c>
      <c r="C322" s="216" t="s">
        <v>1500</v>
      </c>
    </row>
    <row r="323" spans="1:3">
      <c r="A323" s="216" t="s">
        <v>1529</v>
      </c>
      <c r="B323" s="218">
        <f t="shared" ref="B323:B386" si="5">DATE(RIGHT(A323,4),LEFT(A323,2),1)</f>
        <v>41821</v>
      </c>
      <c r="C323" s="216" t="s">
        <v>1528</v>
      </c>
    </row>
    <row r="324" spans="1:3">
      <c r="A324" s="216" t="s">
        <v>1515</v>
      </c>
      <c r="B324" s="218">
        <f t="shared" si="5"/>
        <v>41456</v>
      </c>
      <c r="C324" s="216" t="s">
        <v>1514</v>
      </c>
    </row>
    <row r="325" spans="1:3">
      <c r="A325" s="216" t="s">
        <v>1533</v>
      </c>
      <c r="B325" s="218">
        <f t="shared" si="5"/>
        <v>41699</v>
      </c>
      <c r="C325" s="216" t="s">
        <v>1532</v>
      </c>
    </row>
    <row r="326" spans="1:3">
      <c r="A326" s="216" t="s">
        <v>1523</v>
      </c>
      <c r="B326" s="218">
        <f t="shared" si="5"/>
        <v>41395</v>
      </c>
      <c r="C326" s="216" t="s">
        <v>1522</v>
      </c>
    </row>
    <row r="327" spans="1:3">
      <c r="A327" s="216" t="s">
        <v>1523</v>
      </c>
      <c r="B327" s="218">
        <f t="shared" si="5"/>
        <v>41395</v>
      </c>
      <c r="C327" s="216" t="s">
        <v>1522</v>
      </c>
    </row>
    <row r="328" spans="1:3">
      <c r="A328" s="216" t="s">
        <v>1535</v>
      </c>
      <c r="B328" s="218">
        <f t="shared" si="5"/>
        <v>41518</v>
      </c>
      <c r="C328" s="216" t="s">
        <v>1534</v>
      </c>
    </row>
    <row r="329" spans="1:3">
      <c r="A329" s="216" t="s">
        <v>1503</v>
      </c>
      <c r="B329" s="218">
        <f t="shared" si="5"/>
        <v>41548</v>
      </c>
      <c r="C329" s="216" t="s">
        <v>1502</v>
      </c>
    </row>
    <row r="330" spans="1:3">
      <c r="A330" s="216" t="s">
        <v>1529</v>
      </c>
      <c r="B330" s="218">
        <f t="shared" si="5"/>
        <v>41821</v>
      </c>
      <c r="C330" s="216" t="s">
        <v>1528</v>
      </c>
    </row>
    <row r="331" spans="1:3">
      <c r="A331" s="216" t="s">
        <v>1507</v>
      </c>
      <c r="B331" s="218">
        <f t="shared" si="5"/>
        <v>41913</v>
      </c>
      <c r="C331" s="216" t="s">
        <v>1506</v>
      </c>
    </row>
    <row r="332" spans="1:3">
      <c r="A332" s="216" t="s">
        <v>1529</v>
      </c>
      <c r="B332" s="218">
        <f t="shared" si="5"/>
        <v>41821</v>
      </c>
      <c r="C332" s="216" t="s">
        <v>1528</v>
      </c>
    </row>
    <row r="333" spans="1:3">
      <c r="A333" s="216" t="s">
        <v>1539</v>
      </c>
      <c r="B333" s="218">
        <f t="shared" si="5"/>
        <v>41852</v>
      </c>
      <c r="C333" s="216" t="s">
        <v>1538</v>
      </c>
    </row>
    <row r="334" spans="1:3">
      <c r="A334" s="216" t="s">
        <v>1531</v>
      </c>
      <c r="B334" s="218">
        <f t="shared" si="5"/>
        <v>41760</v>
      </c>
      <c r="C334" s="216" t="s">
        <v>1530</v>
      </c>
    </row>
    <row r="335" spans="1:3">
      <c r="A335" s="216" t="s">
        <v>1503</v>
      </c>
      <c r="B335" s="218">
        <f t="shared" si="5"/>
        <v>41548</v>
      </c>
      <c r="C335" s="216" t="s">
        <v>1502</v>
      </c>
    </row>
    <row r="336" spans="1:3">
      <c r="A336" s="216" t="s">
        <v>1541</v>
      </c>
      <c r="B336" s="218">
        <f t="shared" si="5"/>
        <v>41275</v>
      </c>
      <c r="C336" s="216" t="s">
        <v>1540</v>
      </c>
    </row>
    <row r="337" spans="1:3">
      <c r="A337" s="216" t="s">
        <v>1521</v>
      </c>
      <c r="B337" s="218">
        <f t="shared" si="5"/>
        <v>41791</v>
      </c>
      <c r="C337" s="216" t="s">
        <v>1520</v>
      </c>
    </row>
    <row r="338" spans="1:3">
      <c r="A338" s="216" t="s">
        <v>1533</v>
      </c>
      <c r="B338" s="218">
        <f t="shared" si="5"/>
        <v>41699</v>
      </c>
      <c r="C338" s="216" t="s">
        <v>1532</v>
      </c>
    </row>
    <row r="339" spans="1:3">
      <c r="A339" s="216" t="s">
        <v>1537</v>
      </c>
      <c r="B339" s="218">
        <f t="shared" si="5"/>
        <v>41640</v>
      </c>
      <c r="C339" s="216" t="s">
        <v>1536</v>
      </c>
    </row>
    <row r="340" spans="1:3">
      <c r="A340" s="216" t="s">
        <v>1537</v>
      </c>
      <c r="B340" s="218">
        <f t="shared" si="5"/>
        <v>41640</v>
      </c>
      <c r="C340" s="216" t="s">
        <v>1536</v>
      </c>
    </row>
    <row r="341" spans="1:3">
      <c r="A341" s="216" t="s">
        <v>1543</v>
      </c>
      <c r="B341" s="218">
        <f t="shared" si="5"/>
        <v>41944</v>
      </c>
      <c r="C341" s="216" t="s">
        <v>1542</v>
      </c>
    </row>
    <row r="342" spans="1:3">
      <c r="A342" s="216" t="s">
        <v>1545</v>
      </c>
      <c r="B342" s="218">
        <f t="shared" si="5"/>
        <v>41671</v>
      </c>
      <c r="C342" s="216" t="s">
        <v>1544</v>
      </c>
    </row>
    <row r="343" spans="1:3">
      <c r="A343" s="216" t="s">
        <v>1509</v>
      </c>
      <c r="B343" s="218">
        <f t="shared" si="5"/>
        <v>41609</v>
      </c>
      <c r="C343" s="216" t="s">
        <v>1508</v>
      </c>
    </row>
    <row r="344" spans="1:3">
      <c r="A344" s="216" t="s">
        <v>1515</v>
      </c>
      <c r="B344" s="218">
        <f t="shared" si="5"/>
        <v>41456</v>
      </c>
      <c r="C344" s="216" t="s">
        <v>1514</v>
      </c>
    </row>
    <row r="345" spans="1:3">
      <c r="A345" s="216" t="s">
        <v>1529</v>
      </c>
      <c r="B345" s="218">
        <f t="shared" si="5"/>
        <v>41821</v>
      </c>
      <c r="C345" s="216" t="s">
        <v>1528</v>
      </c>
    </row>
    <row r="346" spans="1:3">
      <c r="A346" s="216" t="s">
        <v>1539</v>
      </c>
      <c r="B346" s="218">
        <f t="shared" si="5"/>
        <v>41852</v>
      </c>
      <c r="C346" s="216" t="s">
        <v>1538</v>
      </c>
    </row>
    <row r="347" spans="1:3">
      <c r="A347" s="216" t="s">
        <v>1521</v>
      </c>
      <c r="B347" s="218">
        <f t="shared" si="5"/>
        <v>41791</v>
      </c>
      <c r="C347" s="216" t="s">
        <v>1520</v>
      </c>
    </row>
    <row r="348" spans="1:3">
      <c r="A348" s="216" t="s">
        <v>1545</v>
      </c>
      <c r="B348" s="218">
        <f t="shared" si="5"/>
        <v>41671</v>
      </c>
      <c r="C348" s="216" t="s">
        <v>1544</v>
      </c>
    </row>
    <row r="349" spans="1:3">
      <c r="A349" s="216" t="s">
        <v>1541</v>
      </c>
      <c r="B349" s="218">
        <f t="shared" si="5"/>
        <v>41275</v>
      </c>
      <c r="C349" s="216" t="s">
        <v>1540</v>
      </c>
    </row>
    <row r="350" spans="1:3">
      <c r="A350" s="216" t="s">
        <v>1503</v>
      </c>
      <c r="B350" s="218">
        <f t="shared" si="5"/>
        <v>41548</v>
      </c>
      <c r="C350" s="216" t="s">
        <v>1502</v>
      </c>
    </row>
    <row r="351" spans="1:3">
      <c r="A351" s="216" t="s">
        <v>1527</v>
      </c>
      <c r="B351" s="218">
        <f t="shared" si="5"/>
        <v>41730</v>
      </c>
      <c r="C351" s="216" t="s">
        <v>1526</v>
      </c>
    </row>
    <row r="352" spans="1:3">
      <c r="A352" s="216" t="s">
        <v>1523</v>
      </c>
      <c r="B352" s="218">
        <f t="shared" si="5"/>
        <v>41395</v>
      </c>
      <c r="C352" s="216" t="s">
        <v>1522</v>
      </c>
    </row>
    <row r="353" spans="1:3">
      <c r="A353" s="216" t="s">
        <v>1541</v>
      </c>
      <c r="B353" s="218">
        <f t="shared" si="5"/>
        <v>41275</v>
      </c>
      <c r="C353" s="216" t="s">
        <v>1540</v>
      </c>
    </row>
    <row r="354" spans="1:3">
      <c r="A354" s="216" t="s">
        <v>1523</v>
      </c>
      <c r="B354" s="218">
        <f t="shared" si="5"/>
        <v>41395</v>
      </c>
      <c r="C354" s="216" t="s">
        <v>1522</v>
      </c>
    </row>
    <row r="355" spans="1:3">
      <c r="A355" s="216" t="s">
        <v>1515</v>
      </c>
      <c r="B355" s="218">
        <f t="shared" si="5"/>
        <v>41456</v>
      </c>
      <c r="C355" s="216" t="s">
        <v>1514</v>
      </c>
    </row>
    <row r="356" spans="1:3">
      <c r="A356" s="216" t="s">
        <v>1531</v>
      </c>
      <c r="B356" s="218">
        <f t="shared" si="5"/>
        <v>41760</v>
      </c>
      <c r="C356" s="216" t="s">
        <v>1530</v>
      </c>
    </row>
    <row r="357" spans="1:3">
      <c r="A357" s="216" t="s">
        <v>1511</v>
      </c>
      <c r="B357" s="218">
        <f t="shared" si="5"/>
        <v>41306</v>
      </c>
      <c r="C357" s="216" t="s">
        <v>1510</v>
      </c>
    </row>
    <row r="358" spans="1:3">
      <c r="A358" s="216" t="s">
        <v>1529</v>
      </c>
      <c r="B358" s="218">
        <f t="shared" si="5"/>
        <v>41821</v>
      </c>
      <c r="C358" s="216" t="s">
        <v>1528</v>
      </c>
    </row>
    <row r="359" spans="1:3">
      <c r="A359" s="216" t="s">
        <v>1505</v>
      </c>
      <c r="B359" s="218">
        <f t="shared" si="5"/>
        <v>41365</v>
      </c>
      <c r="C359" s="216" t="s">
        <v>1504</v>
      </c>
    </row>
    <row r="360" spans="1:3">
      <c r="A360" s="216" t="s">
        <v>1545</v>
      </c>
      <c r="B360" s="218">
        <f t="shared" si="5"/>
        <v>41671</v>
      </c>
      <c r="C360" s="216" t="s">
        <v>1544</v>
      </c>
    </row>
    <row r="361" spans="1:3">
      <c r="A361" s="216" t="s">
        <v>1509</v>
      </c>
      <c r="B361" s="218">
        <f t="shared" si="5"/>
        <v>41609</v>
      </c>
      <c r="C361" s="216" t="s">
        <v>1508</v>
      </c>
    </row>
    <row r="362" spans="1:3">
      <c r="A362" s="216" t="s">
        <v>1533</v>
      </c>
      <c r="B362" s="218">
        <f t="shared" si="5"/>
        <v>41699</v>
      </c>
      <c r="C362" s="216" t="s">
        <v>1532</v>
      </c>
    </row>
    <row r="363" spans="1:3">
      <c r="A363" s="216" t="s">
        <v>1501</v>
      </c>
      <c r="B363" s="218">
        <f t="shared" si="5"/>
        <v>41334</v>
      </c>
      <c r="C363" s="216" t="s">
        <v>1500</v>
      </c>
    </row>
    <row r="364" spans="1:3">
      <c r="A364" s="216" t="s">
        <v>1537</v>
      </c>
      <c r="B364" s="218">
        <f t="shared" si="5"/>
        <v>41640</v>
      </c>
      <c r="C364" s="216" t="s">
        <v>1536</v>
      </c>
    </row>
    <row r="365" spans="1:3">
      <c r="A365" s="216" t="s">
        <v>1519</v>
      </c>
      <c r="B365" s="218">
        <f t="shared" si="5"/>
        <v>41974</v>
      </c>
      <c r="C365" s="216" t="s">
        <v>1518</v>
      </c>
    </row>
    <row r="366" spans="1:3">
      <c r="A366" s="216" t="s">
        <v>1499</v>
      </c>
      <c r="B366" s="218">
        <f t="shared" si="5"/>
        <v>41487</v>
      </c>
      <c r="C366" s="216" t="s">
        <v>1498</v>
      </c>
    </row>
    <row r="367" spans="1:3">
      <c r="A367" s="216" t="s">
        <v>1529</v>
      </c>
      <c r="B367" s="218">
        <f t="shared" si="5"/>
        <v>41821</v>
      </c>
      <c r="C367" s="216" t="s">
        <v>1528</v>
      </c>
    </row>
    <row r="368" spans="1:3">
      <c r="A368" s="216" t="s">
        <v>1541</v>
      </c>
      <c r="B368" s="218">
        <f t="shared" si="5"/>
        <v>41275</v>
      </c>
      <c r="C368" s="216" t="s">
        <v>1540</v>
      </c>
    </row>
    <row r="369" spans="1:3">
      <c r="A369" s="216" t="s">
        <v>1511</v>
      </c>
      <c r="B369" s="218">
        <f t="shared" si="5"/>
        <v>41306</v>
      </c>
      <c r="C369" s="216" t="s">
        <v>1510</v>
      </c>
    </row>
    <row r="370" spans="1:3">
      <c r="A370" s="216" t="s">
        <v>1519</v>
      </c>
      <c r="B370" s="218">
        <f t="shared" si="5"/>
        <v>41974</v>
      </c>
      <c r="C370" s="216" t="s">
        <v>1518</v>
      </c>
    </row>
    <row r="371" spans="1:3">
      <c r="A371" s="216" t="s">
        <v>1517</v>
      </c>
      <c r="B371" s="218">
        <f t="shared" si="5"/>
        <v>41426</v>
      </c>
      <c r="C371" s="216" t="s">
        <v>1516</v>
      </c>
    </row>
    <row r="372" spans="1:3">
      <c r="A372" s="216" t="s">
        <v>1523</v>
      </c>
      <c r="B372" s="218">
        <f t="shared" si="5"/>
        <v>41395</v>
      </c>
      <c r="C372" s="216" t="s">
        <v>1522</v>
      </c>
    </row>
    <row r="373" spans="1:3">
      <c r="A373" s="216" t="s">
        <v>1503</v>
      </c>
      <c r="B373" s="218">
        <f t="shared" si="5"/>
        <v>41548</v>
      </c>
      <c r="C373" s="216" t="s">
        <v>1502</v>
      </c>
    </row>
    <row r="374" spans="1:3">
      <c r="A374" s="216" t="s">
        <v>1509</v>
      </c>
      <c r="B374" s="218">
        <f t="shared" si="5"/>
        <v>41609</v>
      </c>
      <c r="C374" s="216" t="s">
        <v>1508</v>
      </c>
    </row>
    <row r="375" spans="1:3">
      <c r="A375" s="216" t="s">
        <v>1499</v>
      </c>
      <c r="B375" s="218">
        <f t="shared" si="5"/>
        <v>41487</v>
      </c>
      <c r="C375" s="216" t="s">
        <v>1498</v>
      </c>
    </row>
    <row r="376" spans="1:3">
      <c r="A376" s="216" t="s">
        <v>1511</v>
      </c>
      <c r="B376" s="218">
        <f t="shared" si="5"/>
        <v>41306</v>
      </c>
      <c r="C376" s="216" t="s">
        <v>1510</v>
      </c>
    </row>
    <row r="377" spans="1:3">
      <c r="A377" s="216" t="s">
        <v>1519</v>
      </c>
      <c r="B377" s="218">
        <f t="shared" si="5"/>
        <v>41974</v>
      </c>
      <c r="C377" s="216" t="s">
        <v>1518</v>
      </c>
    </row>
    <row r="378" spans="1:3">
      <c r="A378" s="216" t="s">
        <v>1527</v>
      </c>
      <c r="B378" s="218">
        <f t="shared" si="5"/>
        <v>41730</v>
      </c>
      <c r="C378" s="216" t="s">
        <v>1526</v>
      </c>
    </row>
    <row r="379" spans="1:3">
      <c r="A379" s="216" t="s">
        <v>1523</v>
      </c>
      <c r="B379" s="218">
        <f t="shared" si="5"/>
        <v>41395</v>
      </c>
      <c r="C379" s="216" t="s">
        <v>1522</v>
      </c>
    </row>
    <row r="380" spans="1:3">
      <c r="A380" s="216" t="s">
        <v>1501</v>
      </c>
      <c r="B380" s="218">
        <f t="shared" si="5"/>
        <v>41334</v>
      </c>
      <c r="C380" s="216" t="s">
        <v>1500</v>
      </c>
    </row>
    <row r="381" spans="1:3">
      <c r="A381" s="216" t="s">
        <v>1541</v>
      </c>
      <c r="B381" s="218">
        <f t="shared" si="5"/>
        <v>41275</v>
      </c>
      <c r="C381" s="216" t="s">
        <v>1540</v>
      </c>
    </row>
    <row r="382" spans="1:3">
      <c r="A382" s="216" t="s">
        <v>1519</v>
      </c>
      <c r="B382" s="218">
        <f t="shared" si="5"/>
        <v>41974</v>
      </c>
      <c r="C382" s="216" t="s">
        <v>1518</v>
      </c>
    </row>
    <row r="383" spans="1:3">
      <c r="A383" s="216" t="s">
        <v>1543</v>
      </c>
      <c r="B383" s="218">
        <f t="shared" si="5"/>
        <v>41944</v>
      </c>
      <c r="C383" s="216" t="s">
        <v>1542</v>
      </c>
    </row>
    <row r="384" spans="1:3">
      <c r="A384" s="216" t="s">
        <v>1521</v>
      </c>
      <c r="B384" s="218">
        <f t="shared" si="5"/>
        <v>41791</v>
      </c>
      <c r="C384" s="216" t="s">
        <v>1520</v>
      </c>
    </row>
    <row r="385" spans="1:3">
      <c r="A385" s="216" t="s">
        <v>1505</v>
      </c>
      <c r="B385" s="218">
        <f t="shared" si="5"/>
        <v>41365</v>
      </c>
      <c r="C385" s="216" t="s">
        <v>1504</v>
      </c>
    </row>
    <row r="386" spans="1:3">
      <c r="A386" s="216" t="s">
        <v>1525</v>
      </c>
      <c r="B386" s="218">
        <f t="shared" si="5"/>
        <v>41883</v>
      </c>
      <c r="C386" s="216" t="s">
        <v>1524</v>
      </c>
    </row>
    <row r="387" spans="1:3">
      <c r="A387" s="216" t="s">
        <v>1541</v>
      </c>
      <c r="B387" s="218">
        <f t="shared" ref="B387:B450" si="6">DATE(RIGHT(A387,4),LEFT(A387,2),1)</f>
        <v>41275</v>
      </c>
      <c r="C387" s="216" t="s">
        <v>1540</v>
      </c>
    </row>
    <row r="388" spans="1:3">
      <c r="A388" s="216" t="s">
        <v>1527</v>
      </c>
      <c r="B388" s="218">
        <f t="shared" si="6"/>
        <v>41730</v>
      </c>
      <c r="C388" s="216" t="s">
        <v>1526</v>
      </c>
    </row>
    <row r="389" spans="1:3">
      <c r="A389" s="216" t="s">
        <v>1531</v>
      </c>
      <c r="B389" s="218">
        <f t="shared" si="6"/>
        <v>41760</v>
      </c>
      <c r="C389" s="216" t="s">
        <v>1530</v>
      </c>
    </row>
    <row r="390" spans="1:3">
      <c r="A390" s="216" t="s">
        <v>1515</v>
      </c>
      <c r="B390" s="218">
        <f t="shared" si="6"/>
        <v>41456</v>
      </c>
      <c r="C390" s="216" t="s">
        <v>1514</v>
      </c>
    </row>
    <row r="391" spans="1:3">
      <c r="A391" s="216" t="s">
        <v>1519</v>
      </c>
      <c r="B391" s="218">
        <f t="shared" si="6"/>
        <v>41974</v>
      </c>
      <c r="C391" s="216" t="s">
        <v>1518</v>
      </c>
    </row>
    <row r="392" spans="1:3">
      <c r="A392" s="216" t="s">
        <v>1527</v>
      </c>
      <c r="B392" s="218">
        <f t="shared" si="6"/>
        <v>41730</v>
      </c>
      <c r="C392" s="216" t="s">
        <v>1526</v>
      </c>
    </row>
    <row r="393" spans="1:3">
      <c r="A393" s="216" t="s">
        <v>1537</v>
      </c>
      <c r="B393" s="218">
        <f t="shared" si="6"/>
        <v>41640</v>
      </c>
      <c r="C393" s="216" t="s">
        <v>1536</v>
      </c>
    </row>
    <row r="394" spans="1:3">
      <c r="A394" s="216" t="s">
        <v>1541</v>
      </c>
      <c r="B394" s="218">
        <f t="shared" si="6"/>
        <v>41275</v>
      </c>
      <c r="C394" s="216" t="s">
        <v>1540</v>
      </c>
    </row>
    <row r="395" spans="1:3">
      <c r="A395" s="216" t="s">
        <v>1545</v>
      </c>
      <c r="B395" s="218">
        <f t="shared" si="6"/>
        <v>41671</v>
      </c>
      <c r="C395" s="216" t="s">
        <v>1544</v>
      </c>
    </row>
    <row r="396" spans="1:3">
      <c r="A396" s="216" t="s">
        <v>1513</v>
      </c>
      <c r="B396" s="218">
        <f t="shared" si="6"/>
        <v>41579</v>
      </c>
      <c r="C396" s="216" t="s">
        <v>1512</v>
      </c>
    </row>
    <row r="397" spans="1:3">
      <c r="A397" s="216" t="s">
        <v>1537</v>
      </c>
      <c r="B397" s="218">
        <f t="shared" si="6"/>
        <v>41640</v>
      </c>
      <c r="C397" s="216" t="s">
        <v>1536</v>
      </c>
    </row>
    <row r="398" spans="1:3">
      <c r="A398" s="216" t="s">
        <v>1529</v>
      </c>
      <c r="B398" s="218">
        <f t="shared" si="6"/>
        <v>41821</v>
      </c>
      <c r="C398" s="216" t="s">
        <v>1528</v>
      </c>
    </row>
    <row r="399" spans="1:3">
      <c r="A399" s="216" t="s">
        <v>1509</v>
      </c>
      <c r="B399" s="218">
        <f t="shared" si="6"/>
        <v>41609</v>
      </c>
      <c r="C399" s="216" t="s">
        <v>1508</v>
      </c>
    </row>
    <row r="400" spans="1:3">
      <c r="A400" s="216" t="s">
        <v>1529</v>
      </c>
      <c r="B400" s="218">
        <f t="shared" si="6"/>
        <v>41821</v>
      </c>
      <c r="C400" s="216" t="s">
        <v>1528</v>
      </c>
    </row>
    <row r="401" spans="1:3">
      <c r="A401" s="216" t="s">
        <v>1505</v>
      </c>
      <c r="B401" s="218">
        <f t="shared" si="6"/>
        <v>41365</v>
      </c>
      <c r="C401" s="216" t="s">
        <v>1504</v>
      </c>
    </row>
    <row r="402" spans="1:3">
      <c r="A402" s="216" t="s">
        <v>1543</v>
      </c>
      <c r="B402" s="218">
        <f t="shared" si="6"/>
        <v>41944</v>
      </c>
      <c r="C402" s="216" t="s">
        <v>1542</v>
      </c>
    </row>
    <row r="403" spans="1:3">
      <c r="A403" s="216" t="s">
        <v>1525</v>
      </c>
      <c r="B403" s="218">
        <f t="shared" si="6"/>
        <v>41883</v>
      </c>
      <c r="C403" s="216" t="s">
        <v>1524</v>
      </c>
    </row>
    <row r="404" spans="1:3">
      <c r="A404" s="216" t="s">
        <v>1541</v>
      </c>
      <c r="B404" s="218">
        <f t="shared" si="6"/>
        <v>41275</v>
      </c>
      <c r="C404" s="216" t="s">
        <v>1540</v>
      </c>
    </row>
    <row r="405" spans="1:3">
      <c r="A405" s="216" t="s">
        <v>1509</v>
      </c>
      <c r="B405" s="218">
        <f t="shared" si="6"/>
        <v>41609</v>
      </c>
      <c r="C405" s="216" t="s">
        <v>1508</v>
      </c>
    </row>
    <row r="406" spans="1:3">
      <c r="A406" s="216" t="s">
        <v>1505</v>
      </c>
      <c r="B406" s="218">
        <f t="shared" si="6"/>
        <v>41365</v>
      </c>
      <c r="C406" s="216" t="s">
        <v>1504</v>
      </c>
    </row>
    <row r="407" spans="1:3">
      <c r="A407" s="216" t="s">
        <v>1503</v>
      </c>
      <c r="B407" s="218">
        <f t="shared" si="6"/>
        <v>41548</v>
      </c>
      <c r="C407" s="216" t="s">
        <v>1502</v>
      </c>
    </row>
    <row r="408" spans="1:3">
      <c r="A408" s="216" t="s">
        <v>1537</v>
      </c>
      <c r="B408" s="218">
        <f t="shared" si="6"/>
        <v>41640</v>
      </c>
      <c r="C408" s="216" t="s">
        <v>1536</v>
      </c>
    </row>
    <row r="409" spans="1:3">
      <c r="A409" s="216" t="s">
        <v>1533</v>
      </c>
      <c r="B409" s="218">
        <f t="shared" si="6"/>
        <v>41699</v>
      </c>
      <c r="C409" s="216" t="s">
        <v>1532</v>
      </c>
    </row>
    <row r="410" spans="1:3">
      <c r="A410" s="216" t="s">
        <v>1533</v>
      </c>
      <c r="B410" s="218">
        <f t="shared" si="6"/>
        <v>41699</v>
      </c>
      <c r="C410" s="216" t="s">
        <v>1532</v>
      </c>
    </row>
    <row r="411" spans="1:3">
      <c r="A411" s="216" t="s">
        <v>1515</v>
      </c>
      <c r="B411" s="218">
        <f t="shared" si="6"/>
        <v>41456</v>
      </c>
      <c r="C411" s="216" t="s">
        <v>1514</v>
      </c>
    </row>
    <row r="412" spans="1:3">
      <c r="A412" s="216" t="s">
        <v>1533</v>
      </c>
      <c r="B412" s="218">
        <f t="shared" si="6"/>
        <v>41699</v>
      </c>
      <c r="C412" s="216" t="s">
        <v>1532</v>
      </c>
    </row>
    <row r="413" spans="1:3">
      <c r="A413" s="216" t="s">
        <v>1509</v>
      </c>
      <c r="B413" s="218">
        <f t="shared" si="6"/>
        <v>41609</v>
      </c>
      <c r="C413" s="216" t="s">
        <v>1508</v>
      </c>
    </row>
    <row r="414" spans="1:3">
      <c r="A414" s="216" t="s">
        <v>1529</v>
      </c>
      <c r="B414" s="218">
        <f t="shared" si="6"/>
        <v>41821</v>
      </c>
      <c r="C414" s="216" t="s">
        <v>1528</v>
      </c>
    </row>
    <row r="415" spans="1:3">
      <c r="A415" s="216" t="s">
        <v>1513</v>
      </c>
      <c r="B415" s="218">
        <f t="shared" si="6"/>
        <v>41579</v>
      </c>
      <c r="C415" s="216" t="s">
        <v>1512</v>
      </c>
    </row>
    <row r="416" spans="1:3">
      <c r="A416" s="216" t="s">
        <v>1523</v>
      </c>
      <c r="B416" s="218">
        <f t="shared" si="6"/>
        <v>41395</v>
      </c>
      <c r="C416" s="216" t="s">
        <v>1522</v>
      </c>
    </row>
    <row r="417" spans="1:3">
      <c r="A417" s="216" t="s">
        <v>1519</v>
      </c>
      <c r="B417" s="218">
        <f t="shared" si="6"/>
        <v>41974</v>
      </c>
      <c r="C417" s="216" t="s">
        <v>1518</v>
      </c>
    </row>
    <row r="418" spans="1:3">
      <c r="A418" s="216" t="s">
        <v>1521</v>
      </c>
      <c r="B418" s="218">
        <f t="shared" si="6"/>
        <v>41791</v>
      </c>
      <c r="C418" s="216" t="s">
        <v>1520</v>
      </c>
    </row>
    <row r="419" spans="1:3">
      <c r="A419" s="216" t="s">
        <v>1511</v>
      </c>
      <c r="B419" s="218">
        <f t="shared" si="6"/>
        <v>41306</v>
      </c>
      <c r="C419" s="216" t="s">
        <v>1510</v>
      </c>
    </row>
    <row r="420" spans="1:3">
      <c r="A420" s="216" t="s">
        <v>1537</v>
      </c>
      <c r="B420" s="218">
        <f t="shared" si="6"/>
        <v>41640</v>
      </c>
      <c r="C420" s="216" t="s">
        <v>1536</v>
      </c>
    </row>
    <row r="421" spans="1:3">
      <c r="A421" s="216" t="s">
        <v>1509</v>
      </c>
      <c r="B421" s="218">
        <f t="shared" si="6"/>
        <v>41609</v>
      </c>
      <c r="C421" s="216" t="s">
        <v>1508</v>
      </c>
    </row>
    <row r="422" spans="1:3">
      <c r="A422" s="216" t="s">
        <v>1541</v>
      </c>
      <c r="B422" s="218">
        <f t="shared" si="6"/>
        <v>41275</v>
      </c>
      <c r="C422" s="216" t="s">
        <v>1540</v>
      </c>
    </row>
    <row r="423" spans="1:3">
      <c r="A423" s="216" t="s">
        <v>1503</v>
      </c>
      <c r="B423" s="218">
        <f t="shared" si="6"/>
        <v>41548</v>
      </c>
      <c r="C423" s="216" t="s">
        <v>1502</v>
      </c>
    </row>
    <row r="424" spans="1:3">
      <c r="A424" s="216" t="s">
        <v>1523</v>
      </c>
      <c r="B424" s="218">
        <f t="shared" si="6"/>
        <v>41395</v>
      </c>
      <c r="C424" s="216" t="s">
        <v>1522</v>
      </c>
    </row>
    <row r="425" spans="1:3">
      <c r="A425" s="216" t="s">
        <v>1525</v>
      </c>
      <c r="B425" s="218">
        <f t="shared" si="6"/>
        <v>41883</v>
      </c>
      <c r="C425" s="216" t="s">
        <v>1524</v>
      </c>
    </row>
    <row r="426" spans="1:3">
      <c r="A426" s="216" t="s">
        <v>1527</v>
      </c>
      <c r="B426" s="218">
        <f t="shared" si="6"/>
        <v>41730</v>
      </c>
      <c r="C426" s="216" t="s">
        <v>1526</v>
      </c>
    </row>
    <row r="427" spans="1:3">
      <c r="A427" s="216" t="s">
        <v>1541</v>
      </c>
      <c r="B427" s="218">
        <f t="shared" si="6"/>
        <v>41275</v>
      </c>
      <c r="C427" s="216" t="s">
        <v>1540</v>
      </c>
    </row>
    <row r="428" spans="1:3">
      <c r="A428" s="216" t="s">
        <v>1511</v>
      </c>
      <c r="B428" s="218">
        <f t="shared" si="6"/>
        <v>41306</v>
      </c>
      <c r="C428" s="216" t="s">
        <v>1510</v>
      </c>
    </row>
    <row r="429" spans="1:3">
      <c r="A429" s="216" t="s">
        <v>1509</v>
      </c>
      <c r="B429" s="218">
        <f t="shared" si="6"/>
        <v>41609</v>
      </c>
      <c r="C429" s="216" t="s">
        <v>1508</v>
      </c>
    </row>
    <row r="430" spans="1:3">
      <c r="A430" s="216" t="s">
        <v>1543</v>
      </c>
      <c r="B430" s="218">
        <f t="shared" si="6"/>
        <v>41944</v>
      </c>
      <c r="C430" s="216" t="s">
        <v>1542</v>
      </c>
    </row>
    <row r="431" spans="1:3">
      <c r="A431" s="216" t="s">
        <v>1543</v>
      </c>
      <c r="B431" s="218">
        <f t="shared" si="6"/>
        <v>41944</v>
      </c>
      <c r="C431" s="216" t="s">
        <v>1542</v>
      </c>
    </row>
    <row r="432" spans="1:3">
      <c r="A432" s="216" t="s">
        <v>1529</v>
      </c>
      <c r="B432" s="218">
        <f t="shared" si="6"/>
        <v>41821</v>
      </c>
      <c r="C432" s="216" t="s">
        <v>1528</v>
      </c>
    </row>
    <row r="433" spans="1:3">
      <c r="A433" s="216" t="s">
        <v>1515</v>
      </c>
      <c r="B433" s="218">
        <f t="shared" si="6"/>
        <v>41456</v>
      </c>
      <c r="C433" s="216" t="s">
        <v>1514</v>
      </c>
    </row>
    <row r="434" spans="1:3">
      <c r="A434" s="216" t="s">
        <v>1527</v>
      </c>
      <c r="B434" s="218">
        <f t="shared" si="6"/>
        <v>41730</v>
      </c>
      <c r="C434" s="216" t="s">
        <v>1526</v>
      </c>
    </row>
    <row r="435" spans="1:3">
      <c r="A435" s="216" t="s">
        <v>1531</v>
      </c>
      <c r="B435" s="218">
        <f t="shared" si="6"/>
        <v>41760</v>
      </c>
      <c r="C435" s="216" t="s">
        <v>1530</v>
      </c>
    </row>
    <row r="436" spans="1:3">
      <c r="A436" s="216" t="s">
        <v>1537</v>
      </c>
      <c r="B436" s="218">
        <f t="shared" si="6"/>
        <v>41640</v>
      </c>
      <c r="C436" s="216" t="s">
        <v>1536</v>
      </c>
    </row>
    <row r="437" spans="1:3">
      <c r="A437" s="216" t="s">
        <v>1501</v>
      </c>
      <c r="B437" s="218">
        <f t="shared" si="6"/>
        <v>41334</v>
      </c>
      <c r="C437" s="216" t="s">
        <v>1500</v>
      </c>
    </row>
    <row r="438" spans="1:3">
      <c r="A438" s="216" t="s">
        <v>1527</v>
      </c>
      <c r="B438" s="218">
        <f t="shared" si="6"/>
        <v>41730</v>
      </c>
      <c r="C438" s="216" t="s">
        <v>1526</v>
      </c>
    </row>
    <row r="439" spans="1:3">
      <c r="A439" s="216" t="s">
        <v>1527</v>
      </c>
      <c r="B439" s="218">
        <f t="shared" si="6"/>
        <v>41730</v>
      </c>
      <c r="C439" s="216" t="s">
        <v>1526</v>
      </c>
    </row>
    <row r="440" spans="1:3">
      <c r="A440" s="216" t="s">
        <v>1523</v>
      </c>
      <c r="B440" s="218">
        <f t="shared" si="6"/>
        <v>41395</v>
      </c>
      <c r="C440" s="216" t="s">
        <v>1522</v>
      </c>
    </row>
    <row r="441" spans="1:3">
      <c r="A441" s="216" t="s">
        <v>1513</v>
      </c>
      <c r="B441" s="218">
        <f t="shared" si="6"/>
        <v>41579</v>
      </c>
      <c r="C441" s="216" t="s">
        <v>1512</v>
      </c>
    </row>
    <row r="442" spans="1:3">
      <c r="A442" s="216" t="s">
        <v>1515</v>
      </c>
      <c r="B442" s="218">
        <f t="shared" si="6"/>
        <v>41456</v>
      </c>
      <c r="C442" s="216" t="s">
        <v>1514</v>
      </c>
    </row>
    <row r="443" spans="1:3">
      <c r="A443" s="216" t="s">
        <v>1543</v>
      </c>
      <c r="B443" s="218">
        <f t="shared" si="6"/>
        <v>41944</v>
      </c>
      <c r="C443" s="216" t="s">
        <v>1542</v>
      </c>
    </row>
    <row r="444" spans="1:3">
      <c r="A444" s="216" t="s">
        <v>1507</v>
      </c>
      <c r="B444" s="218">
        <f t="shared" si="6"/>
        <v>41913</v>
      </c>
      <c r="C444" s="216" t="s">
        <v>1506</v>
      </c>
    </row>
    <row r="445" spans="1:3">
      <c r="A445" s="216" t="s">
        <v>1513</v>
      </c>
      <c r="B445" s="218">
        <f t="shared" si="6"/>
        <v>41579</v>
      </c>
      <c r="C445" s="216" t="s">
        <v>1512</v>
      </c>
    </row>
    <row r="446" spans="1:3">
      <c r="A446" s="216" t="s">
        <v>1539</v>
      </c>
      <c r="B446" s="218">
        <f t="shared" si="6"/>
        <v>41852</v>
      </c>
      <c r="C446" s="216" t="s">
        <v>1538</v>
      </c>
    </row>
    <row r="447" spans="1:3">
      <c r="A447" s="216" t="s">
        <v>1501</v>
      </c>
      <c r="B447" s="218">
        <f t="shared" si="6"/>
        <v>41334</v>
      </c>
      <c r="C447" s="216" t="s">
        <v>1500</v>
      </c>
    </row>
    <row r="448" spans="1:3">
      <c r="A448" s="216" t="s">
        <v>1501</v>
      </c>
      <c r="B448" s="218">
        <f t="shared" si="6"/>
        <v>41334</v>
      </c>
      <c r="C448" s="216" t="s">
        <v>1500</v>
      </c>
    </row>
    <row r="449" spans="1:3">
      <c r="A449" s="216" t="s">
        <v>1539</v>
      </c>
      <c r="B449" s="218">
        <f t="shared" si="6"/>
        <v>41852</v>
      </c>
      <c r="C449" s="216" t="s">
        <v>1538</v>
      </c>
    </row>
    <row r="450" spans="1:3">
      <c r="A450" s="216" t="s">
        <v>1543</v>
      </c>
      <c r="B450" s="218">
        <f t="shared" si="6"/>
        <v>41944</v>
      </c>
      <c r="C450" s="216" t="s">
        <v>1542</v>
      </c>
    </row>
    <row r="451" spans="1:3">
      <c r="A451" s="216" t="s">
        <v>1531</v>
      </c>
      <c r="B451" s="218">
        <f t="shared" ref="B451:B514" si="7">DATE(RIGHT(A451,4),LEFT(A451,2),1)</f>
        <v>41760</v>
      </c>
      <c r="C451" s="216" t="s">
        <v>1530</v>
      </c>
    </row>
    <row r="452" spans="1:3">
      <c r="A452" s="216" t="s">
        <v>1531</v>
      </c>
      <c r="B452" s="218">
        <f t="shared" si="7"/>
        <v>41760</v>
      </c>
      <c r="C452" s="216" t="s">
        <v>1530</v>
      </c>
    </row>
    <row r="453" spans="1:3">
      <c r="A453" s="216" t="s">
        <v>1523</v>
      </c>
      <c r="B453" s="218">
        <f t="shared" si="7"/>
        <v>41395</v>
      </c>
      <c r="C453" s="216" t="s">
        <v>1522</v>
      </c>
    </row>
    <row r="454" spans="1:3">
      <c r="A454" s="216" t="s">
        <v>1503</v>
      </c>
      <c r="B454" s="218">
        <f t="shared" si="7"/>
        <v>41548</v>
      </c>
      <c r="C454" s="216" t="s">
        <v>1502</v>
      </c>
    </row>
    <row r="455" spans="1:3">
      <c r="A455" s="216" t="s">
        <v>1529</v>
      </c>
      <c r="B455" s="218">
        <f t="shared" si="7"/>
        <v>41821</v>
      </c>
      <c r="C455" s="216" t="s">
        <v>1528</v>
      </c>
    </row>
    <row r="456" spans="1:3">
      <c r="A456" s="216" t="s">
        <v>1513</v>
      </c>
      <c r="B456" s="218">
        <f t="shared" si="7"/>
        <v>41579</v>
      </c>
      <c r="C456" s="216" t="s">
        <v>1512</v>
      </c>
    </row>
    <row r="457" spans="1:3">
      <c r="A457" s="216" t="s">
        <v>1543</v>
      </c>
      <c r="B457" s="218">
        <f t="shared" si="7"/>
        <v>41944</v>
      </c>
      <c r="C457" s="216" t="s">
        <v>1542</v>
      </c>
    </row>
    <row r="458" spans="1:3">
      <c r="A458" s="216" t="s">
        <v>1541</v>
      </c>
      <c r="B458" s="218">
        <f t="shared" si="7"/>
        <v>41275</v>
      </c>
      <c r="C458" s="216" t="s">
        <v>1540</v>
      </c>
    </row>
    <row r="459" spans="1:3">
      <c r="A459" s="216" t="s">
        <v>1535</v>
      </c>
      <c r="B459" s="218">
        <f t="shared" si="7"/>
        <v>41518</v>
      </c>
      <c r="C459" s="216" t="s">
        <v>1534</v>
      </c>
    </row>
    <row r="460" spans="1:3">
      <c r="A460" s="216" t="s">
        <v>1501</v>
      </c>
      <c r="B460" s="218">
        <f t="shared" si="7"/>
        <v>41334</v>
      </c>
      <c r="C460" s="216" t="s">
        <v>1500</v>
      </c>
    </row>
    <row r="461" spans="1:3">
      <c r="A461" s="216" t="s">
        <v>1513</v>
      </c>
      <c r="B461" s="218">
        <f t="shared" si="7"/>
        <v>41579</v>
      </c>
      <c r="C461" s="216" t="s">
        <v>1512</v>
      </c>
    </row>
    <row r="462" spans="1:3">
      <c r="A462" s="216" t="s">
        <v>1545</v>
      </c>
      <c r="B462" s="218">
        <f t="shared" si="7"/>
        <v>41671</v>
      </c>
      <c r="C462" s="216" t="s">
        <v>1544</v>
      </c>
    </row>
    <row r="463" spans="1:3">
      <c r="A463" s="216" t="s">
        <v>1501</v>
      </c>
      <c r="B463" s="218">
        <f t="shared" si="7"/>
        <v>41334</v>
      </c>
      <c r="C463" s="216" t="s">
        <v>1500</v>
      </c>
    </row>
    <row r="464" spans="1:3">
      <c r="A464" s="216" t="s">
        <v>1521</v>
      </c>
      <c r="B464" s="218">
        <f t="shared" si="7"/>
        <v>41791</v>
      </c>
      <c r="C464" s="216" t="s">
        <v>1520</v>
      </c>
    </row>
    <row r="465" spans="1:3">
      <c r="A465" s="216" t="s">
        <v>1511</v>
      </c>
      <c r="B465" s="218">
        <f t="shared" si="7"/>
        <v>41306</v>
      </c>
      <c r="C465" s="216" t="s">
        <v>1510</v>
      </c>
    </row>
    <row r="466" spans="1:3">
      <c r="A466" s="216" t="s">
        <v>1519</v>
      </c>
      <c r="B466" s="218">
        <f t="shared" si="7"/>
        <v>41974</v>
      </c>
      <c r="C466" s="216" t="s">
        <v>1518</v>
      </c>
    </row>
    <row r="467" spans="1:3">
      <c r="A467" s="216" t="s">
        <v>1501</v>
      </c>
      <c r="B467" s="218">
        <f t="shared" si="7"/>
        <v>41334</v>
      </c>
      <c r="C467" s="216" t="s">
        <v>1500</v>
      </c>
    </row>
    <row r="468" spans="1:3">
      <c r="A468" s="216" t="s">
        <v>1525</v>
      </c>
      <c r="B468" s="218">
        <f t="shared" si="7"/>
        <v>41883</v>
      </c>
      <c r="C468" s="216" t="s">
        <v>1524</v>
      </c>
    </row>
    <row r="469" spans="1:3">
      <c r="A469" s="216" t="s">
        <v>1523</v>
      </c>
      <c r="B469" s="218">
        <f t="shared" si="7"/>
        <v>41395</v>
      </c>
      <c r="C469" s="216" t="s">
        <v>1522</v>
      </c>
    </row>
    <row r="470" spans="1:3">
      <c r="A470" s="216" t="s">
        <v>1535</v>
      </c>
      <c r="B470" s="218">
        <f t="shared" si="7"/>
        <v>41518</v>
      </c>
      <c r="C470" s="216" t="s">
        <v>1534</v>
      </c>
    </row>
    <row r="471" spans="1:3">
      <c r="A471" s="216" t="s">
        <v>1505</v>
      </c>
      <c r="B471" s="218">
        <f t="shared" si="7"/>
        <v>41365</v>
      </c>
      <c r="C471" s="216" t="s">
        <v>1504</v>
      </c>
    </row>
    <row r="472" spans="1:3">
      <c r="A472" s="216" t="s">
        <v>1515</v>
      </c>
      <c r="B472" s="218">
        <f t="shared" si="7"/>
        <v>41456</v>
      </c>
      <c r="C472" s="216" t="s">
        <v>1514</v>
      </c>
    </row>
    <row r="473" spans="1:3">
      <c r="A473" s="216" t="s">
        <v>1505</v>
      </c>
      <c r="B473" s="218">
        <f t="shared" si="7"/>
        <v>41365</v>
      </c>
      <c r="C473" s="216" t="s">
        <v>1504</v>
      </c>
    </row>
    <row r="474" spans="1:3">
      <c r="A474" s="216" t="s">
        <v>1531</v>
      </c>
      <c r="B474" s="218">
        <f t="shared" si="7"/>
        <v>41760</v>
      </c>
      <c r="C474" s="216" t="s">
        <v>1530</v>
      </c>
    </row>
    <row r="475" spans="1:3">
      <c r="A475" s="216" t="s">
        <v>1505</v>
      </c>
      <c r="B475" s="218">
        <f t="shared" si="7"/>
        <v>41365</v>
      </c>
      <c r="C475" s="216" t="s">
        <v>1504</v>
      </c>
    </row>
    <row r="476" spans="1:3">
      <c r="A476" s="216" t="s">
        <v>1527</v>
      </c>
      <c r="B476" s="218">
        <f t="shared" si="7"/>
        <v>41730</v>
      </c>
      <c r="C476" s="216" t="s">
        <v>1526</v>
      </c>
    </row>
    <row r="477" spans="1:3">
      <c r="A477" s="216" t="s">
        <v>1507</v>
      </c>
      <c r="B477" s="218">
        <f t="shared" si="7"/>
        <v>41913</v>
      </c>
      <c r="C477" s="216" t="s">
        <v>1506</v>
      </c>
    </row>
    <row r="478" spans="1:3">
      <c r="A478" s="216" t="s">
        <v>1523</v>
      </c>
      <c r="B478" s="218">
        <f t="shared" si="7"/>
        <v>41395</v>
      </c>
      <c r="C478" s="216" t="s">
        <v>1522</v>
      </c>
    </row>
    <row r="479" spans="1:3">
      <c r="A479" s="216" t="s">
        <v>1519</v>
      </c>
      <c r="B479" s="218">
        <f t="shared" si="7"/>
        <v>41974</v>
      </c>
      <c r="C479" s="216" t="s">
        <v>1518</v>
      </c>
    </row>
    <row r="480" spans="1:3">
      <c r="A480" s="216" t="s">
        <v>1505</v>
      </c>
      <c r="B480" s="218">
        <f t="shared" si="7"/>
        <v>41365</v>
      </c>
      <c r="C480" s="216" t="s">
        <v>1504</v>
      </c>
    </row>
    <row r="481" spans="1:3">
      <c r="A481" s="216" t="s">
        <v>1525</v>
      </c>
      <c r="B481" s="218">
        <f t="shared" si="7"/>
        <v>41883</v>
      </c>
      <c r="C481" s="216" t="s">
        <v>1524</v>
      </c>
    </row>
    <row r="482" spans="1:3">
      <c r="A482" s="216" t="s">
        <v>1537</v>
      </c>
      <c r="B482" s="218">
        <f t="shared" si="7"/>
        <v>41640</v>
      </c>
      <c r="C482" s="216" t="s">
        <v>1536</v>
      </c>
    </row>
    <row r="483" spans="1:3">
      <c r="A483" s="216" t="s">
        <v>1537</v>
      </c>
      <c r="B483" s="218">
        <f t="shared" si="7"/>
        <v>41640</v>
      </c>
      <c r="C483" s="216" t="s">
        <v>1536</v>
      </c>
    </row>
    <row r="484" spans="1:3">
      <c r="A484" s="216" t="s">
        <v>1523</v>
      </c>
      <c r="B484" s="218">
        <f t="shared" si="7"/>
        <v>41395</v>
      </c>
      <c r="C484" s="216" t="s">
        <v>1522</v>
      </c>
    </row>
    <row r="485" spans="1:3">
      <c r="A485" s="216" t="s">
        <v>1527</v>
      </c>
      <c r="B485" s="218">
        <f t="shared" si="7"/>
        <v>41730</v>
      </c>
      <c r="C485" s="216" t="s">
        <v>1526</v>
      </c>
    </row>
    <row r="486" spans="1:3">
      <c r="A486" s="216" t="s">
        <v>1531</v>
      </c>
      <c r="B486" s="218">
        <f t="shared" si="7"/>
        <v>41760</v>
      </c>
      <c r="C486" s="216" t="s">
        <v>1530</v>
      </c>
    </row>
    <row r="487" spans="1:3">
      <c r="A487" s="216" t="s">
        <v>1535</v>
      </c>
      <c r="B487" s="218">
        <f t="shared" si="7"/>
        <v>41518</v>
      </c>
      <c r="C487" s="216" t="s">
        <v>1534</v>
      </c>
    </row>
    <row r="488" spans="1:3">
      <c r="A488" s="216" t="s">
        <v>1539</v>
      </c>
      <c r="B488" s="218">
        <f t="shared" si="7"/>
        <v>41852</v>
      </c>
      <c r="C488" s="216" t="s">
        <v>1538</v>
      </c>
    </row>
    <row r="489" spans="1:3">
      <c r="A489" s="216" t="s">
        <v>1541</v>
      </c>
      <c r="B489" s="218">
        <f t="shared" si="7"/>
        <v>41275</v>
      </c>
      <c r="C489" s="216" t="s">
        <v>1540</v>
      </c>
    </row>
    <row r="490" spans="1:3">
      <c r="A490" s="216" t="s">
        <v>1521</v>
      </c>
      <c r="B490" s="218">
        <f t="shared" si="7"/>
        <v>41791</v>
      </c>
      <c r="C490" s="216" t="s">
        <v>1520</v>
      </c>
    </row>
    <row r="491" spans="1:3">
      <c r="A491" s="216" t="s">
        <v>1527</v>
      </c>
      <c r="B491" s="218">
        <f t="shared" si="7"/>
        <v>41730</v>
      </c>
      <c r="C491" s="216" t="s">
        <v>1526</v>
      </c>
    </row>
    <row r="492" spans="1:3">
      <c r="A492" s="216" t="s">
        <v>1521</v>
      </c>
      <c r="B492" s="218">
        <f t="shared" si="7"/>
        <v>41791</v>
      </c>
      <c r="C492" s="216" t="s">
        <v>1520</v>
      </c>
    </row>
    <row r="493" spans="1:3">
      <c r="A493" s="216" t="s">
        <v>1515</v>
      </c>
      <c r="B493" s="218">
        <f t="shared" si="7"/>
        <v>41456</v>
      </c>
      <c r="C493" s="216" t="s">
        <v>1514</v>
      </c>
    </row>
    <row r="494" spans="1:3">
      <c r="A494" s="216" t="s">
        <v>1509</v>
      </c>
      <c r="B494" s="218">
        <f t="shared" si="7"/>
        <v>41609</v>
      </c>
      <c r="C494" s="216" t="s">
        <v>1508</v>
      </c>
    </row>
    <row r="495" spans="1:3">
      <c r="A495" s="216" t="s">
        <v>1513</v>
      </c>
      <c r="B495" s="218">
        <f t="shared" si="7"/>
        <v>41579</v>
      </c>
      <c r="C495" s="216" t="s">
        <v>1512</v>
      </c>
    </row>
    <row r="496" spans="1:3">
      <c r="A496" s="216" t="s">
        <v>1545</v>
      </c>
      <c r="B496" s="218">
        <f t="shared" si="7"/>
        <v>41671</v>
      </c>
      <c r="C496" s="216" t="s">
        <v>1544</v>
      </c>
    </row>
    <row r="497" spans="1:3">
      <c r="A497" s="216" t="s">
        <v>1507</v>
      </c>
      <c r="B497" s="218">
        <f t="shared" si="7"/>
        <v>41913</v>
      </c>
      <c r="C497" s="216" t="s">
        <v>1506</v>
      </c>
    </row>
    <row r="498" spans="1:3">
      <c r="A498" s="216" t="s">
        <v>1505</v>
      </c>
      <c r="B498" s="218">
        <f t="shared" si="7"/>
        <v>41365</v>
      </c>
      <c r="C498" s="216" t="s">
        <v>1504</v>
      </c>
    </row>
    <row r="499" spans="1:3">
      <c r="A499" s="216" t="s">
        <v>1545</v>
      </c>
      <c r="B499" s="218">
        <f t="shared" si="7"/>
        <v>41671</v>
      </c>
      <c r="C499" s="216" t="s">
        <v>1544</v>
      </c>
    </row>
    <row r="500" spans="1:3">
      <c r="A500" s="216" t="s">
        <v>1537</v>
      </c>
      <c r="B500" s="218">
        <f t="shared" si="7"/>
        <v>41640</v>
      </c>
      <c r="C500" s="216" t="s">
        <v>1536</v>
      </c>
    </row>
    <row r="501" spans="1:3">
      <c r="A501" s="216" t="s">
        <v>1537</v>
      </c>
      <c r="B501" s="218">
        <f t="shared" si="7"/>
        <v>41640</v>
      </c>
      <c r="C501" s="216" t="s">
        <v>1536</v>
      </c>
    </row>
    <row r="502" spans="1:3">
      <c r="A502" s="216" t="s">
        <v>1539</v>
      </c>
      <c r="B502" s="218">
        <f t="shared" si="7"/>
        <v>41852</v>
      </c>
      <c r="C502" s="216" t="s">
        <v>1538</v>
      </c>
    </row>
    <row r="503" spans="1:3">
      <c r="A503" s="216" t="s">
        <v>1525</v>
      </c>
      <c r="B503" s="218">
        <f t="shared" si="7"/>
        <v>41883</v>
      </c>
      <c r="C503" s="216" t="s">
        <v>1524</v>
      </c>
    </row>
    <row r="504" spans="1:3">
      <c r="A504" s="216" t="s">
        <v>1509</v>
      </c>
      <c r="B504" s="218">
        <f t="shared" si="7"/>
        <v>41609</v>
      </c>
      <c r="C504" s="216" t="s">
        <v>1508</v>
      </c>
    </row>
    <row r="505" spans="1:3">
      <c r="A505" s="216" t="s">
        <v>1545</v>
      </c>
      <c r="B505" s="218">
        <f t="shared" si="7"/>
        <v>41671</v>
      </c>
      <c r="C505" s="216" t="s">
        <v>1544</v>
      </c>
    </row>
    <row r="506" spans="1:3">
      <c r="A506" s="216" t="s">
        <v>1541</v>
      </c>
      <c r="B506" s="218">
        <f t="shared" si="7"/>
        <v>41275</v>
      </c>
      <c r="C506" s="216" t="s">
        <v>1540</v>
      </c>
    </row>
    <row r="507" spans="1:3">
      <c r="A507" s="216" t="s">
        <v>1505</v>
      </c>
      <c r="B507" s="218">
        <f t="shared" si="7"/>
        <v>41365</v>
      </c>
      <c r="C507" s="216" t="s">
        <v>1504</v>
      </c>
    </row>
    <row r="508" spans="1:3">
      <c r="A508" s="216" t="s">
        <v>1535</v>
      </c>
      <c r="B508" s="218">
        <f t="shared" si="7"/>
        <v>41518</v>
      </c>
      <c r="C508" s="216" t="s">
        <v>1534</v>
      </c>
    </row>
    <row r="509" spans="1:3">
      <c r="A509" s="216" t="s">
        <v>1505</v>
      </c>
      <c r="B509" s="218">
        <f t="shared" si="7"/>
        <v>41365</v>
      </c>
      <c r="C509" s="216" t="s">
        <v>1504</v>
      </c>
    </row>
    <row r="510" spans="1:3">
      <c r="A510" s="216" t="s">
        <v>1515</v>
      </c>
      <c r="B510" s="218">
        <f t="shared" si="7"/>
        <v>41456</v>
      </c>
      <c r="C510" s="216" t="s">
        <v>1514</v>
      </c>
    </row>
    <row r="511" spans="1:3">
      <c r="A511" s="216" t="s">
        <v>1541</v>
      </c>
      <c r="B511" s="218">
        <f t="shared" si="7"/>
        <v>41275</v>
      </c>
      <c r="C511" s="216" t="s">
        <v>1540</v>
      </c>
    </row>
    <row r="512" spans="1:3">
      <c r="A512" s="216" t="s">
        <v>1537</v>
      </c>
      <c r="B512" s="218">
        <f t="shared" si="7"/>
        <v>41640</v>
      </c>
      <c r="C512" s="216" t="s">
        <v>1536</v>
      </c>
    </row>
    <row r="513" spans="1:3">
      <c r="A513" s="216" t="s">
        <v>1539</v>
      </c>
      <c r="B513" s="218">
        <f t="shared" si="7"/>
        <v>41852</v>
      </c>
      <c r="C513" s="216" t="s">
        <v>1538</v>
      </c>
    </row>
    <row r="514" spans="1:3">
      <c r="A514" s="216" t="s">
        <v>1533</v>
      </c>
      <c r="B514" s="218">
        <f t="shared" si="7"/>
        <v>41699</v>
      </c>
      <c r="C514" s="216" t="s">
        <v>1532</v>
      </c>
    </row>
    <row r="515" spans="1:3">
      <c r="A515" s="216" t="s">
        <v>1505</v>
      </c>
      <c r="B515" s="218">
        <f t="shared" ref="B515:B578" si="8">DATE(RIGHT(A515,4),LEFT(A515,2),1)</f>
        <v>41365</v>
      </c>
      <c r="C515" s="216" t="s">
        <v>1504</v>
      </c>
    </row>
    <row r="516" spans="1:3">
      <c r="A516" s="216" t="s">
        <v>1537</v>
      </c>
      <c r="B516" s="218">
        <f t="shared" si="8"/>
        <v>41640</v>
      </c>
      <c r="C516" s="216" t="s">
        <v>1536</v>
      </c>
    </row>
    <row r="517" spans="1:3">
      <c r="A517" s="216" t="s">
        <v>1509</v>
      </c>
      <c r="B517" s="218">
        <f t="shared" si="8"/>
        <v>41609</v>
      </c>
      <c r="C517" s="216" t="s">
        <v>1508</v>
      </c>
    </row>
    <row r="518" spans="1:3">
      <c r="A518" s="216" t="s">
        <v>1531</v>
      </c>
      <c r="B518" s="218">
        <f t="shared" si="8"/>
        <v>41760</v>
      </c>
      <c r="C518" s="216" t="s">
        <v>1530</v>
      </c>
    </row>
    <row r="519" spans="1:3">
      <c r="A519" s="216" t="s">
        <v>1525</v>
      </c>
      <c r="B519" s="218">
        <f t="shared" si="8"/>
        <v>41883</v>
      </c>
      <c r="C519" s="216" t="s">
        <v>1524</v>
      </c>
    </row>
    <row r="520" spans="1:3">
      <c r="A520" s="216" t="s">
        <v>1529</v>
      </c>
      <c r="B520" s="218">
        <f t="shared" si="8"/>
        <v>41821</v>
      </c>
      <c r="C520" s="216" t="s">
        <v>1528</v>
      </c>
    </row>
    <row r="521" spans="1:3">
      <c r="A521" s="216" t="s">
        <v>1527</v>
      </c>
      <c r="B521" s="218">
        <f t="shared" si="8"/>
        <v>41730</v>
      </c>
      <c r="C521" s="216" t="s">
        <v>1526</v>
      </c>
    </row>
    <row r="522" spans="1:3">
      <c r="A522" s="216" t="s">
        <v>1525</v>
      </c>
      <c r="B522" s="218">
        <f t="shared" si="8"/>
        <v>41883</v>
      </c>
      <c r="C522" s="216" t="s">
        <v>1524</v>
      </c>
    </row>
    <row r="523" spans="1:3">
      <c r="A523" s="216" t="s">
        <v>1517</v>
      </c>
      <c r="B523" s="218">
        <f t="shared" si="8"/>
        <v>41426</v>
      </c>
      <c r="C523" s="216" t="s">
        <v>1516</v>
      </c>
    </row>
    <row r="524" spans="1:3">
      <c r="A524" s="216" t="s">
        <v>1537</v>
      </c>
      <c r="B524" s="218">
        <f t="shared" si="8"/>
        <v>41640</v>
      </c>
      <c r="C524" s="216" t="s">
        <v>1536</v>
      </c>
    </row>
    <row r="525" spans="1:3">
      <c r="A525" s="216" t="s">
        <v>1545</v>
      </c>
      <c r="B525" s="218">
        <f t="shared" si="8"/>
        <v>41671</v>
      </c>
      <c r="C525" s="216" t="s">
        <v>1544</v>
      </c>
    </row>
    <row r="526" spans="1:3">
      <c r="A526" s="216" t="s">
        <v>1539</v>
      </c>
      <c r="B526" s="218">
        <f t="shared" si="8"/>
        <v>41852</v>
      </c>
      <c r="C526" s="216" t="s">
        <v>1538</v>
      </c>
    </row>
    <row r="527" spans="1:3">
      <c r="A527" s="216" t="s">
        <v>1521</v>
      </c>
      <c r="B527" s="218">
        <f t="shared" si="8"/>
        <v>41791</v>
      </c>
      <c r="C527" s="216" t="s">
        <v>1520</v>
      </c>
    </row>
    <row r="528" spans="1:3">
      <c r="A528" s="216" t="s">
        <v>1541</v>
      </c>
      <c r="B528" s="218">
        <f t="shared" si="8"/>
        <v>41275</v>
      </c>
      <c r="C528" s="216" t="s">
        <v>1540</v>
      </c>
    </row>
    <row r="529" spans="1:3">
      <c r="A529" s="216" t="s">
        <v>1513</v>
      </c>
      <c r="B529" s="218">
        <f t="shared" si="8"/>
        <v>41579</v>
      </c>
      <c r="C529" s="216" t="s">
        <v>1512</v>
      </c>
    </row>
    <row r="530" spans="1:3">
      <c r="A530" s="216" t="s">
        <v>1511</v>
      </c>
      <c r="B530" s="218">
        <f t="shared" si="8"/>
        <v>41306</v>
      </c>
      <c r="C530" s="216" t="s">
        <v>1510</v>
      </c>
    </row>
    <row r="531" spans="1:3">
      <c r="A531" s="216" t="s">
        <v>1511</v>
      </c>
      <c r="B531" s="218">
        <f t="shared" si="8"/>
        <v>41306</v>
      </c>
      <c r="C531" s="216" t="s">
        <v>1510</v>
      </c>
    </row>
    <row r="532" spans="1:3">
      <c r="A532" s="216" t="s">
        <v>1499</v>
      </c>
      <c r="B532" s="218">
        <f t="shared" si="8"/>
        <v>41487</v>
      </c>
      <c r="C532" s="216" t="s">
        <v>1498</v>
      </c>
    </row>
    <row r="533" spans="1:3">
      <c r="A533" s="216" t="s">
        <v>1531</v>
      </c>
      <c r="B533" s="218">
        <f t="shared" si="8"/>
        <v>41760</v>
      </c>
      <c r="C533" s="216" t="s">
        <v>1530</v>
      </c>
    </row>
    <row r="534" spans="1:3">
      <c r="A534" s="216" t="s">
        <v>1531</v>
      </c>
      <c r="B534" s="218">
        <f t="shared" si="8"/>
        <v>41760</v>
      </c>
      <c r="C534" s="216" t="s">
        <v>1530</v>
      </c>
    </row>
    <row r="535" spans="1:3">
      <c r="A535" s="216" t="s">
        <v>1545</v>
      </c>
      <c r="B535" s="218">
        <f t="shared" si="8"/>
        <v>41671</v>
      </c>
      <c r="C535" s="216" t="s">
        <v>1544</v>
      </c>
    </row>
    <row r="536" spans="1:3">
      <c r="A536" s="216" t="s">
        <v>1509</v>
      </c>
      <c r="B536" s="218">
        <f t="shared" si="8"/>
        <v>41609</v>
      </c>
      <c r="C536" s="216" t="s">
        <v>1508</v>
      </c>
    </row>
    <row r="537" spans="1:3">
      <c r="A537" s="216" t="s">
        <v>1539</v>
      </c>
      <c r="B537" s="218">
        <f t="shared" si="8"/>
        <v>41852</v>
      </c>
      <c r="C537" s="216" t="s">
        <v>1538</v>
      </c>
    </row>
    <row r="538" spans="1:3">
      <c r="A538" s="216" t="s">
        <v>1527</v>
      </c>
      <c r="B538" s="218">
        <f t="shared" si="8"/>
        <v>41730</v>
      </c>
      <c r="C538" s="216" t="s">
        <v>1526</v>
      </c>
    </row>
    <row r="539" spans="1:3">
      <c r="A539" s="216" t="s">
        <v>1537</v>
      </c>
      <c r="B539" s="218">
        <f t="shared" si="8"/>
        <v>41640</v>
      </c>
      <c r="C539" s="216" t="s">
        <v>1536</v>
      </c>
    </row>
    <row r="540" spans="1:3">
      <c r="A540" s="216" t="s">
        <v>1527</v>
      </c>
      <c r="B540" s="218">
        <f t="shared" si="8"/>
        <v>41730</v>
      </c>
      <c r="C540" s="216" t="s">
        <v>1526</v>
      </c>
    </row>
    <row r="541" spans="1:3">
      <c r="A541" s="216" t="s">
        <v>1545</v>
      </c>
      <c r="B541" s="218">
        <f t="shared" si="8"/>
        <v>41671</v>
      </c>
      <c r="C541" s="216" t="s">
        <v>1544</v>
      </c>
    </row>
    <row r="542" spans="1:3">
      <c r="A542" s="216" t="s">
        <v>1515</v>
      </c>
      <c r="B542" s="218">
        <f t="shared" si="8"/>
        <v>41456</v>
      </c>
      <c r="C542" s="216" t="s">
        <v>1514</v>
      </c>
    </row>
    <row r="543" spans="1:3">
      <c r="A543" s="216" t="s">
        <v>1535</v>
      </c>
      <c r="B543" s="218">
        <f t="shared" si="8"/>
        <v>41518</v>
      </c>
      <c r="C543" s="216" t="s">
        <v>1534</v>
      </c>
    </row>
    <row r="544" spans="1:3">
      <c r="A544" s="216" t="s">
        <v>1535</v>
      </c>
      <c r="B544" s="218">
        <f t="shared" si="8"/>
        <v>41518</v>
      </c>
      <c r="C544" s="216" t="s">
        <v>1534</v>
      </c>
    </row>
    <row r="545" spans="1:3">
      <c r="A545" s="216" t="s">
        <v>1533</v>
      </c>
      <c r="B545" s="218">
        <f t="shared" si="8"/>
        <v>41699</v>
      </c>
      <c r="C545" s="216" t="s">
        <v>1532</v>
      </c>
    </row>
    <row r="546" spans="1:3">
      <c r="A546" s="216" t="s">
        <v>1515</v>
      </c>
      <c r="B546" s="218">
        <f t="shared" si="8"/>
        <v>41456</v>
      </c>
      <c r="C546" s="216" t="s">
        <v>1514</v>
      </c>
    </row>
    <row r="547" spans="1:3">
      <c r="A547" s="216" t="s">
        <v>1513</v>
      </c>
      <c r="B547" s="218">
        <f t="shared" si="8"/>
        <v>41579</v>
      </c>
      <c r="C547" s="216" t="s">
        <v>1512</v>
      </c>
    </row>
    <row r="548" spans="1:3">
      <c r="A548" s="216" t="s">
        <v>1541</v>
      </c>
      <c r="B548" s="218">
        <f t="shared" si="8"/>
        <v>41275</v>
      </c>
      <c r="C548" s="216" t="s">
        <v>1540</v>
      </c>
    </row>
    <row r="549" spans="1:3">
      <c r="A549" s="216" t="s">
        <v>1535</v>
      </c>
      <c r="B549" s="218">
        <f t="shared" si="8"/>
        <v>41518</v>
      </c>
      <c r="C549" s="216" t="s">
        <v>1534</v>
      </c>
    </row>
    <row r="550" spans="1:3">
      <c r="A550" s="216" t="s">
        <v>1503</v>
      </c>
      <c r="B550" s="218">
        <f t="shared" si="8"/>
        <v>41548</v>
      </c>
      <c r="C550" s="216" t="s">
        <v>1502</v>
      </c>
    </row>
    <row r="551" spans="1:3">
      <c r="A551" s="216" t="s">
        <v>1539</v>
      </c>
      <c r="B551" s="218">
        <f t="shared" si="8"/>
        <v>41852</v>
      </c>
      <c r="C551" s="216" t="s">
        <v>1538</v>
      </c>
    </row>
    <row r="552" spans="1:3">
      <c r="A552" s="216" t="s">
        <v>1531</v>
      </c>
      <c r="B552" s="218">
        <f t="shared" si="8"/>
        <v>41760</v>
      </c>
      <c r="C552" s="216" t="s">
        <v>1530</v>
      </c>
    </row>
    <row r="553" spans="1:3">
      <c r="A553" s="216" t="s">
        <v>1507</v>
      </c>
      <c r="B553" s="218">
        <f t="shared" si="8"/>
        <v>41913</v>
      </c>
      <c r="C553" s="216" t="s">
        <v>1506</v>
      </c>
    </row>
    <row r="554" spans="1:3">
      <c r="A554" s="216" t="s">
        <v>1513</v>
      </c>
      <c r="B554" s="218">
        <f t="shared" si="8"/>
        <v>41579</v>
      </c>
      <c r="C554" s="216" t="s">
        <v>1512</v>
      </c>
    </row>
    <row r="555" spans="1:3">
      <c r="A555" s="216" t="s">
        <v>1531</v>
      </c>
      <c r="B555" s="218">
        <f t="shared" si="8"/>
        <v>41760</v>
      </c>
      <c r="C555" s="216" t="s">
        <v>1530</v>
      </c>
    </row>
    <row r="556" spans="1:3">
      <c r="A556" s="216" t="s">
        <v>1539</v>
      </c>
      <c r="B556" s="218">
        <f t="shared" si="8"/>
        <v>41852</v>
      </c>
      <c r="C556" s="216" t="s">
        <v>1538</v>
      </c>
    </row>
    <row r="557" spans="1:3">
      <c r="A557" s="216" t="s">
        <v>1533</v>
      </c>
      <c r="B557" s="218">
        <f t="shared" si="8"/>
        <v>41699</v>
      </c>
      <c r="C557" s="216" t="s">
        <v>1532</v>
      </c>
    </row>
    <row r="558" spans="1:3">
      <c r="A558" s="216" t="s">
        <v>1507</v>
      </c>
      <c r="B558" s="218">
        <f t="shared" si="8"/>
        <v>41913</v>
      </c>
      <c r="C558" s="216" t="s">
        <v>1506</v>
      </c>
    </row>
    <row r="559" spans="1:3">
      <c r="A559" s="216" t="s">
        <v>1543</v>
      </c>
      <c r="B559" s="218">
        <f t="shared" si="8"/>
        <v>41944</v>
      </c>
      <c r="C559" s="216" t="s">
        <v>1542</v>
      </c>
    </row>
    <row r="560" spans="1:3">
      <c r="A560" s="216" t="s">
        <v>1539</v>
      </c>
      <c r="B560" s="218">
        <f t="shared" si="8"/>
        <v>41852</v>
      </c>
      <c r="C560" s="216" t="s">
        <v>1538</v>
      </c>
    </row>
    <row r="561" spans="1:3">
      <c r="A561" s="216" t="s">
        <v>1509</v>
      </c>
      <c r="B561" s="218">
        <f t="shared" si="8"/>
        <v>41609</v>
      </c>
      <c r="C561" s="216" t="s">
        <v>1508</v>
      </c>
    </row>
    <row r="562" spans="1:3">
      <c r="A562" s="216" t="s">
        <v>1539</v>
      </c>
      <c r="B562" s="218">
        <f t="shared" si="8"/>
        <v>41852</v>
      </c>
      <c r="C562" s="216" t="s">
        <v>1538</v>
      </c>
    </row>
    <row r="563" spans="1:3">
      <c r="A563" s="216" t="s">
        <v>1509</v>
      </c>
      <c r="B563" s="218">
        <f t="shared" si="8"/>
        <v>41609</v>
      </c>
      <c r="C563" s="216" t="s">
        <v>1508</v>
      </c>
    </row>
    <row r="564" spans="1:3">
      <c r="A564" s="216" t="s">
        <v>1531</v>
      </c>
      <c r="B564" s="218">
        <f t="shared" si="8"/>
        <v>41760</v>
      </c>
      <c r="C564" s="216" t="s">
        <v>1530</v>
      </c>
    </row>
    <row r="565" spans="1:3">
      <c r="A565" s="216" t="s">
        <v>1511</v>
      </c>
      <c r="B565" s="218">
        <f t="shared" si="8"/>
        <v>41306</v>
      </c>
      <c r="C565" s="216" t="s">
        <v>1510</v>
      </c>
    </row>
    <row r="566" spans="1:3">
      <c r="A566" s="216" t="s">
        <v>1509</v>
      </c>
      <c r="B566" s="218">
        <f t="shared" si="8"/>
        <v>41609</v>
      </c>
      <c r="C566" s="216" t="s">
        <v>1508</v>
      </c>
    </row>
    <row r="567" spans="1:3">
      <c r="A567" s="216" t="s">
        <v>1533</v>
      </c>
      <c r="B567" s="218">
        <f t="shared" si="8"/>
        <v>41699</v>
      </c>
      <c r="C567" s="216" t="s">
        <v>1532</v>
      </c>
    </row>
    <row r="568" spans="1:3">
      <c r="A568" s="216" t="s">
        <v>1537</v>
      </c>
      <c r="B568" s="218">
        <f t="shared" si="8"/>
        <v>41640</v>
      </c>
      <c r="C568" s="216" t="s">
        <v>1536</v>
      </c>
    </row>
    <row r="569" spans="1:3">
      <c r="A569" s="216" t="s">
        <v>1537</v>
      </c>
      <c r="B569" s="218">
        <f t="shared" si="8"/>
        <v>41640</v>
      </c>
      <c r="C569" s="216" t="s">
        <v>1536</v>
      </c>
    </row>
    <row r="570" spans="1:3">
      <c r="A570" s="216" t="s">
        <v>1533</v>
      </c>
      <c r="B570" s="218">
        <f t="shared" si="8"/>
        <v>41699</v>
      </c>
      <c r="C570" s="216" t="s">
        <v>1532</v>
      </c>
    </row>
    <row r="571" spans="1:3">
      <c r="A571" s="216" t="s">
        <v>1531</v>
      </c>
      <c r="B571" s="218">
        <f t="shared" si="8"/>
        <v>41760</v>
      </c>
      <c r="C571" s="216" t="s">
        <v>1530</v>
      </c>
    </row>
    <row r="572" spans="1:3">
      <c r="A572" s="216" t="s">
        <v>1529</v>
      </c>
      <c r="B572" s="218">
        <f t="shared" si="8"/>
        <v>41821</v>
      </c>
      <c r="C572" s="216" t="s">
        <v>1528</v>
      </c>
    </row>
    <row r="573" spans="1:3">
      <c r="A573" s="216" t="s">
        <v>1503</v>
      </c>
      <c r="B573" s="218">
        <f t="shared" si="8"/>
        <v>41548</v>
      </c>
      <c r="C573" s="216" t="s">
        <v>1502</v>
      </c>
    </row>
    <row r="574" spans="1:3">
      <c r="A574" s="216" t="s">
        <v>1537</v>
      </c>
      <c r="B574" s="218">
        <f t="shared" si="8"/>
        <v>41640</v>
      </c>
      <c r="C574" s="216" t="s">
        <v>1536</v>
      </c>
    </row>
    <row r="575" spans="1:3">
      <c r="A575" s="216" t="s">
        <v>1537</v>
      </c>
      <c r="B575" s="218">
        <f t="shared" si="8"/>
        <v>41640</v>
      </c>
      <c r="C575" s="216" t="s">
        <v>1536</v>
      </c>
    </row>
    <row r="576" spans="1:3">
      <c r="A576" s="216" t="s">
        <v>1529</v>
      </c>
      <c r="B576" s="218">
        <f t="shared" si="8"/>
        <v>41821</v>
      </c>
      <c r="C576" s="216" t="s">
        <v>1528</v>
      </c>
    </row>
    <row r="577" spans="1:3">
      <c r="A577" s="216" t="s">
        <v>1517</v>
      </c>
      <c r="B577" s="218">
        <f t="shared" si="8"/>
        <v>41426</v>
      </c>
      <c r="C577" s="216" t="s">
        <v>1516</v>
      </c>
    </row>
    <row r="578" spans="1:3">
      <c r="A578" s="216" t="s">
        <v>1513</v>
      </c>
      <c r="B578" s="218">
        <f t="shared" si="8"/>
        <v>41579</v>
      </c>
      <c r="C578" s="216" t="s">
        <v>1512</v>
      </c>
    </row>
    <row r="579" spans="1:3">
      <c r="A579" s="216" t="s">
        <v>1505</v>
      </c>
      <c r="B579" s="218">
        <f t="shared" ref="B579:B642" si="9">DATE(RIGHT(A579,4),LEFT(A579,2),1)</f>
        <v>41365</v>
      </c>
      <c r="C579" s="216" t="s">
        <v>1504</v>
      </c>
    </row>
    <row r="580" spans="1:3">
      <c r="A580" s="216" t="s">
        <v>1505</v>
      </c>
      <c r="B580" s="218">
        <f t="shared" si="9"/>
        <v>41365</v>
      </c>
      <c r="C580" s="216" t="s">
        <v>1504</v>
      </c>
    </row>
    <row r="581" spans="1:3">
      <c r="A581" s="216" t="s">
        <v>1545</v>
      </c>
      <c r="B581" s="218">
        <f t="shared" si="9"/>
        <v>41671</v>
      </c>
      <c r="C581" s="216" t="s">
        <v>1544</v>
      </c>
    </row>
    <row r="582" spans="1:3">
      <c r="A582" s="216" t="s">
        <v>1509</v>
      </c>
      <c r="B582" s="218">
        <f t="shared" si="9"/>
        <v>41609</v>
      </c>
      <c r="C582" s="216" t="s">
        <v>1508</v>
      </c>
    </row>
    <row r="583" spans="1:3">
      <c r="A583" s="216" t="s">
        <v>1521</v>
      </c>
      <c r="B583" s="218">
        <f t="shared" si="9"/>
        <v>41791</v>
      </c>
      <c r="C583" s="216" t="s">
        <v>1520</v>
      </c>
    </row>
    <row r="584" spans="1:3">
      <c r="A584" s="216" t="s">
        <v>1529</v>
      </c>
      <c r="B584" s="218">
        <f t="shared" si="9"/>
        <v>41821</v>
      </c>
      <c r="C584" s="216" t="s">
        <v>1528</v>
      </c>
    </row>
    <row r="585" spans="1:3">
      <c r="A585" s="216" t="s">
        <v>1543</v>
      </c>
      <c r="B585" s="218">
        <f t="shared" si="9"/>
        <v>41944</v>
      </c>
      <c r="C585" s="216" t="s">
        <v>1542</v>
      </c>
    </row>
    <row r="586" spans="1:3">
      <c r="A586" s="216" t="s">
        <v>1531</v>
      </c>
      <c r="B586" s="218">
        <f t="shared" si="9"/>
        <v>41760</v>
      </c>
      <c r="C586" s="216" t="s">
        <v>1530</v>
      </c>
    </row>
    <row r="587" spans="1:3">
      <c r="A587" s="216" t="s">
        <v>1529</v>
      </c>
      <c r="B587" s="218">
        <f t="shared" si="9"/>
        <v>41821</v>
      </c>
      <c r="C587" s="216" t="s">
        <v>1528</v>
      </c>
    </row>
    <row r="588" spans="1:3">
      <c r="A588" s="216" t="s">
        <v>1499</v>
      </c>
      <c r="B588" s="218">
        <f t="shared" si="9"/>
        <v>41487</v>
      </c>
      <c r="C588" s="216" t="s">
        <v>1498</v>
      </c>
    </row>
    <row r="589" spans="1:3">
      <c r="A589" s="216" t="s">
        <v>1501</v>
      </c>
      <c r="B589" s="218">
        <f t="shared" si="9"/>
        <v>41334</v>
      </c>
      <c r="C589" s="216" t="s">
        <v>1500</v>
      </c>
    </row>
    <row r="590" spans="1:3">
      <c r="A590" s="216" t="s">
        <v>1527</v>
      </c>
      <c r="B590" s="218">
        <f t="shared" si="9"/>
        <v>41730</v>
      </c>
      <c r="C590" s="216" t="s">
        <v>1526</v>
      </c>
    </row>
    <row r="591" spans="1:3">
      <c r="A591" s="216" t="s">
        <v>1519</v>
      </c>
      <c r="B591" s="218">
        <f t="shared" si="9"/>
        <v>41974</v>
      </c>
      <c r="C591" s="216" t="s">
        <v>1518</v>
      </c>
    </row>
    <row r="592" spans="1:3">
      <c r="A592" s="216" t="s">
        <v>1503</v>
      </c>
      <c r="B592" s="218">
        <f t="shared" si="9"/>
        <v>41548</v>
      </c>
      <c r="C592" s="216" t="s">
        <v>1502</v>
      </c>
    </row>
    <row r="593" spans="1:3">
      <c r="A593" s="216" t="s">
        <v>1529</v>
      </c>
      <c r="B593" s="218">
        <f t="shared" si="9"/>
        <v>41821</v>
      </c>
      <c r="C593" s="216" t="s">
        <v>1528</v>
      </c>
    </row>
    <row r="594" spans="1:3">
      <c r="A594" s="216" t="s">
        <v>1539</v>
      </c>
      <c r="B594" s="218">
        <f t="shared" si="9"/>
        <v>41852</v>
      </c>
      <c r="C594" s="216" t="s">
        <v>1538</v>
      </c>
    </row>
    <row r="595" spans="1:3">
      <c r="A595" s="216" t="s">
        <v>1543</v>
      </c>
      <c r="B595" s="218">
        <f t="shared" si="9"/>
        <v>41944</v>
      </c>
      <c r="C595" s="216" t="s">
        <v>1542</v>
      </c>
    </row>
    <row r="596" spans="1:3">
      <c r="A596" s="216" t="s">
        <v>1537</v>
      </c>
      <c r="B596" s="218">
        <f t="shared" si="9"/>
        <v>41640</v>
      </c>
      <c r="C596" s="216" t="s">
        <v>1536</v>
      </c>
    </row>
    <row r="597" spans="1:3">
      <c r="A597" s="216" t="s">
        <v>1503</v>
      </c>
      <c r="B597" s="218">
        <f t="shared" si="9"/>
        <v>41548</v>
      </c>
      <c r="C597" s="216" t="s">
        <v>1502</v>
      </c>
    </row>
    <row r="598" spans="1:3">
      <c r="A598" s="216" t="s">
        <v>1543</v>
      </c>
      <c r="B598" s="218">
        <f t="shared" si="9"/>
        <v>41944</v>
      </c>
      <c r="C598" s="216" t="s">
        <v>1542</v>
      </c>
    </row>
    <row r="599" spans="1:3">
      <c r="A599" s="216" t="s">
        <v>1519</v>
      </c>
      <c r="B599" s="218">
        <f t="shared" si="9"/>
        <v>41974</v>
      </c>
      <c r="C599" s="216" t="s">
        <v>1518</v>
      </c>
    </row>
    <row r="600" spans="1:3">
      <c r="A600" s="216" t="s">
        <v>1511</v>
      </c>
      <c r="B600" s="218">
        <f t="shared" si="9"/>
        <v>41306</v>
      </c>
      <c r="C600" s="216" t="s">
        <v>1510</v>
      </c>
    </row>
    <row r="601" spans="1:3">
      <c r="A601" s="216" t="s">
        <v>1531</v>
      </c>
      <c r="B601" s="218">
        <f t="shared" si="9"/>
        <v>41760</v>
      </c>
      <c r="C601" s="216" t="s">
        <v>1530</v>
      </c>
    </row>
    <row r="602" spans="1:3">
      <c r="A602" s="216" t="s">
        <v>1527</v>
      </c>
      <c r="B602" s="218">
        <f t="shared" si="9"/>
        <v>41730</v>
      </c>
      <c r="C602" s="216" t="s">
        <v>1526</v>
      </c>
    </row>
    <row r="603" spans="1:3">
      <c r="A603" s="216" t="s">
        <v>1507</v>
      </c>
      <c r="B603" s="218">
        <f t="shared" si="9"/>
        <v>41913</v>
      </c>
      <c r="C603" s="216" t="s">
        <v>1506</v>
      </c>
    </row>
    <row r="604" spans="1:3">
      <c r="A604" s="216" t="s">
        <v>1529</v>
      </c>
      <c r="B604" s="218">
        <f t="shared" si="9"/>
        <v>41821</v>
      </c>
      <c r="C604" s="216" t="s">
        <v>1528</v>
      </c>
    </row>
    <row r="605" spans="1:3">
      <c r="A605" s="216" t="s">
        <v>1517</v>
      </c>
      <c r="B605" s="218">
        <f t="shared" si="9"/>
        <v>41426</v>
      </c>
      <c r="C605" s="216" t="s">
        <v>1516</v>
      </c>
    </row>
    <row r="606" spans="1:3">
      <c r="A606" s="216" t="s">
        <v>1529</v>
      </c>
      <c r="B606" s="218">
        <f t="shared" si="9"/>
        <v>41821</v>
      </c>
      <c r="C606" s="216" t="s">
        <v>1528</v>
      </c>
    </row>
    <row r="607" spans="1:3">
      <c r="A607" s="216" t="s">
        <v>1539</v>
      </c>
      <c r="B607" s="218">
        <f t="shared" si="9"/>
        <v>41852</v>
      </c>
      <c r="C607" s="216" t="s">
        <v>1538</v>
      </c>
    </row>
    <row r="608" spans="1:3">
      <c r="A608" s="216" t="s">
        <v>1545</v>
      </c>
      <c r="B608" s="218">
        <f t="shared" si="9"/>
        <v>41671</v>
      </c>
      <c r="C608" s="216" t="s">
        <v>1544</v>
      </c>
    </row>
    <row r="609" spans="1:3">
      <c r="A609" s="216" t="s">
        <v>1511</v>
      </c>
      <c r="B609" s="218">
        <f t="shared" si="9"/>
        <v>41306</v>
      </c>
      <c r="C609" s="216" t="s">
        <v>1510</v>
      </c>
    </row>
    <row r="610" spans="1:3">
      <c r="A610" s="216" t="s">
        <v>1513</v>
      </c>
      <c r="B610" s="218">
        <f t="shared" si="9"/>
        <v>41579</v>
      </c>
      <c r="C610" s="216" t="s">
        <v>1512</v>
      </c>
    </row>
    <row r="611" spans="1:3">
      <c r="A611" s="216" t="s">
        <v>1515</v>
      </c>
      <c r="B611" s="218">
        <f t="shared" si="9"/>
        <v>41456</v>
      </c>
      <c r="C611" s="216" t="s">
        <v>1514</v>
      </c>
    </row>
    <row r="612" spans="1:3">
      <c r="A612" s="216" t="s">
        <v>1521</v>
      </c>
      <c r="B612" s="218">
        <f t="shared" si="9"/>
        <v>41791</v>
      </c>
      <c r="C612" s="216" t="s">
        <v>1520</v>
      </c>
    </row>
    <row r="613" spans="1:3">
      <c r="A613" s="216" t="s">
        <v>1539</v>
      </c>
      <c r="B613" s="218">
        <f t="shared" si="9"/>
        <v>41852</v>
      </c>
      <c r="C613" s="216" t="s">
        <v>1538</v>
      </c>
    </row>
    <row r="614" spans="1:3">
      <c r="A614" s="216" t="s">
        <v>1511</v>
      </c>
      <c r="B614" s="218">
        <f t="shared" si="9"/>
        <v>41306</v>
      </c>
      <c r="C614" s="216" t="s">
        <v>1510</v>
      </c>
    </row>
    <row r="615" spans="1:3">
      <c r="A615" s="216" t="s">
        <v>1521</v>
      </c>
      <c r="B615" s="218">
        <f t="shared" si="9"/>
        <v>41791</v>
      </c>
      <c r="C615" s="216" t="s">
        <v>1520</v>
      </c>
    </row>
    <row r="616" spans="1:3">
      <c r="A616" s="216" t="s">
        <v>1521</v>
      </c>
      <c r="B616" s="218">
        <f t="shared" si="9"/>
        <v>41791</v>
      </c>
      <c r="C616" s="216" t="s">
        <v>1520</v>
      </c>
    </row>
    <row r="617" spans="1:3">
      <c r="A617" s="216" t="s">
        <v>1525</v>
      </c>
      <c r="B617" s="218">
        <f t="shared" si="9"/>
        <v>41883</v>
      </c>
      <c r="C617" s="216" t="s">
        <v>1524</v>
      </c>
    </row>
    <row r="618" spans="1:3">
      <c r="A618" s="216" t="s">
        <v>1501</v>
      </c>
      <c r="B618" s="218">
        <f t="shared" si="9"/>
        <v>41334</v>
      </c>
      <c r="C618" s="216" t="s">
        <v>1500</v>
      </c>
    </row>
    <row r="619" spans="1:3">
      <c r="A619" s="216" t="s">
        <v>1527</v>
      </c>
      <c r="B619" s="218">
        <f t="shared" si="9"/>
        <v>41730</v>
      </c>
      <c r="C619" s="216" t="s">
        <v>1526</v>
      </c>
    </row>
    <row r="620" spans="1:3">
      <c r="A620" s="216" t="s">
        <v>1507</v>
      </c>
      <c r="B620" s="218">
        <f t="shared" si="9"/>
        <v>41913</v>
      </c>
      <c r="C620" s="216" t="s">
        <v>1506</v>
      </c>
    </row>
    <row r="621" spans="1:3">
      <c r="A621" s="216" t="s">
        <v>1535</v>
      </c>
      <c r="B621" s="218">
        <f t="shared" si="9"/>
        <v>41518</v>
      </c>
      <c r="C621" s="216" t="s">
        <v>1534</v>
      </c>
    </row>
    <row r="622" spans="1:3">
      <c r="A622" s="216" t="s">
        <v>1501</v>
      </c>
      <c r="B622" s="218">
        <f t="shared" si="9"/>
        <v>41334</v>
      </c>
      <c r="C622" s="216" t="s">
        <v>1500</v>
      </c>
    </row>
    <row r="623" spans="1:3">
      <c r="A623" s="216" t="s">
        <v>1509</v>
      </c>
      <c r="B623" s="218">
        <f t="shared" si="9"/>
        <v>41609</v>
      </c>
      <c r="C623" s="216" t="s">
        <v>1508</v>
      </c>
    </row>
    <row r="624" spans="1:3">
      <c r="A624" s="216" t="s">
        <v>1515</v>
      </c>
      <c r="B624" s="218">
        <f t="shared" si="9"/>
        <v>41456</v>
      </c>
      <c r="C624" s="216" t="s">
        <v>1514</v>
      </c>
    </row>
    <row r="625" spans="1:3">
      <c r="A625" s="216" t="s">
        <v>1507</v>
      </c>
      <c r="B625" s="218">
        <f t="shared" si="9"/>
        <v>41913</v>
      </c>
      <c r="C625" s="216" t="s">
        <v>1506</v>
      </c>
    </row>
    <row r="626" spans="1:3">
      <c r="A626" s="216" t="s">
        <v>1531</v>
      </c>
      <c r="B626" s="218">
        <f t="shared" si="9"/>
        <v>41760</v>
      </c>
      <c r="C626" s="216" t="s">
        <v>1530</v>
      </c>
    </row>
    <row r="627" spans="1:3">
      <c r="A627" s="216" t="s">
        <v>1511</v>
      </c>
      <c r="B627" s="218">
        <f t="shared" si="9"/>
        <v>41306</v>
      </c>
      <c r="C627" s="216" t="s">
        <v>1510</v>
      </c>
    </row>
    <row r="628" spans="1:3">
      <c r="A628" s="216" t="s">
        <v>1507</v>
      </c>
      <c r="B628" s="218">
        <f t="shared" si="9"/>
        <v>41913</v>
      </c>
      <c r="C628" s="216" t="s">
        <v>1506</v>
      </c>
    </row>
    <row r="629" spans="1:3">
      <c r="A629" s="216" t="s">
        <v>1543</v>
      </c>
      <c r="B629" s="218">
        <f t="shared" si="9"/>
        <v>41944</v>
      </c>
      <c r="C629" s="216" t="s">
        <v>1542</v>
      </c>
    </row>
    <row r="630" spans="1:3">
      <c r="A630" s="216" t="s">
        <v>1537</v>
      </c>
      <c r="B630" s="218">
        <f t="shared" si="9"/>
        <v>41640</v>
      </c>
      <c r="C630" s="216" t="s">
        <v>1536</v>
      </c>
    </row>
    <row r="631" spans="1:3">
      <c r="A631" s="216" t="s">
        <v>1519</v>
      </c>
      <c r="B631" s="218">
        <f t="shared" si="9"/>
        <v>41974</v>
      </c>
      <c r="C631" s="216" t="s">
        <v>1518</v>
      </c>
    </row>
    <row r="632" spans="1:3">
      <c r="A632" s="216" t="s">
        <v>1515</v>
      </c>
      <c r="B632" s="218">
        <f t="shared" si="9"/>
        <v>41456</v>
      </c>
      <c r="C632" s="216" t="s">
        <v>1514</v>
      </c>
    </row>
    <row r="633" spans="1:3">
      <c r="A633" s="216" t="s">
        <v>1517</v>
      </c>
      <c r="B633" s="218">
        <f t="shared" si="9"/>
        <v>41426</v>
      </c>
      <c r="C633" s="216" t="s">
        <v>1516</v>
      </c>
    </row>
    <row r="634" spans="1:3">
      <c r="A634" s="216" t="s">
        <v>1517</v>
      </c>
      <c r="B634" s="218">
        <f t="shared" si="9"/>
        <v>41426</v>
      </c>
      <c r="C634" s="216" t="s">
        <v>1516</v>
      </c>
    </row>
    <row r="635" spans="1:3">
      <c r="A635" s="216" t="s">
        <v>1509</v>
      </c>
      <c r="B635" s="218">
        <f t="shared" si="9"/>
        <v>41609</v>
      </c>
      <c r="C635" s="216" t="s">
        <v>1508</v>
      </c>
    </row>
    <row r="636" spans="1:3">
      <c r="A636" s="216" t="s">
        <v>1535</v>
      </c>
      <c r="B636" s="218">
        <f t="shared" si="9"/>
        <v>41518</v>
      </c>
      <c r="C636" s="216" t="s">
        <v>1534</v>
      </c>
    </row>
    <row r="637" spans="1:3">
      <c r="A637" s="216" t="s">
        <v>1545</v>
      </c>
      <c r="B637" s="218">
        <f t="shared" si="9"/>
        <v>41671</v>
      </c>
      <c r="C637" s="216" t="s">
        <v>1544</v>
      </c>
    </row>
    <row r="638" spans="1:3">
      <c r="A638" s="216" t="s">
        <v>1541</v>
      </c>
      <c r="B638" s="218">
        <f t="shared" si="9"/>
        <v>41275</v>
      </c>
      <c r="C638" s="216" t="s">
        <v>1540</v>
      </c>
    </row>
    <row r="639" spans="1:3">
      <c r="A639" s="216" t="s">
        <v>1531</v>
      </c>
      <c r="B639" s="218">
        <f t="shared" si="9"/>
        <v>41760</v>
      </c>
      <c r="C639" s="216" t="s">
        <v>1530</v>
      </c>
    </row>
    <row r="640" spans="1:3">
      <c r="A640" s="216" t="s">
        <v>1531</v>
      </c>
      <c r="B640" s="218">
        <f t="shared" si="9"/>
        <v>41760</v>
      </c>
      <c r="C640" s="216" t="s">
        <v>1530</v>
      </c>
    </row>
    <row r="641" spans="1:3">
      <c r="A641" s="216" t="s">
        <v>1533</v>
      </c>
      <c r="B641" s="218">
        <f t="shared" si="9"/>
        <v>41699</v>
      </c>
      <c r="C641" s="216" t="s">
        <v>1532</v>
      </c>
    </row>
    <row r="642" spans="1:3">
      <c r="A642" s="216" t="s">
        <v>1501</v>
      </c>
      <c r="B642" s="218">
        <f t="shared" si="9"/>
        <v>41334</v>
      </c>
      <c r="C642" s="216" t="s">
        <v>1500</v>
      </c>
    </row>
    <row r="643" spans="1:3">
      <c r="A643" s="216" t="s">
        <v>1517</v>
      </c>
      <c r="B643" s="218">
        <f t="shared" ref="B643:B706" si="10">DATE(RIGHT(A643,4),LEFT(A643,2),1)</f>
        <v>41426</v>
      </c>
      <c r="C643" s="216" t="s">
        <v>1516</v>
      </c>
    </row>
    <row r="644" spans="1:3">
      <c r="A644" s="216" t="s">
        <v>1519</v>
      </c>
      <c r="B644" s="218">
        <f t="shared" si="10"/>
        <v>41974</v>
      </c>
      <c r="C644" s="216" t="s">
        <v>1518</v>
      </c>
    </row>
    <row r="645" spans="1:3">
      <c r="A645" s="216" t="s">
        <v>1541</v>
      </c>
      <c r="B645" s="218">
        <f t="shared" si="10"/>
        <v>41275</v>
      </c>
      <c r="C645" s="216" t="s">
        <v>1540</v>
      </c>
    </row>
    <row r="646" spans="1:3">
      <c r="A646" s="216" t="s">
        <v>1513</v>
      </c>
      <c r="B646" s="218">
        <f t="shared" si="10"/>
        <v>41579</v>
      </c>
      <c r="C646" s="216" t="s">
        <v>1512</v>
      </c>
    </row>
    <row r="647" spans="1:3">
      <c r="A647" s="216" t="s">
        <v>1529</v>
      </c>
      <c r="B647" s="218">
        <f t="shared" si="10"/>
        <v>41821</v>
      </c>
      <c r="C647" s="216" t="s">
        <v>1528</v>
      </c>
    </row>
    <row r="648" spans="1:3">
      <c r="A648" s="216" t="s">
        <v>1517</v>
      </c>
      <c r="B648" s="218">
        <f t="shared" si="10"/>
        <v>41426</v>
      </c>
      <c r="C648" s="216" t="s">
        <v>1516</v>
      </c>
    </row>
    <row r="649" spans="1:3">
      <c r="A649" s="216" t="s">
        <v>1525</v>
      </c>
      <c r="B649" s="218">
        <f t="shared" si="10"/>
        <v>41883</v>
      </c>
      <c r="C649" s="216" t="s">
        <v>1524</v>
      </c>
    </row>
    <row r="650" spans="1:3">
      <c r="A650" s="216" t="s">
        <v>1513</v>
      </c>
      <c r="B650" s="218">
        <f t="shared" si="10"/>
        <v>41579</v>
      </c>
      <c r="C650" s="216" t="s">
        <v>1512</v>
      </c>
    </row>
    <row r="651" spans="1:3">
      <c r="A651" s="216" t="s">
        <v>1519</v>
      </c>
      <c r="B651" s="218">
        <f t="shared" si="10"/>
        <v>41974</v>
      </c>
      <c r="C651" s="216" t="s">
        <v>1518</v>
      </c>
    </row>
    <row r="652" spans="1:3">
      <c r="A652" s="216" t="s">
        <v>1511</v>
      </c>
      <c r="B652" s="218">
        <f t="shared" si="10"/>
        <v>41306</v>
      </c>
      <c r="C652" s="216" t="s">
        <v>1510</v>
      </c>
    </row>
    <row r="653" spans="1:3">
      <c r="A653" s="216" t="s">
        <v>1535</v>
      </c>
      <c r="B653" s="218">
        <f t="shared" si="10"/>
        <v>41518</v>
      </c>
      <c r="C653" s="216" t="s">
        <v>1534</v>
      </c>
    </row>
    <row r="654" spans="1:3">
      <c r="A654" s="216" t="s">
        <v>1545</v>
      </c>
      <c r="B654" s="218">
        <f t="shared" si="10"/>
        <v>41671</v>
      </c>
      <c r="C654" s="216" t="s">
        <v>1544</v>
      </c>
    </row>
    <row r="655" spans="1:3">
      <c r="A655" s="216" t="s">
        <v>1543</v>
      </c>
      <c r="B655" s="218">
        <f t="shared" si="10"/>
        <v>41944</v>
      </c>
      <c r="C655" s="216" t="s">
        <v>1542</v>
      </c>
    </row>
    <row r="656" spans="1:3">
      <c r="A656" s="216" t="s">
        <v>1519</v>
      </c>
      <c r="B656" s="218">
        <f t="shared" si="10"/>
        <v>41974</v>
      </c>
      <c r="C656" s="216" t="s">
        <v>1518</v>
      </c>
    </row>
    <row r="657" spans="1:3">
      <c r="A657" s="216" t="s">
        <v>1531</v>
      </c>
      <c r="B657" s="218">
        <f t="shared" si="10"/>
        <v>41760</v>
      </c>
      <c r="C657" s="216" t="s">
        <v>1530</v>
      </c>
    </row>
    <row r="658" spans="1:3">
      <c r="A658" s="216" t="s">
        <v>1537</v>
      </c>
      <c r="B658" s="218">
        <f t="shared" si="10"/>
        <v>41640</v>
      </c>
      <c r="C658" s="216" t="s">
        <v>1536</v>
      </c>
    </row>
    <row r="659" spans="1:3">
      <c r="A659" s="216" t="s">
        <v>1535</v>
      </c>
      <c r="B659" s="218">
        <f t="shared" si="10"/>
        <v>41518</v>
      </c>
      <c r="C659" s="216" t="s">
        <v>1534</v>
      </c>
    </row>
    <row r="660" spans="1:3">
      <c r="A660" s="216" t="s">
        <v>1499</v>
      </c>
      <c r="B660" s="218">
        <f t="shared" si="10"/>
        <v>41487</v>
      </c>
      <c r="C660" s="216" t="s">
        <v>1498</v>
      </c>
    </row>
    <row r="661" spans="1:3">
      <c r="A661" s="216" t="s">
        <v>1517</v>
      </c>
      <c r="B661" s="218">
        <f t="shared" si="10"/>
        <v>41426</v>
      </c>
      <c r="C661" s="216" t="s">
        <v>1516</v>
      </c>
    </row>
    <row r="662" spans="1:3">
      <c r="A662" s="216" t="s">
        <v>1499</v>
      </c>
      <c r="B662" s="218">
        <f t="shared" si="10"/>
        <v>41487</v>
      </c>
      <c r="C662" s="216" t="s">
        <v>1498</v>
      </c>
    </row>
    <row r="663" spans="1:3">
      <c r="A663" s="216" t="s">
        <v>1519</v>
      </c>
      <c r="B663" s="218">
        <f t="shared" si="10"/>
        <v>41974</v>
      </c>
      <c r="C663" s="216" t="s">
        <v>1518</v>
      </c>
    </row>
    <row r="664" spans="1:3">
      <c r="A664" s="216" t="s">
        <v>1503</v>
      </c>
      <c r="B664" s="218">
        <f t="shared" si="10"/>
        <v>41548</v>
      </c>
      <c r="C664" s="216" t="s">
        <v>1502</v>
      </c>
    </row>
    <row r="665" spans="1:3">
      <c r="A665" s="216" t="s">
        <v>1515</v>
      </c>
      <c r="B665" s="218">
        <f t="shared" si="10"/>
        <v>41456</v>
      </c>
      <c r="C665" s="216" t="s">
        <v>1514</v>
      </c>
    </row>
    <row r="666" spans="1:3">
      <c r="A666" s="216" t="s">
        <v>1519</v>
      </c>
      <c r="B666" s="218">
        <f t="shared" si="10"/>
        <v>41974</v>
      </c>
      <c r="C666" s="216" t="s">
        <v>1518</v>
      </c>
    </row>
    <row r="667" spans="1:3">
      <c r="A667" s="216" t="s">
        <v>1525</v>
      </c>
      <c r="B667" s="218">
        <f t="shared" si="10"/>
        <v>41883</v>
      </c>
      <c r="C667" s="216" t="s">
        <v>1524</v>
      </c>
    </row>
    <row r="668" spans="1:3">
      <c r="A668" s="216" t="s">
        <v>1517</v>
      </c>
      <c r="B668" s="218">
        <f t="shared" si="10"/>
        <v>41426</v>
      </c>
      <c r="C668" s="216" t="s">
        <v>1516</v>
      </c>
    </row>
    <row r="669" spans="1:3">
      <c r="A669" s="216" t="s">
        <v>1517</v>
      </c>
      <c r="B669" s="218">
        <f t="shared" si="10"/>
        <v>41426</v>
      </c>
      <c r="C669" s="216" t="s">
        <v>1516</v>
      </c>
    </row>
    <row r="670" spans="1:3">
      <c r="A670" s="216" t="s">
        <v>1499</v>
      </c>
      <c r="B670" s="218">
        <f t="shared" si="10"/>
        <v>41487</v>
      </c>
      <c r="C670" s="216" t="s">
        <v>1498</v>
      </c>
    </row>
    <row r="671" spans="1:3">
      <c r="A671" s="216" t="s">
        <v>1529</v>
      </c>
      <c r="B671" s="218">
        <f t="shared" si="10"/>
        <v>41821</v>
      </c>
      <c r="C671" s="216" t="s">
        <v>1528</v>
      </c>
    </row>
    <row r="672" spans="1:3">
      <c r="A672" s="216" t="s">
        <v>1513</v>
      </c>
      <c r="B672" s="218">
        <f t="shared" si="10"/>
        <v>41579</v>
      </c>
      <c r="C672" s="216" t="s">
        <v>1512</v>
      </c>
    </row>
    <row r="673" spans="1:3">
      <c r="A673" s="216" t="s">
        <v>1509</v>
      </c>
      <c r="B673" s="218">
        <f t="shared" si="10"/>
        <v>41609</v>
      </c>
      <c r="C673" s="216" t="s">
        <v>1508</v>
      </c>
    </row>
    <row r="674" spans="1:3">
      <c r="A674" s="216" t="s">
        <v>1539</v>
      </c>
      <c r="B674" s="218">
        <f t="shared" si="10"/>
        <v>41852</v>
      </c>
      <c r="C674" s="216" t="s">
        <v>1538</v>
      </c>
    </row>
    <row r="675" spans="1:3">
      <c r="A675" s="216" t="s">
        <v>1507</v>
      </c>
      <c r="B675" s="218">
        <f t="shared" si="10"/>
        <v>41913</v>
      </c>
      <c r="C675" s="216" t="s">
        <v>1506</v>
      </c>
    </row>
    <row r="676" spans="1:3">
      <c r="A676" s="216" t="s">
        <v>1541</v>
      </c>
      <c r="B676" s="218">
        <f t="shared" si="10"/>
        <v>41275</v>
      </c>
      <c r="C676" s="216" t="s">
        <v>1540</v>
      </c>
    </row>
    <row r="677" spans="1:3">
      <c r="A677" s="216" t="s">
        <v>1537</v>
      </c>
      <c r="B677" s="218">
        <f t="shared" si="10"/>
        <v>41640</v>
      </c>
      <c r="C677" s="216" t="s">
        <v>1536</v>
      </c>
    </row>
    <row r="678" spans="1:3">
      <c r="A678" s="216" t="s">
        <v>1511</v>
      </c>
      <c r="B678" s="218">
        <f t="shared" si="10"/>
        <v>41306</v>
      </c>
      <c r="C678" s="216" t="s">
        <v>1510</v>
      </c>
    </row>
    <row r="679" spans="1:3">
      <c r="A679" s="216" t="s">
        <v>1523</v>
      </c>
      <c r="B679" s="218">
        <f t="shared" si="10"/>
        <v>41395</v>
      </c>
      <c r="C679" s="216" t="s">
        <v>1522</v>
      </c>
    </row>
    <row r="680" spans="1:3">
      <c r="A680" s="216" t="s">
        <v>1515</v>
      </c>
      <c r="B680" s="218">
        <f t="shared" si="10"/>
        <v>41456</v>
      </c>
      <c r="C680" s="216" t="s">
        <v>1514</v>
      </c>
    </row>
    <row r="681" spans="1:3">
      <c r="A681" s="216" t="s">
        <v>1519</v>
      </c>
      <c r="B681" s="218">
        <f t="shared" si="10"/>
        <v>41974</v>
      </c>
      <c r="C681" s="216" t="s">
        <v>1518</v>
      </c>
    </row>
    <row r="682" spans="1:3">
      <c r="A682" s="216" t="s">
        <v>1515</v>
      </c>
      <c r="B682" s="218">
        <f t="shared" si="10"/>
        <v>41456</v>
      </c>
      <c r="C682" s="216" t="s">
        <v>1514</v>
      </c>
    </row>
    <row r="683" spans="1:3">
      <c r="A683" s="216" t="s">
        <v>1531</v>
      </c>
      <c r="B683" s="218">
        <f t="shared" si="10"/>
        <v>41760</v>
      </c>
      <c r="C683" s="216" t="s">
        <v>1530</v>
      </c>
    </row>
    <row r="684" spans="1:3">
      <c r="A684" s="216" t="s">
        <v>1505</v>
      </c>
      <c r="B684" s="218">
        <f t="shared" si="10"/>
        <v>41365</v>
      </c>
      <c r="C684" s="216" t="s">
        <v>1504</v>
      </c>
    </row>
    <row r="685" spans="1:3">
      <c r="A685" s="216" t="s">
        <v>1521</v>
      </c>
      <c r="B685" s="218">
        <f t="shared" si="10"/>
        <v>41791</v>
      </c>
      <c r="C685" s="216" t="s">
        <v>1520</v>
      </c>
    </row>
    <row r="686" spans="1:3">
      <c r="A686" s="216" t="s">
        <v>1519</v>
      </c>
      <c r="B686" s="218">
        <f t="shared" si="10"/>
        <v>41974</v>
      </c>
      <c r="C686" s="216" t="s">
        <v>1518</v>
      </c>
    </row>
    <row r="687" spans="1:3">
      <c r="A687" s="216" t="s">
        <v>1521</v>
      </c>
      <c r="B687" s="218">
        <f t="shared" si="10"/>
        <v>41791</v>
      </c>
      <c r="C687" s="216" t="s">
        <v>1520</v>
      </c>
    </row>
    <row r="688" spans="1:3">
      <c r="A688" s="216" t="s">
        <v>1533</v>
      </c>
      <c r="B688" s="218">
        <f t="shared" si="10"/>
        <v>41699</v>
      </c>
      <c r="C688" s="216" t="s">
        <v>1532</v>
      </c>
    </row>
    <row r="689" spans="1:3">
      <c r="A689" s="216" t="s">
        <v>1513</v>
      </c>
      <c r="B689" s="218">
        <f t="shared" si="10"/>
        <v>41579</v>
      </c>
      <c r="C689" s="216" t="s">
        <v>1512</v>
      </c>
    </row>
    <row r="690" spans="1:3">
      <c r="A690" s="216" t="s">
        <v>1535</v>
      </c>
      <c r="B690" s="218">
        <f t="shared" si="10"/>
        <v>41518</v>
      </c>
      <c r="C690" s="216" t="s">
        <v>1534</v>
      </c>
    </row>
    <row r="691" spans="1:3">
      <c r="A691" s="216" t="s">
        <v>1513</v>
      </c>
      <c r="B691" s="218">
        <f t="shared" si="10"/>
        <v>41579</v>
      </c>
      <c r="C691" s="216" t="s">
        <v>1512</v>
      </c>
    </row>
    <row r="692" spans="1:3">
      <c r="A692" s="216" t="s">
        <v>1539</v>
      </c>
      <c r="B692" s="218">
        <f t="shared" si="10"/>
        <v>41852</v>
      </c>
      <c r="C692" s="216" t="s">
        <v>1538</v>
      </c>
    </row>
    <row r="693" spans="1:3">
      <c r="A693" s="216" t="s">
        <v>1515</v>
      </c>
      <c r="B693" s="218">
        <f t="shared" si="10"/>
        <v>41456</v>
      </c>
      <c r="C693" s="216" t="s">
        <v>1514</v>
      </c>
    </row>
    <row r="694" spans="1:3">
      <c r="A694" s="216" t="s">
        <v>1509</v>
      </c>
      <c r="B694" s="218">
        <f t="shared" si="10"/>
        <v>41609</v>
      </c>
      <c r="C694" s="216" t="s">
        <v>1508</v>
      </c>
    </row>
    <row r="695" spans="1:3">
      <c r="A695" s="216" t="s">
        <v>1535</v>
      </c>
      <c r="B695" s="218">
        <f t="shared" si="10"/>
        <v>41518</v>
      </c>
      <c r="C695" s="216" t="s">
        <v>1534</v>
      </c>
    </row>
    <row r="696" spans="1:3">
      <c r="A696" s="216" t="s">
        <v>1545</v>
      </c>
      <c r="B696" s="218">
        <f t="shared" si="10"/>
        <v>41671</v>
      </c>
      <c r="C696" s="216" t="s">
        <v>1544</v>
      </c>
    </row>
    <row r="697" spans="1:3">
      <c r="A697" s="216" t="s">
        <v>1543</v>
      </c>
      <c r="B697" s="218">
        <f t="shared" si="10"/>
        <v>41944</v>
      </c>
      <c r="C697" s="216" t="s">
        <v>1542</v>
      </c>
    </row>
    <row r="698" spans="1:3">
      <c r="A698" s="216" t="s">
        <v>1537</v>
      </c>
      <c r="B698" s="218">
        <f t="shared" si="10"/>
        <v>41640</v>
      </c>
      <c r="C698" s="216" t="s">
        <v>1536</v>
      </c>
    </row>
    <row r="699" spans="1:3">
      <c r="A699" s="216" t="s">
        <v>1535</v>
      </c>
      <c r="B699" s="218">
        <f t="shared" si="10"/>
        <v>41518</v>
      </c>
      <c r="C699" s="216" t="s">
        <v>1534</v>
      </c>
    </row>
    <row r="700" spans="1:3">
      <c r="A700" s="216" t="s">
        <v>1537</v>
      </c>
      <c r="B700" s="218">
        <f t="shared" si="10"/>
        <v>41640</v>
      </c>
      <c r="C700" s="216" t="s">
        <v>1536</v>
      </c>
    </row>
    <row r="701" spans="1:3">
      <c r="A701" s="216" t="s">
        <v>1511</v>
      </c>
      <c r="B701" s="218">
        <f t="shared" si="10"/>
        <v>41306</v>
      </c>
      <c r="C701" s="216" t="s">
        <v>1510</v>
      </c>
    </row>
    <row r="702" spans="1:3">
      <c r="A702" s="216" t="s">
        <v>1531</v>
      </c>
      <c r="B702" s="218">
        <f t="shared" si="10"/>
        <v>41760</v>
      </c>
      <c r="C702" s="216" t="s">
        <v>1530</v>
      </c>
    </row>
    <row r="703" spans="1:3">
      <c r="A703" s="216" t="s">
        <v>1535</v>
      </c>
      <c r="B703" s="218">
        <f t="shared" si="10"/>
        <v>41518</v>
      </c>
      <c r="C703" s="216" t="s">
        <v>1534</v>
      </c>
    </row>
    <row r="704" spans="1:3">
      <c r="A704" s="216" t="s">
        <v>1545</v>
      </c>
      <c r="B704" s="218">
        <f t="shared" si="10"/>
        <v>41671</v>
      </c>
      <c r="C704" s="216" t="s">
        <v>1544</v>
      </c>
    </row>
    <row r="705" spans="1:3">
      <c r="A705" s="216" t="s">
        <v>1507</v>
      </c>
      <c r="B705" s="218">
        <f t="shared" si="10"/>
        <v>41913</v>
      </c>
      <c r="C705" s="216" t="s">
        <v>1506</v>
      </c>
    </row>
    <row r="706" spans="1:3">
      <c r="A706" s="216" t="s">
        <v>1501</v>
      </c>
      <c r="B706" s="218">
        <f t="shared" si="10"/>
        <v>41334</v>
      </c>
      <c r="C706" s="216" t="s">
        <v>1500</v>
      </c>
    </row>
    <row r="707" spans="1:3">
      <c r="A707" s="216" t="s">
        <v>1509</v>
      </c>
      <c r="B707" s="218">
        <f t="shared" ref="B707:B770" si="11">DATE(RIGHT(A707,4),LEFT(A707,2),1)</f>
        <v>41609</v>
      </c>
      <c r="C707" s="216" t="s">
        <v>1508</v>
      </c>
    </row>
    <row r="708" spans="1:3">
      <c r="A708" s="216" t="s">
        <v>1525</v>
      </c>
      <c r="B708" s="218">
        <f t="shared" si="11"/>
        <v>41883</v>
      </c>
      <c r="C708" s="216" t="s">
        <v>1524</v>
      </c>
    </row>
    <row r="709" spans="1:3">
      <c r="A709" s="216" t="s">
        <v>1527</v>
      </c>
      <c r="B709" s="218">
        <f t="shared" si="11"/>
        <v>41730</v>
      </c>
      <c r="C709" s="216" t="s">
        <v>1526</v>
      </c>
    </row>
    <row r="710" spans="1:3">
      <c r="A710" s="216" t="s">
        <v>1509</v>
      </c>
      <c r="B710" s="218">
        <f t="shared" si="11"/>
        <v>41609</v>
      </c>
      <c r="C710" s="216" t="s">
        <v>1508</v>
      </c>
    </row>
    <row r="711" spans="1:3">
      <c r="A711" s="216" t="s">
        <v>1539</v>
      </c>
      <c r="B711" s="218">
        <f t="shared" si="11"/>
        <v>41852</v>
      </c>
      <c r="C711" s="216" t="s">
        <v>1538</v>
      </c>
    </row>
    <row r="712" spans="1:3">
      <c r="A712" s="216" t="s">
        <v>1533</v>
      </c>
      <c r="B712" s="218">
        <f t="shared" si="11"/>
        <v>41699</v>
      </c>
      <c r="C712" s="216" t="s">
        <v>1532</v>
      </c>
    </row>
    <row r="713" spans="1:3">
      <c r="A713" s="216" t="s">
        <v>1499</v>
      </c>
      <c r="B713" s="218">
        <f t="shared" si="11"/>
        <v>41487</v>
      </c>
      <c r="C713" s="216" t="s">
        <v>1498</v>
      </c>
    </row>
    <row r="714" spans="1:3">
      <c r="A714" s="216" t="s">
        <v>1525</v>
      </c>
      <c r="B714" s="218">
        <f t="shared" si="11"/>
        <v>41883</v>
      </c>
      <c r="C714" s="216" t="s">
        <v>1524</v>
      </c>
    </row>
    <row r="715" spans="1:3">
      <c r="A715" s="216" t="s">
        <v>1541</v>
      </c>
      <c r="B715" s="218">
        <f t="shared" si="11"/>
        <v>41275</v>
      </c>
      <c r="C715" s="216" t="s">
        <v>1540</v>
      </c>
    </row>
    <row r="716" spans="1:3">
      <c r="A716" s="216" t="s">
        <v>1511</v>
      </c>
      <c r="B716" s="218">
        <f t="shared" si="11"/>
        <v>41306</v>
      </c>
      <c r="C716" s="216" t="s">
        <v>1510</v>
      </c>
    </row>
    <row r="717" spans="1:3">
      <c r="A717" s="216" t="s">
        <v>1531</v>
      </c>
      <c r="B717" s="218">
        <f t="shared" si="11"/>
        <v>41760</v>
      </c>
      <c r="C717" s="216" t="s">
        <v>1530</v>
      </c>
    </row>
    <row r="718" spans="1:3">
      <c r="A718" s="216" t="s">
        <v>1543</v>
      </c>
      <c r="B718" s="218">
        <f t="shared" si="11"/>
        <v>41944</v>
      </c>
      <c r="C718" s="216" t="s">
        <v>1542</v>
      </c>
    </row>
    <row r="719" spans="1:3">
      <c r="A719" s="216" t="s">
        <v>1535</v>
      </c>
      <c r="B719" s="218">
        <f t="shared" si="11"/>
        <v>41518</v>
      </c>
      <c r="C719" s="216" t="s">
        <v>1534</v>
      </c>
    </row>
    <row r="720" spans="1:3">
      <c r="A720" s="216" t="s">
        <v>1513</v>
      </c>
      <c r="B720" s="218">
        <f t="shared" si="11"/>
        <v>41579</v>
      </c>
      <c r="C720" s="216" t="s">
        <v>1512</v>
      </c>
    </row>
    <row r="721" spans="1:3">
      <c r="A721" s="216" t="s">
        <v>1525</v>
      </c>
      <c r="B721" s="218">
        <f t="shared" si="11"/>
        <v>41883</v>
      </c>
      <c r="C721" s="216" t="s">
        <v>1524</v>
      </c>
    </row>
    <row r="722" spans="1:3">
      <c r="A722" s="216" t="s">
        <v>1511</v>
      </c>
      <c r="B722" s="218">
        <f t="shared" si="11"/>
        <v>41306</v>
      </c>
      <c r="C722" s="216" t="s">
        <v>1510</v>
      </c>
    </row>
    <row r="723" spans="1:3">
      <c r="A723" s="216" t="s">
        <v>1537</v>
      </c>
      <c r="B723" s="218">
        <f t="shared" si="11"/>
        <v>41640</v>
      </c>
      <c r="C723" s="216" t="s">
        <v>1536</v>
      </c>
    </row>
    <row r="724" spans="1:3">
      <c r="A724" s="216" t="s">
        <v>1533</v>
      </c>
      <c r="B724" s="218">
        <f t="shared" si="11"/>
        <v>41699</v>
      </c>
      <c r="C724" s="216" t="s">
        <v>1532</v>
      </c>
    </row>
    <row r="725" spans="1:3">
      <c r="A725" s="216" t="s">
        <v>1543</v>
      </c>
      <c r="B725" s="218">
        <f t="shared" si="11"/>
        <v>41944</v>
      </c>
      <c r="C725" s="216" t="s">
        <v>1542</v>
      </c>
    </row>
    <row r="726" spans="1:3">
      <c r="A726" s="216" t="s">
        <v>1517</v>
      </c>
      <c r="B726" s="218">
        <f t="shared" si="11"/>
        <v>41426</v>
      </c>
      <c r="C726" s="216" t="s">
        <v>1516</v>
      </c>
    </row>
    <row r="727" spans="1:3">
      <c r="A727" s="216" t="s">
        <v>1511</v>
      </c>
      <c r="B727" s="218">
        <f t="shared" si="11"/>
        <v>41306</v>
      </c>
      <c r="C727" s="216" t="s">
        <v>1510</v>
      </c>
    </row>
    <row r="728" spans="1:3">
      <c r="A728" s="216" t="s">
        <v>1533</v>
      </c>
      <c r="B728" s="218">
        <f t="shared" si="11"/>
        <v>41699</v>
      </c>
      <c r="C728" s="216" t="s">
        <v>1532</v>
      </c>
    </row>
    <row r="729" spans="1:3">
      <c r="A729" s="216" t="s">
        <v>1525</v>
      </c>
      <c r="B729" s="218">
        <f t="shared" si="11"/>
        <v>41883</v>
      </c>
      <c r="C729" s="216" t="s">
        <v>1524</v>
      </c>
    </row>
    <row r="730" spans="1:3">
      <c r="A730" s="216" t="s">
        <v>1509</v>
      </c>
      <c r="B730" s="218">
        <f t="shared" si="11"/>
        <v>41609</v>
      </c>
      <c r="C730" s="216" t="s">
        <v>1508</v>
      </c>
    </row>
    <row r="731" spans="1:3">
      <c r="A731" s="216" t="s">
        <v>1519</v>
      </c>
      <c r="B731" s="218">
        <f t="shared" si="11"/>
        <v>41974</v>
      </c>
      <c r="C731" s="216" t="s">
        <v>1518</v>
      </c>
    </row>
    <row r="732" spans="1:3">
      <c r="A732" s="216" t="s">
        <v>1509</v>
      </c>
      <c r="B732" s="218">
        <f t="shared" si="11"/>
        <v>41609</v>
      </c>
      <c r="C732" s="216" t="s">
        <v>1508</v>
      </c>
    </row>
    <row r="733" spans="1:3">
      <c r="A733" s="216" t="s">
        <v>1545</v>
      </c>
      <c r="B733" s="218">
        <f t="shared" si="11"/>
        <v>41671</v>
      </c>
      <c r="C733" s="216" t="s">
        <v>1544</v>
      </c>
    </row>
    <row r="734" spans="1:3">
      <c r="A734" s="216" t="s">
        <v>1519</v>
      </c>
      <c r="B734" s="218">
        <f t="shared" si="11"/>
        <v>41974</v>
      </c>
      <c r="C734" s="216" t="s">
        <v>1518</v>
      </c>
    </row>
    <row r="735" spans="1:3">
      <c r="A735" s="216" t="s">
        <v>1525</v>
      </c>
      <c r="B735" s="218">
        <f t="shared" si="11"/>
        <v>41883</v>
      </c>
      <c r="C735" s="216" t="s">
        <v>1524</v>
      </c>
    </row>
    <row r="736" spans="1:3">
      <c r="A736" s="216" t="s">
        <v>1511</v>
      </c>
      <c r="B736" s="218">
        <f t="shared" si="11"/>
        <v>41306</v>
      </c>
      <c r="C736" s="216" t="s">
        <v>1510</v>
      </c>
    </row>
    <row r="737" spans="1:3">
      <c r="A737" s="216" t="s">
        <v>1539</v>
      </c>
      <c r="B737" s="218">
        <f t="shared" si="11"/>
        <v>41852</v>
      </c>
      <c r="C737" s="216" t="s">
        <v>1538</v>
      </c>
    </row>
    <row r="738" spans="1:3">
      <c r="A738" s="216" t="s">
        <v>1541</v>
      </c>
      <c r="B738" s="218">
        <f t="shared" si="11"/>
        <v>41275</v>
      </c>
      <c r="C738" s="216" t="s">
        <v>1540</v>
      </c>
    </row>
    <row r="739" spans="1:3">
      <c r="A739" s="216" t="s">
        <v>1517</v>
      </c>
      <c r="B739" s="218">
        <f t="shared" si="11"/>
        <v>41426</v>
      </c>
      <c r="C739" s="216" t="s">
        <v>1516</v>
      </c>
    </row>
    <row r="740" spans="1:3">
      <c r="A740" s="216" t="s">
        <v>1527</v>
      </c>
      <c r="B740" s="218">
        <f t="shared" si="11"/>
        <v>41730</v>
      </c>
      <c r="C740" s="216" t="s">
        <v>1526</v>
      </c>
    </row>
    <row r="741" spans="1:3">
      <c r="A741" s="216" t="s">
        <v>1531</v>
      </c>
      <c r="B741" s="218">
        <f t="shared" si="11"/>
        <v>41760</v>
      </c>
      <c r="C741" s="216" t="s">
        <v>1530</v>
      </c>
    </row>
    <row r="742" spans="1:3">
      <c r="A742" s="216" t="s">
        <v>1521</v>
      </c>
      <c r="B742" s="218">
        <f t="shared" si="11"/>
        <v>41791</v>
      </c>
      <c r="C742" s="216" t="s">
        <v>1520</v>
      </c>
    </row>
    <row r="743" spans="1:3">
      <c r="A743" s="216" t="s">
        <v>1537</v>
      </c>
      <c r="B743" s="218">
        <f t="shared" si="11"/>
        <v>41640</v>
      </c>
      <c r="C743" s="216" t="s">
        <v>1536</v>
      </c>
    </row>
    <row r="744" spans="1:3">
      <c r="A744" s="216" t="s">
        <v>1503</v>
      </c>
      <c r="B744" s="218">
        <f t="shared" si="11"/>
        <v>41548</v>
      </c>
      <c r="C744" s="216" t="s">
        <v>1502</v>
      </c>
    </row>
    <row r="745" spans="1:3">
      <c r="A745" s="216" t="s">
        <v>1535</v>
      </c>
      <c r="B745" s="218">
        <f t="shared" si="11"/>
        <v>41518</v>
      </c>
      <c r="C745" s="216" t="s">
        <v>1534</v>
      </c>
    </row>
    <row r="746" spans="1:3">
      <c r="A746" s="216" t="s">
        <v>1527</v>
      </c>
      <c r="B746" s="218">
        <f t="shared" si="11"/>
        <v>41730</v>
      </c>
      <c r="C746" s="216" t="s">
        <v>1526</v>
      </c>
    </row>
    <row r="747" spans="1:3">
      <c r="A747" s="216" t="s">
        <v>1539</v>
      </c>
      <c r="B747" s="218">
        <f t="shared" si="11"/>
        <v>41852</v>
      </c>
      <c r="C747" s="216" t="s">
        <v>1538</v>
      </c>
    </row>
    <row r="748" spans="1:3">
      <c r="A748" s="216" t="s">
        <v>1541</v>
      </c>
      <c r="B748" s="218">
        <f t="shared" si="11"/>
        <v>41275</v>
      </c>
      <c r="C748" s="216" t="s">
        <v>1540</v>
      </c>
    </row>
    <row r="749" spans="1:3">
      <c r="A749" s="216" t="s">
        <v>1523</v>
      </c>
      <c r="B749" s="218">
        <f t="shared" si="11"/>
        <v>41395</v>
      </c>
      <c r="C749" s="216" t="s">
        <v>1522</v>
      </c>
    </row>
    <row r="750" spans="1:3">
      <c r="A750" s="216" t="s">
        <v>1509</v>
      </c>
      <c r="B750" s="218">
        <f t="shared" si="11"/>
        <v>41609</v>
      </c>
      <c r="C750" s="216" t="s">
        <v>1508</v>
      </c>
    </row>
    <row r="751" spans="1:3">
      <c r="A751" s="216" t="s">
        <v>1525</v>
      </c>
      <c r="B751" s="218">
        <f t="shared" si="11"/>
        <v>41883</v>
      </c>
      <c r="C751" s="216" t="s">
        <v>1524</v>
      </c>
    </row>
    <row r="752" spans="1:3">
      <c r="A752" s="216" t="s">
        <v>1525</v>
      </c>
      <c r="B752" s="218">
        <f t="shared" si="11"/>
        <v>41883</v>
      </c>
      <c r="C752" s="216" t="s">
        <v>1524</v>
      </c>
    </row>
    <row r="753" spans="1:3">
      <c r="A753" s="216" t="s">
        <v>1505</v>
      </c>
      <c r="B753" s="218">
        <f t="shared" si="11"/>
        <v>41365</v>
      </c>
      <c r="C753" s="216" t="s">
        <v>1504</v>
      </c>
    </row>
    <row r="754" spans="1:3">
      <c r="A754" s="216" t="s">
        <v>1537</v>
      </c>
      <c r="B754" s="218">
        <f t="shared" si="11"/>
        <v>41640</v>
      </c>
      <c r="C754" s="216" t="s">
        <v>1536</v>
      </c>
    </row>
    <row r="755" spans="1:3">
      <c r="A755" s="216" t="s">
        <v>1511</v>
      </c>
      <c r="B755" s="218">
        <f t="shared" si="11"/>
        <v>41306</v>
      </c>
      <c r="C755" s="216" t="s">
        <v>1510</v>
      </c>
    </row>
    <row r="756" spans="1:3">
      <c r="A756" s="216" t="s">
        <v>1503</v>
      </c>
      <c r="B756" s="218">
        <f t="shared" si="11"/>
        <v>41548</v>
      </c>
      <c r="C756" s="216" t="s">
        <v>1502</v>
      </c>
    </row>
    <row r="757" spans="1:3">
      <c r="A757" s="216" t="s">
        <v>1517</v>
      </c>
      <c r="B757" s="218">
        <f t="shared" si="11"/>
        <v>41426</v>
      </c>
      <c r="C757" s="216" t="s">
        <v>1516</v>
      </c>
    </row>
    <row r="758" spans="1:3">
      <c r="A758" s="216" t="s">
        <v>1545</v>
      </c>
      <c r="B758" s="218">
        <f t="shared" si="11"/>
        <v>41671</v>
      </c>
      <c r="C758" s="216" t="s">
        <v>1544</v>
      </c>
    </row>
    <row r="759" spans="1:3">
      <c r="A759" s="216" t="s">
        <v>1509</v>
      </c>
      <c r="B759" s="218">
        <f t="shared" si="11"/>
        <v>41609</v>
      </c>
      <c r="C759" s="216" t="s">
        <v>1508</v>
      </c>
    </row>
    <row r="760" spans="1:3">
      <c r="A760" s="216" t="s">
        <v>1503</v>
      </c>
      <c r="B760" s="218">
        <f t="shared" si="11"/>
        <v>41548</v>
      </c>
      <c r="C760" s="216" t="s">
        <v>1502</v>
      </c>
    </row>
    <row r="761" spans="1:3">
      <c r="A761" s="216" t="s">
        <v>1513</v>
      </c>
      <c r="B761" s="218">
        <f t="shared" si="11"/>
        <v>41579</v>
      </c>
      <c r="C761" s="216" t="s">
        <v>1512</v>
      </c>
    </row>
    <row r="762" spans="1:3">
      <c r="A762" s="216" t="s">
        <v>1499</v>
      </c>
      <c r="B762" s="218">
        <f t="shared" si="11"/>
        <v>41487</v>
      </c>
      <c r="C762" s="216" t="s">
        <v>1498</v>
      </c>
    </row>
    <row r="763" spans="1:3">
      <c r="A763" s="216" t="s">
        <v>1541</v>
      </c>
      <c r="B763" s="218">
        <f t="shared" si="11"/>
        <v>41275</v>
      </c>
      <c r="C763" s="216" t="s">
        <v>1540</v>
      </c>
    </row>
    <row r="764" spans="1:3">
      <c r="A764" s="216" t="s">
        <v>1513</v>
      </c>
      <c r="B764" s="218">
        <f t="shared" si="11"/>
        <v>41579</v>
      </c>
      <c r="C764" s="216" t="s">
        <v>1512</v>
      </c>
    </row>
    <row r="765" spans="1:3">
      <c r="A765" s="216" t="s">
        <v>1535</v>
      </c>
      <c r="B765" s="218">
        <f t="shared" si="11"/>
        <v>41518</v>
      </c>
      <c r="C765" s="216" t="s">
        <v>1534</v>
      </c>
    </row>
    <row r="766" spans="1:3">
      <c r="A766" s="216" t="s">
        <v>1501</v>
      </c>
      <c r="B766" s="218">
        <f t="shared" si="11"/>
        <v>41334</v>
      </c>
      <c r="C766" s="216" t="s">
        <v>1500</v>
      </c>
    </row>
    <row r="767" spans="1:3">
      <c r="A767" s="216" t="s">
        <v>1499</v>
      </c>
      <c r="B767" s="218">
        <f t="shared" si="11"/>
        <v>41487</v>
      </c>
      <c r="C767" s="216" t="s">
        <v>1498</v>
      </c>
    </row>
    <row r="768" spans="1:3">
      <c r="A768" s="216" t="s">
        <v>1515</v>
      </c>
      <c r="B768" s="218">
        <f t="shared" si="11"/>
        <v>41456</v>
      </c>
      <c r="C768" s="216" t="s">
        <v>1514</v>
      </c>
    </row>
    <row r="769" spans="1:3">
      <c r="A769" s="216" t="s">
        <v>1513</v>
      </c>
      <c r="B769" s="218">
        <f t="shared" si="11"/>
        <v>41579</v>
      </c>
      <c r="C769" s="216" t="s">
        <v>1512</v>
      </c>
    </row>
    <row r="770" spans="1:3">
      <c r="A770" s="216" t="s">
        <v>1507</v>
      </c>
      <c r="B770" s="218">
        <f t="shared" si="11"/>
        <v>41913</v>
      </c>
      <c r="C770" s="216" t="s">
        <v>1506</v>
      </c>
    </row>
    <row r="771" spans="1:3">
      <c r="A771" s="216" t="s">
        <v>1521</v>
      </c>
      <c r="B771" s="218">
        <f t="shared" ref="B771:B834" si="12">DATE(RIGHT(A771,4),LEFT(A771,2),1)</f>
        <v>41791</v>
      </c>
      <c r="C771" s="216" t="s">
        <v>1520</v>
      </c>
    </row>
    <row r="772" spans="1:3">
      <c r="A772" s="216" t="s">
        <v>1513</v>
      </c>
      <c r="B772" s="218">
        <f t="shared" si="12"/>
        <v>41579</v>
      </c>
      <c r="C772" s="216" t="s">
        <v>1512</v>
      </c>
    </row>
    <row r="773" spans="1:3">
      <c r="A773" s="216" t="s">
        <v>1515</v>
      </c>
      <c r="B773" s="218">
        <f t="shared" si="12"/>
        <v>41456</v>
      </c>
      <c r="C773" s="216" t="s">
        <v>1514</v>
      </c>
    </row>
    <row r="774" spans="1:3">
      <c r="A774" s="216" t="s">
        <v>1515</v>
      </c>
      <c r="B774" s="218">
        <f t="shared" si="12"/>
        <v>41456</v>
      </c>
      <c r="C774" s="216" t="s">
        <v>1514</v>
      </c>
    </row>
    <row r="775" spans="1:3">
      <c r="A775" s="216" t="s">
        <v>1515</v>
      </c>
      <c r="B775" s="218">
        <f t="shared" si="12"/>
        <v>41456</v>
      </c>
      <c r="C775" s="216" t="s">
        <v>1514</v>
      </c>
    </row>
    <row r="776" spans="1:3">
      <c r="A776" s="216" t="s">
        <v>1505</v>
      </c>
      <c r="B776" s="218">
        <f t="shared" si="12"/>
        <v>41365</v>
      </c>
      <c r="C776" s="216" t="s">
        <v>1504</v>
      </c>
    </row>
    <row r="777" spans="1:3">
      <c r="A777" s="216" t="s">
        <v>1513</v>
      </c>
      <c r="B777" s="218">
        <f t="shared" si="12"/>
        <v>41579</v>
      </c>
      <c r="C777" s="216" t="s">
        <v>1512</v>
      </c>
    </row>
    <row r="778" spans="1:3">
      <c r="A778" s="216" t="s">
        <v>1499</v>
      </c>
      <c r="B778" s="218">
        <f t="shared" si="12"/>
        <v>41487</v>
      </c>
      <c r="C778" s="216" t="s">
        <v>1498</v>
      </c>
    </row>
    <row r="779" spans="1:3">
      <c r="A779" s="216" t="s">
        <v>1517</v>
      </c>
      <c r="B779" s="218">
        <f t="shared" si="12"/>
        <v>41426</v>
      </c>
      <c r="C779" s="216" t="s">
        <v>1516</v>
      </c>
    </row>
    <row r="780" spans="1:3">
      <c r="A780" s="216" t="s">
        <v>1511</v>
      </c>
      <c r="B780" s="218">
        <f t="shared" si="12"/>
        <v>41306</v>
      </c>
      <c r="C780" s="216" t="s">
        <v>1510</v>
      </c>
    </row>
    <row r="781" spans="1:3">
      <c r="A781" s="216" t="s">
        <v>1539</v>
      </c>
      <c r="B781" s="218">
        <f t="shared" si="12"/>
        <v>41852</v>
      </c>
      <c r="C781" s="216" t="s">
        <v>1538</v>
      </c>
    </row>
    <row r="782" spans="1:3">
      <c r="A782" s="216" t="s">
        <v>1499</v>
      </c>
      <c r="B782" s="218">
        <f t="shared" si="12"/>
        <v>41487</v>
      </c>
      <c r="C782" s="216" t="s">
        <v>1498</v>
      </c>
    </row>
    <row r="783" spans="1:3">
      <c r="A783" s="216" t="s">
        <v>1503</v>
      </c>
      <c r="B783" s="218">
        <f t="shared" si="12"/>
        <v>41548</v>
      </c>
      <c r="C783" s="216" t="s">
        <v>1502</v>
      </c>
    </row>
    <row r="784" spans="1:3">
      <c r="A784" s="216" t="s">
        <v>1517</v>
      </c>
      <c r="B784" s="218">
        <f t="shared" si="12"/>
        <v>41426</v>
      </c>
      <c r="C784" s="216" t="s">
        <v>1516</v>
      </c>
    </row>
    <row r="785" spans="1:3">
      <c r="A785" s="216" t="s">
        <v>1505</v>
      </c>
      <c r="B785" s="218">
        <f t="shared" si="12"/>
        <v>41365</v>
      </c>
      <c r="C785" s="216" t="s">
        <v>1504</v>
      </c>
    </row>
    <row r="786" spans="1:3">
      <c r="A786" s="216" t="s">
        <v>1539</v>
      </c>
      <c r="B786" s="218">
        <f t="shared" si="12"/>
        <v>41852</v>
      </c>
      <c r="C786" s="216" t="s">
        <v>1538</v>
      </c>
    </row>
    <row r="787" spans="1:3">
      <c r="A787" s="216" t="s">
        <v>1505</v>
      </c>
      <c r="B787" s="218">
        <f t="shared" si="12"/>
        <v>41365</v>
      </c>
      <c r="C787" s="216" t="s">
        <v>1504</v>
      </c>
    </row>
    <row r="788" spans="1:3">
      <c r="A788" s="216" t="s">
        <v>1525</v>
      </c>
      <c r="B788" s="218">
        <f t="shared" si="12"/>
        <v>41883</v>
      </c>
      <c r="C788" s="216" t="s">
        <v>1524</v>
      </c>
    </row>
    <row r="789" spans="1:3">
      <c r="A789" s="216" t="s">
        <v>1541</v>
      </c>
      <c r="B789" s="218">
        <f t="shared" si="12"/>
        <v>41275</v>
      </c>
      <c r="C789" s="216" t="s">
        <v>1540</v>
      </c>
    </row>
    <row r="790" spans="1:3">
      <c r="A790" s="216" t="s">
        <v>1499</v>
      </c>
      <c r="B790" s="218">
        <f t="shared" si="12"/>
        <v>41487</v>
      </c>
      <c r="C790" s="216" t="s">
        <v>1498</v>
      </c>
    </row>
    <row r="791" spans="1:3">
      <c r="A791" s="216" t="s">
        <v>1505</v>
      </c>
      <c r="B791" s="218">
        <f t="shared" si="12"/>
        <v>41365</v>
      </c>
      <c r="C791" s="216" t="s">
        <v>1504</v>
      </c>
    </row>
    <row r="792" spans="1:3">
      <c r="A792" s="216" t="s">
        <v>1529</v>
      </c>
      <c r="B792" s="218">
        <f t="shared" si="12"/>
        <v>41821</v>
      </c>
      <c r="C792" s="216" t="s">
        <v>1528</v>
      </c>
    </row>
    <row r="793" spans="1:3">
      <c r="A793" s="216" t="s">
        <v>1543</v>
      </c>
      <c r="B793" s="218">
        <f t="shared" si="12"/>
        <v>41944</v>
      </c>
      <c r="C793" s="216" t="s">
        <v>1542</v>
      </c>
    </row>
    <row r="794" spans="1:3">
      <c r="A794" s="216" t="s">
        <v>1537</v>
      </c>
      <c r="B794" s="218">
        <f t="shared" si="12"/>
        <v>41640</v>
      </c>
      <c r="C794" s="216" t="s">
        <v>1536</v>
      </c>
    </row>
    <row r="795" spans="1:3">
      <c r="A795" s="216" t="s">
        <v>1543</v>
      </c>
      <c r="B795" s="218">
        <f t="shared" si="12"/>
        <v>41944</v>
      </c>
      <c r="C795" s="216" t="s">
        <v>1542</v>
      </c>
    </row>
    <row r="796" spans="1:3">
      <c r="A796" s="216" t="s">
        <v>1517</v>
      </c>
      <c r="B796" s="218">
        <f t="shared" si="12"/>
        <v>41426</v>
      </c>
      <c r="C796" s="216" t="s">
        <v>1516</v>
      </c>
    </row>
    <row r="797" spans="1:3">
      <c r="A797" s="216" t="s">
        <v>1499</v>
      </c>
      <c r="B797" s="218">
        <f t="shared" si="12"/>
        <v>41487</v>
      </c>
      <c r="C797" s="216" t="s">
        <v>1498</v>
      </c>
    </row>
    <row r="798" spans="1:3">
      <c r="A798" s="216" t="s">
        <v>1515</v>
      </c>
      <c r="B798" s="218">
        <f t="shared" si="12"/>
        <v>41456</v>
      </c>
      <c r="C798" s="216" t="s">
        <v>1514</v>
      </c>
    </row>
    <row r="799" spans="1:3">
      <c r="A799" s="216" t="s">
        <v>1529</v>
      </c>
      <c r="B799" s="218">
        <f t="shared" si="12"/>
        <v>41821</v>
      </c>
      <c r="C799" s="216" t="s">
        <v>1528</v>
      </c>
    </row>
    <row r="800" spans="1:3">
      <c r="A800" s="216" t="s">
        <v>1519</v>
      </c>
      <c r="B800" s="218">
        <f t="shared" si="12"/>
        <v>41974</v>
      </c>
      <c r="C800" s="216" t="s">
        <v>1518</v>
      </c>
    </row>
    <row r="801" spans="1:3">
      <c r="A801" s="216" t="s">
        <v>1519</v>
      </c>
      <c r="B801" s="218">
        <f t="shared" si="12"/>
        <v>41974</v>
      </c>
      <c r="C801" s="216" t="s">
        <v>1518</v>
      </c>
    </row>
    <row r="802" spans="1:3">
      <c r="A802" s="216" t="s">
        <v>1513</v>
      </c>
      <c r="B802" s="218">
        <f t="shared" si="12"/>
        <v>41579</v>
      </c>
      <c r="C802" s="216" t="s">
        <v>1512</v>
      </c>
    </row>
    <row r="803" spans="1:3">
      <c r="A803" s="216" t="s">
        <v>1529</v>
      </c>
      <c r="B803" s="218">
        <f t="shared" si="12"/>
        <v>41821</v>
      </c>
      <c r="C803" s="216" t="s">
        <v>1528</v>
      </c>
    </row>
    <row r="804" spans="1:3">
      <c r="A804" s="216" t="s">
        <v>1527</v>
      </c>
      <c r="B804" s="218">
        <f t="shared" si="12"/>
        <v>41730</v>
      </c>
      <c r="C804" s="216" t="s">
        <v>1526</v>
      </c>
    </row>
    <row r="805" spans="1:3">
      <c r="A805" s="216" t="s">
        <v>1519</v>
      </c>
      <c r="B805" s="218">
        <f t="shared" si="12"/>
        <v>41974</v>
      </c>
      <c r="C805" s="216" t="s">
        <v>1518</v>
      </c>
    </row>
    <row r="806" spans="1:3">
      <c r="A806" s="216" t="s">
        <v>1543</v>
      </c>
      <c r="B806" s="218">
        <f t="shared" si="12"/>
        <v>41944</v>
      </c>
      <c r="C806" s="216" t="s">
        <v>1542</v>
      </c>
    </row>
    <row r="807" spans="1:3">
      <c r="A807" s="216" t="s">
        <v>1515</v>
      </c>
      <c r="B807" s="218">
        <f t="shared" si="12"/>
        <v>41456</v>
      </c>
      <c r="C807" s="216" t="s">
        <v>1514</v>
      </c>
    </row>
    <row r="808" spans="1:3">
      <c r="A808" s="216" t="s">
        <v>1531</v>
      </c>
      <c r="B808" s="218">
        <f t="shared" si="12"/>
        <v>41760</v>
      </c>
      <c r="C808" s="216" t="s">
        <v>1530</v>
      </c>
    </row>
    <row r="809" spans="1:3">
      <c r="A809" s="216" t="s">
        <v>1525</v>
      </c>
      <c r="B809" s="218">
        <f t="shared" si="12"/>
        <v>41883</v>
      </c>
      <c r="C809" s="216" t="s">
        <v>1524</v>
      </c>
    </row>
    <row r="810" spans="1:3">
      <c r="A810" s="216" t="s">
        <v>1539</v>
      </c>
      <c r="B810" s="218">
        <f t="shared" si="12"/>
        <v>41852</v>
      </c>
      <c r="C810" s="216" t="s">
        <v>1538</v>
      </c>
    </row>
    <row r="811" spans="1:3">
      <c r="A811" s="216" t="s">
        <v>1531</v>
      </c>
      <c r="B811" s="218">
        <f t="shared" si="12"/>
        <v>41760</v>
      </c>
      <c r="C811" s="216" t="s">
        <v>1530</v>
      </c>
    </row>
    <row r="812" spans="1:3">
      <c r="A812" s="216" t="s">
        <v>1543</v>
      </c>
      <c r="B812" s="218">
        <f t="shared" si="12"/>
        <v>41944</v>
      </c>
      <c r="C812" s="216" t="s">
        <v>1542</v>
      </c>
    </row>
    <row r="813" spans="1:3">
      <c r="A813" s="216" t="s">
        <v>1501</v>
      </c>
      <c r="B813" s="218">
        <f t="shared" si="12"/>
        <v>41334</v>
      </c>
      <c r="C813" s="216" t="s">
        <v>1500</v>
      </c>
    </row>
    <row r="814" spans="1:3">
      <c r="A814" s="216" t="s">
        <v>1509</v>
      </c>
      <c r="B814" s="218">
        <f t="shared" si="12"/>
        <v>41609</v>
      </c>
      <c r="C814" s="216" t="s">
        <v>1508</v>
      </c>
    </row>
    <row r="815" spans="1:3">
      <c r="A815" s="216" t="s">
        <v>1521</v>
      </c>
      <c r="B815" s="218">
        <f t="shared" si="12"/>
        <v>41791</v>
      </c>
      <c r="C815" s="216" t="s">
        <v>1520</v>
      </c>
    </row>
    <row r="816" spans="1:3">
      <c r="A816" s="216" t="s">
        <v>1499</v>
      </c>
      <c r="B816" s="218">
        <f t="shared" si="12"/>
        <v>41487</v>
      </c>
      <c r="C816" s="216" t="s">
        <v>1498</v>
      </c>
    </row>
    <row r="817" spans="1:3">
      <c r="A817" s="216" t="s">
        <v>1545</v>
      </c>
      <c r="B817" s="218">
        <f t="shared" si="12"/>
        <v>41671</v>
      </c>
      <c r="C817" s="216" t="s">
        <v>1544</v>
      </c>
    </row>
    <row r="818" spans="1:3">
      <c r="A818" s="216" t="s">
        <v>1515</v>
      </c>
      <c r="B818" s="218">
        <f t="shared" si="12"/>
        <v>41456</v>
      </c>
      <c r="C818" s="216" t="s">
        <v>1514</v>
      </c>
    </row>
    <row r="819" spans="1:3">
      <c r="A819" s="216" t="s">
        <v>1513</v>
      </c>
      <c r="B819" s="218">
        <f t="shared" si="12"/>
        <v>41579</v>
      </c>
      <c r="C819" s="216" t="s">
        <v>1512</v>
      </c>
    </row>
    <row r="820" spans="1:3">
      <c r="A820" s="216" t="s">
        <v>1543</v>
      </c>
      <c r="B820" s="218">
        <f t="shared" si="12"/>
        <v>41944</v>
      </c>
      <c r="C820" s="216" t="s">
        <v>1542</v>
      </c>
    </row>
    <row r="821" spans="1:3">
      <c r="A821" s="216" t="s">
        <v>1505</v>
      </c>
      <c r="B821" s="218">
        <f t="shared" si="12"/>
        <v>41365</v>
      </c>
      <c r="C821" s="216" t="s">
        <v>1504</v>
      </c>
    </row>
    <row r="822" spans="1:3">
      <c r="A822" s="216" t="s">
        <v>1529</v>
      </c>
      <c r="B822" s="218">
        <f t="shared" si="12"/>
        <v>41821</v>
      </c>
      <c r="C822" s="216" t="s">
        <v>1528</v>
      </c>
    </row>
    <row r="823" spans="1:3">
      <c r="A823" s="216" t="s">
        <v>1525</v>
      </c>
      <c r="B823" s="218">
        <f t="shared" si="12"/>
        <v>41883</v>
      </c>
      <c r="C823" s="216" t="s">
        <v>1524</v>
      </c>
    </row>
    <row r="824" spans="1:3">
      <c r="A824" s="216" t="s">
        <v>1533</v>
      </c>
      <c r="B824" s="218">
        <f t="shared" si="12"/>
        <v>41699</v>
      </c>
      <c r="C824" s="216" t="s">
        <v>1532</v>
      </c>
    </row>
    <row r="825" spans="1:3">
      <c r="A825" s="216" t="s">
        <v>1501</v>
      </c>
      <c r="B825" s="218">
        <f t="shared" si="12"/>
        <v>41334</v>
      </c>
      <c r="C825" s="216" t="s">
        <v>1500</v>
      </c>
    </row>
    <row r="826" spans="1:3">
      <c r="A826" s="216" t="s">
        <v>1511</v>
      </c>
      <c r="B826" s="218">
        <f t="shared" si="12"/>
        <v>41306</v>
      </c>
      <c r="C826" s="216" t="s">
        <v>1510</v>
      </c>
    </row>
    <row r="827" spans="1:3">
      <c r="A827" s="216" t="s">
        <v>1515</v>
      </c>
      <c r="B827" s="218">
        <f t="shared" si="12"/>
        <v>41456</v>
      </c>
      <c r="C827" s="216" t="s">
        <v>1514</v>
      </c>
    </row>
    <row r="828" spans="1:3">
      <c r="A828" s="216" t="s">
        <v>1539</v>
      </c>
      <c r="B828" s="218">
        <f t="shared" si="12"/>
        <v>41852</v>
      </c>
      <c r="C828" s="216" t="s">
        <v>1538</v>
      </c>
    </row>
    <row r="829" spans="1:3">
      <c r="A829" s="216" t="s">
        <v>1503</v>
      </c>
      <c r="B829" s="218">
        <f t="shared" si="12"/>
        <v>41548</v>
      </c>
      <c r="C829" s="216" t="s">
        <v>1502</v>
      </c>
    </row>
    <row r="830" spans="1:3">
      <c r="A830" s="216" t="s">
        <v>1505</v>
      </c>
      <c r="B830" s="218">
        <f t="shared" si="12"/>
        <v>41365</v>
      </c>
      <c r="C830" s="216" t="s">
        <v>1504</v>
      </c>
    </row>
    <row r="831" spans="1:3">
      <c r="A831" s="216" t="s">
        <v>1537</v>
      </c>
      <c r="B831" s="218">
        <f t="shared" si="12"/>
        <v>41640</v>
      </c>
      <c r="C831" s="216" t="s">
        <v>1536</v>
      </c>
    </row>
    <row r="832" spans="1:3">
      <c r="A832" s="216" t="s">
        <v>1531</v>
      </c>
      <c r="B832" s="218">
        <f t="shared" si="12"/>
        <v>41760</v>
      </c>
      <c r="C832" s="216" t="s">
        <v>1530</v>
      </c>
    </row>
    <row r="833" spans="1:3">
      <c r="A833" s="216" t="s">
        <v>1509</v>
      </c>
      <c r="B833" s="218">
        <f t="shared" si="12"/>
        <v>41609</v>
      </c>
      <c r="C833" s="216" t="s">
        <v>1508</v>
      </c>
    </row>
    <row r="834" spans="1:3">
      <c r="A834" s="216" t="s">
        <v>1507</v>
      </c>
      <c r="B834" s="218">
        <f t="shared" si="12"/>
        <v>41913</v>
      </c>
      <c r="C834" s="216" t="s">
        <v>1506</v>
      </c>
    </row>
    <row r="835" spans="1:3">
      <c r="A835" s="216" t="s">
        <v>1543</v>
      </c>
      <c r="B835" s="218">
        <f t="shared" ref="B835:B898" si="13">DATE(RIGHT(A835,4),LEFT(A835,2),1)</f>
        <v>41944</v>
      </c>
      <c r="C835" s="216" t="s">
        <v>1542</v>
      </c>
    </row>
    <row r="836" spans="1:3">
      <c r="A836" s="216" t="s">
        <v>1521</v>
      </c>
      <c r="B836" s="218">
        <f t="shared" si="13"/>
        <v>41791</v>
      </c>
      <c r="C836" s="216" t="s">
        <v>1520</v>
      </c>
    </row>
    <row r="837" spans="1:3">
      <c r="A837" s="216" t="s">
        <v>1509</v>
      </c>
      <c r="B837" s="218">
        <f t="shared" si="13"/>
        <v>41609</v>
      </c>
      <c r="C837" s="216" t="s">
        <v>1508</v>
      </c>
    </row>
    <row r="838" spans="1:3">
      <c r="A838" s="216" t="s">
        <v>1533</v>
      </c>
      <c r="B838" s="218">
        <f t="shared" si="13"/>
        <v>41699</v>
      </c>
      <c r="C838" s="216" t="s">
        <v>1532</v>
      </c>
    </row>
    <row r="839" spans="1:3">
      <c r="A839" s="216" t="s">
        <v>1519</v>
      </c>
      <c r="B839" s="218">
        <f t="shared" si="13"/>
        <v>41974</v>
      </c>
      <c r="C839" s="216" t="s">
        <v>1518</v>
      </c>
    </row>
    <row r="840" spans="1:3">
      <c r="A840" s="216" t="s">
        <v>1509</v>
      </c>
      <c r="B840" s="218">
        <f t="shared" si="13"/>
        <v>41609</v>
      </c>
      <c r="C840" s="216" t="s">
        <v>1508</v>
      </c>
    </row>
    <row r="841" spans="1:3">
      <c r="A841" s="216" t="s">
        <v>1513</v>
      </c>
      <c r="B841" s="218">
        <f t="shared" si="13"/>
        <v>41579</v>
      </c>
      <c r="C841" s="216" t="s">
        <v>1512</v>
      </c>
    </row>
    <row r="842" spans="1:3">
      <c r="A842" s="216" t="s">
        <v>1537</v>
      </c>
      <c r="B842" s="218">
        <f t="shared" si="13"/>
        <v>41640</v>
      </c>
      <c r="C842" s="216" t="s">
        <v>1536</v>
      </c>
    </row>
    <row r="843" spans="1:3">
      <c r="A843" s="216" t="s">
        <v>1511</v>
      </c>
      <c r="B843" s="218">
        <f t="shared" si="13"/>
        <v>41306</v>
      </c>
      <c r="C843" s="216" t="s">
        <v>1510</v>
      </c>
    </row>
    <row r="844" spans="1:3">
      <c r="A844" s="216" t="s">
        <v>1533</v>
      </c>
      <c r="B844" s="218">
        <f t="shared" si="13"/>
        <v>41699</v>
      </c>
      <c r="C844" s="216" t="s">
        <v>1532</v>
      </c>
    </row>
    <row r="845" spans="1:3">
      <c r="A845" s="216" t="s">
        <v>1517</v>
      </c>
      <c r="B845" s="218">
        <f t="shared" si="13"/>
        <v>41426</v>
      </c>
      <c r="C845" s="216" t="s">
        <v>1516</v>
      </c>
    </row>
    <row r="846" spans="1:3">
      <c r="A846" s="216" t="s">
        <v>1541</v>
      </c>
      <c r="B846" s="218">
        <f t="shared" si="13"/>
        <v>41275</v>
      </c>
      <c r="C846" s="216" t="s">
        <v>1540</v>
      </c>
    </row>
    <row r="847" spans="1:3">
      <c r="A847" s="216" t="s">
        <v>1539</v>
      </c>
      <c r="B847" s="218">
        <f t="shared" si="13"/>
        <v>41852</v>
      </c>
      <c r="C847" s="216" t="s">
        <v>1538</v>
      </c>
    </row>
    <row r="848" spans="1:3">
      <c r="A848" s="216" t="s">
        <v>1537</v>
      </c>
      <c r="B848" s="218">
        <f t="shared" si="13"/>
        <v>41640</v>
      </c>
      <c r="C848" s="216" t="s">
        <v>1536</v>
      </c>
    </row>
    <row r="849" spans="1:3">
      <c r="A849" s="216" t="s">
        <v>1537</v>
      </c>
      <c r="B849" s="218">
        <f t="shared" si="13"/>
        <v>41640</v>
      </c>
      <c r="C849" s="216" t="s">
        <v>1536</v>
      </c>
    </row>
    <row r="850" spans="1:3">
      <c r="A850" s="216" t="s">
        <v>1519</v>
      </c>
      <c r="B850" s="218">
        <f t="shared" si="13"/>
        <v>41974</v>
      </c>
      <c r="C850" s="216" t="s">
        <v>1518</v>
      </c>
    </row>
    <row r="851" spans="1:3">
      <c r="A851" s="216" t="s">
        <v>1501</v>
      </c>
      <c r="B851" s="218">
        <f t="shared" si="13"/>
        <v>41334</v>
      </c>
      <c r="C851" s="216" t="s">
        <v>1500</v>
      </c>
    </row>
    <row r="852" spans="1:3">
      <c r="A852" s="216" t="s">
        <v>1511</v>
      </c>
      <c r="B852" s="218">
        <f t="shared" si="13"/>
        <v>41306</v>
      </c>
      <c r="C852" s="216" t="s">
        <v>1510</v>
      </c>
    </row>
    <row r="853" spans="1:3">
      <c r="A853" s="216" t="s">
        <v>1523</v>
      </c>
      <c r="B853" s="218">
        <f t="shared" si="13"/>
        <v>41395</v>
      </c>
      <c r="C853" s="216" t="s">
        <v>1522</v>
      </c>
    </row>
    <row r="854" spans="1:3">
      <c r="A854" s="216" t="s">
        <v>1521</v>
      </c>
      <c r="B854" s="218">
        <f t="shared" si="13"/>
        <v>41791</v>
      </c>
      <c r="C854" s="216" t="s">
        <v>1520</v>
      </c>
    </row>
    <row r="855" spans="1:3">
      <c r="A855" s="216" t="s">
        <v>1531</v>
      </c>
      <c r="B855" s="218">
        <f t="shared" si="13"/>
        <v>41760</v>
      </c>
      <c r="C855" s="216" t="s">
        <v>1530</v>
      </c>
    </row>
    <row r="856" spans="1:3">
      <c r="A856" s="216" t="s">
        <v>1513</v>
      </c>
      <c r="B856" s="218">
        <f t="shared" si="13"/>
        <v>41579</v>
      </c>
      <c r="C856" s="216" t="s">
        <v>1512</v>
      </c>
    </row>
    <row r="857" spans="1:3">
      <c r="A857" s="216" t="s">
        <v>1499</v>
      </c>
      <c r="B857" s="218">
        <f t="shared" si="13"/>
        <v>41487</v>
      </c>
      <c r="C857" s="216" t="s">
        <v>1498</v>
      </c>
    </row>
    <row r="858" spans="1:3">
      <c r="A858" s="216" t="s">
        <v>1517</v>
      </c>
      <c r="B858" s="218">
        <f t="shared" si="13"/>
        <v>41426</v>
      </c>
      <c r="C858" s="216" t="s">
        <v>1516</v>
      </c>
    </row>
    <row r="859" spans="1:3">
      <c r="A859" s="216" t="s">
        <v>1505</v>
      </c>
      <c r="B859" s="218">
        <f t="shared" si="13"/>
        <v>41365</v>
      </c>
      <c r="C859" s="216" t="s">
        <v>1504</v>
      </c>
    </row>
    <row r="860" spans="1:3">
      <c r="A860" s="216" t="s">
        <v>1505</v>
      </c>
      <c r="B860" s="218">
        <f t="shared" si="13"/>
        <v>41365</v>
      </c>
      <c r="C860" s="216" t="s">
        <v>1504</v>
      </c>
    </row>
    <row r="861" spans="1:3">
      <c r="A861" s="216" t="s">
        <v>1537</v>
      </c>
      <c r="B861" s="218">
        <f t="shared" si="13"/>
        <v>41640</v>
      </c>
      <c r="C861" s="216" t="s">
        <v>1536</v>
      </c>
    </row>
    <row r="862" spans="1:3">
      <c r="A862" s="216" t="s">
        <v>1499</v>
      </c>
      <c r="B862" s="218">
        <f t="shared" si="13"/>
        <v>41487</v>
      </c>
      <c r="C862" s="216" t="s">
        <v>1498</v>
      </c>
    </row>
    <row r="863" spans="1:3">
      <c r="A863" s="216" t="s">
        <v>1503</v>
      </c>
      <c r="B863" s="218">
        <f t="shared" si="13"/>
        <v>41548</v>
      </c>
      <c r="C863" s="216" t="s">
        <v>1502</v>
      </c>
    </row>
    <row r="864" spans="1:3">
      <c r="A864" s="216" t="s">
        <v>1525</v>
      </c>
      <c r="B864" s="218">
        <f t="shared" si="13"/>
        <v>41883</v>
      </c>
      <c r="C864" s="216" t="s">
        <v>1524</v>
      </c>
    </row>
    <row r="865" spans="1:3">
      <c r="A865" s="216" t="s">
        <v>1535</v>
      </c>
      <c r="B865" s="218">
        <f t="shared" si="13"/>
        <v>41518</v>
      </c>
      <c r="C865" s="216" t="s">
        <v>1534</v>
      </c>
    </row>
    <row r="866" spans="1:3">
      <c r="A866" s="216" t="s">
        <v>1509</v>
      </c>
      <c r="B866" s="218">
        <f t="shared" si="13"/>
        <v>41609</v>
      </c>
      <c r="C866" s="216" t="s">
        <v>1508</v>
      </c>
    </row>
    <row r="867" spans="1:3">
      <c r="A867" s="216" t="s">
        <v>1535</v>
      </c>
      <c r="B867" s="218">
        <f t="shared" si="13"/>
        <v>41518</v>
      </c>
      <c r="C867" s="216" t="s">
        <v>1534</v>
      </c>
    </row>
    <row r="868" spans="1:3">
      <c r="A868" s="216" t="s">
        <v>1535</v>
      </c>
      <c r="B868" s="218">
        <f t="shared" si="13"/>
        <v>41518</v>
      </c>
      <c r="C868" s="216" t="s">
        <v>1534</v>
      </c>
    </row>
    <row r="869" spans="1:3">
      <c r="A869" s="216" t="s">
        <v>1525</v>
      </c>
      <c r="B869" s="218">
        <f t="shared" si="13"/>
        <v>41883</v>
      </c>
      <c r="C869" s="216" t="s">
        <v>1524</v>
      </c>
    </row>
    <row r="870" spans="1:3">
      <c r="A870" s="216" t="s">
        <v>1525</v>
      </c>
      <c r="B870" s="218">
        <f t="shared" si="13"/>
        <v>41883</v>
      </c>
      <c r="C870" s="216" t="s">
        <v>1524</v>
      </c>
    </row>
    <row r="871" spans="1:3">
      <c r="A871" s="216" t="s">
        <v>1517</v>
      </c>
      <c r="B871" s="218">
        <f t="shared" si="13"/>
        <v>41426</v>
      </c>
      <c r="C871" s="216" t="s">
        <v>1516</v>
      </c>
    </row>
    <row r="872" spans="1:3">
      <c r="A872" s="216" t="s">
        <v>1533</v>
      </c>
      <c r="B872" s="218">
        <f t="shared" si="13"/>
        <v>41699</v>
      </c>
      <c r="C872" s="216" t="s">
        <v>1532</v>
      </c>
    </row>
    <row r="873" spans="1:3">
      <c r="A873" s="216" t="s">
        <v>1515</v>
      </c>
      <c r="B873" s="218">
        <f t="shared" si="13"/>
        <v>41456</v>
      </c>
      <c r="C873" s="216" t="s">
        <v>1514</v>
      </c>
    </row>
    <row r="874" spans="1:3">
      <c r="A874" s="216" t="s">
        <v>1531</v>
      </c>
      <c r="B874" s="218">
        <f t="shared" si="13"/>
        <v>41760</v>
      </c>
      <c r="C874" s="216" t="s">
        <v>1530</v>
      </c>
    </row>
    <row r="875" spans="1:3">
      <c r="A875" s="216" t="s">
        <v>1509</v>
      </c>
      <c r="B875" s="218">
        <f t="shared" si="13"/>
        <v>41609</v>
      </c>
      <c r="C875" s="216" t="s">
        <v>1508</v>
      </c>
    </row>
    <row r="876" spans="1:3">
      <c r="A876" s="216" t="s">
        <v>1509</v>
      </c>
      <c r="B876" s="218">
        <f t="shared" si="13"/>
        <v>41609</v>
      </c>
      <c r="C876" s="216" t="s">
        <v>1508</v>
      </c>
    </row>
    <row r="877" spans="1:3">
      <c r="A877" s="216" t="s">
        <v>1527</v>
      </c>
      <c r="B877" s="218">
        <f t="shared" si="13"/>
        <v>41730</v>
      </c>
      <c r="C877" s="216" t="s">
        <v>1526</v>
      </c>
    </row>
    <row r="878" spans="1:3">
      <c r="A878" s="216" t="s">
        <v>1503</v>
      </c>
      <c r="B878" s="218">
        <f t="shared" si="13"/>
        <v>41548</v>
      </c>
      <c r="C878" s="216" t="s">
        <v>1502</v>
      </c>
    </row>
    <row r="879" spans="1:3">
      <c r="A879" s="216" t="s">
        <v>1529</v>
      </c>
      <c r="B879" s="218">
        <f t="shared" si="13"/>
        <v>41821</v>
      </c>
      <c r="C879" s="216" t="s">
        <v>1528</v>
      </c>
    </row>
    <row r="880" spans="1:3">
      <c r="A880" s="216" t="s">
        <v>1503</v>
      </c>
      <c r="B880" s="218">
        <f t="shared" si="13"/>
        <v>41548</v>
      </c>
      <c r="C880" s="216" t="s">
        <v>1502</v>
      </c>
    </row>
    <row r="881" spans="1:3">
      <c r="A881" s="216" t="s">
        <v>1501</v>
      </c>
      <c r="B881" s="218">
        <f t="shared" si="13"/>
        <v>41334</v>
      </c>
      <c r="C881" s="216" t="s">
        <v>1500</v>
      </c>
    </row>
    <row r="882" spans="1:3">
      <c r="A882" s="216" t="s">
        <v>1509</v>
      </c>
      <c r="B882" s="218">
        <f t="shared" si="13"/>
        <v>41609</v>
      </c>
      <c r="C882" s="216" t="s">
        <v>1508</v>
      </c>
    </row>
    <row r="883" spans="1:3">
      <c r="A883" s="216" t="s">
        <v>1507</v>
      </c>
      <c r="B883" s="218">
        <f t="shared" si="13"/>
        <v>41913</v>
      </c>
      <c r="C883" s="216" t="s">
        <v>1506</v>
      </c>
    </row>
    <row r="884" spans="1:3">
      <c r="A884" s="216" t="s">
        <v>1507</v>
      </c>
      <c r="B884" s="218">
        <f t="shared" si="13"/>
        <v>41913</v>
      </c>
      <c r="C884" s="216" t="s">
        <v>1506</v>
      </c>
    </row>
    <row r="885" spans="1:3">
      <c r="A885" s="216" t="s">
        <v>1523</v>
      </c>
      <c r="B885" s="218">
        <f t="shared" si="13"/>
        <v>41395</v>
      </c>
      <c r="C885" s="216" t="s">
        <v>1522</v>
      </c>
    </row>
    <row r="886" spans="1:3">
      <c r="A886" s="216" t="s">
        <v>1527</v>
      </c>
      <c r="B886" s="218">
        <f t="shared" si="13"/>
        <v>41730</v>
      </c>
      <c r="C886" s="216" t="s">
        <v>1526</v>
      </c>
    </row>
    <row r="887" spans="1:3">
      <c r="A887" s="216" t="s">
        <v>1519</v>
      </c>
      <c r="B887" s="218">
        <f t="shared" si="13"/>
        <v>41974</v>
      </c>
      <c r="C887" s="216" t="s">
        <v>1518</v>
      </c>
    </row>
    <row r="888" spans="1:3">
      <c r="A888" s="216" t="s">
        <v>1515</v>
      </c>
      <c r="B888" s="218">
        <f t="shared" si="13"/>
        <v>41456</v>
      </c>
      <c r="C888" s="216" t="s">
        <v>1514</v>
      </c>
    </row>
    <row r="889" spans="1:3">
      <c r="A889" s="216" t="s">
        <v>1513</v>
      </c>
      <c r="B889" s="218">
        <f t="shared" si="13"/>
        <v>41579</v>
      </c>
      <c r="C889" s="216" t="s">
        <v>1512</v>
      </c>
    </row>
    <row r="890" spans="1:3">
      <c r="A890" s="216" t="s">
        <v>1521</v>
      </c>
      <c r="B890" s="218">
        <f t="shared" si="13"/>
        <v>41791</v>
      </c>
      <c r="C890" s="216" t="s">
        <v>1520</v>
      </c>
    </row>
    <row r="891" spans="1:3">
      <c r="A891" s="216" t="s">
        <v>1509</v>
      </c>
      <c r="B891" s="218">
        <f t="shared" si="13"/>
        <v>41609</v>
      </c>
      <c r="C891" s="216" t="s">
        <v>1508</v>
      </c>
    </row>
    <row r="892" spans="1:3">
      <c r="A892" s="216" t="s">
        <v>1525</v>
      </c>
      <c r="B892" s="218">
        <f t="shared" si="13"/>
        <v>41883</v>
      </c>
      <c r="C892" s="216" t="s">
        <v>1524</v>
      </c>
    </row>
    <row r="893" spans="1:3">
      <c r="A893" s="216" t="s">
        <v>1505</v>
      </c>
      <c r="B893" s="218">
        <f t="shared" si="13"/>
        <v>41365</v>
      </c>
      <c r="C893" s="216" t="s">
        <v>1504</v>
      </c>
    </row>
    <row r="894" spans="1:3">
      <c r="A894" s="216" t="s">
        <v>1523</v>
      </c>
      <c r="B894" s="218">
        <f t="shared" si="13"/>
        <v>41395</v>
      </c>
      <c r="C894" s="216" t="s">
        <v>1522</v>
      </c>
    </row>
    <row r="895" spans="1:3">
      <c r="A895" s="216" t="s">
        <v>1511</v>
      </c>
      <c r="B895" s="218">
        <f t="shared" si="13"/>
        <v>41306</v>
      </c>
      <c r="C895" s="216" t="s">
        <v>1510</v>
      </c>
    </row>
    <row r="896" spans="1:3">
      <c r="A896" s="216" t="s">
        <v>1521</v>
      </c>
      <c r="B896" s="218">
        <f t="shared" si="13"/>
        <v>41791</v>
      </c>
      <c r="C896" s="216" t="s">
        <v>1520</v>
      </c>
    </row>
    <row r="897" spans="1:3">
      <c r="A897" s="216" t="s">
        <v>1519</v>
      </c>
      <c r="B897" s="218">
        <f t="shared" si="13"/>
        <v>41974</v>
      </c>
      <c r="C897" s="216" t="s">
        <v>1518</v>
      </c>
    </row>
    <row r="898" spans="1:3">
      <c r="A898" s="216" t="s">
        <v>1517</v>
      </c>
      <c r="B898" s="218">
        <f t="shared" si="13"/>
        <v>41426</v>
      </c>
      <c r="C898" s="216" t="s">
        <v>1516</v>
      </c>
    </row>
    <row r="899" spans="1:3">
      <c r="A899" s="216" t="s">
        <v>1515</v>
      </c>
      <c r="B899" s="218">
        <f t="shared" ref="B899:B910" si="14">DATE(RIGHT(A899,4),LEFT(A899,2),1)</f>
        <v>41456</v>
      </c>
      <c r="C899" s="216" t="s">
        <v>1514</v>
      </c>
    </row>
    <row r="900" spans="1:3">
      <c r="A900" s="216" t="s">
        <v>1513</v>
      </c>
      <c r="B900" s="218">
        <f t="shared" si="14"/>
        <v>41579</v>
      </c>
      <c r="C900" s="216" t="s">
        <v>1512</v>
      </c>
    </row>
    <row r="901" spans="1:3">
      <c r="A901" s="216" t="s">
        <v>1507</v>
      </c>
      <c r="B901" s="218">
        <f t="shared" si="14"/>
        <v>41913</v>
      </c>
      <c r="C901" s="216" t="s">
        <v>1506</v>
      </c>
    </row>
    <row r="902" spans="1:3">
      <c r="A902" s="216" t="s">
        <v>1511</v>
      </c>
      <c r="B902" s="218">
        <f t="shared" si="14"/>
        <v>41306</v>
      </c>
      <c r="C902" s="216" t="s">
        <v>1510</v>
      </c>
    </row>
    <row r="903" spans="1:3">
      <c r="A903" s="216" t="s">
        <v>1509</v>
      </c>
      <c r="B903" s="218">
        <f t="shared" si="14"/>
        <v>41609</v>
      </c>
      <c r="C903" s="216" t="s">
        <v>1508</v>
      </c>
    </row>
    <row r="904" spans="1:3">
      <c r="A904" s="216" t="s">
        <v>1507</v>
      </c>
      <c r="B904" s="218">
        <f t="shared" si="14"/>
        <v>41913</v>
      </c>
      <c r="C904" s="216" t="s">
        <v>1506</v>
      </c>
    </row>
    <row r="905" spans="1:3">
      <c r="A905" s="216" t="s">
        <v>1501</v>
      </c>
      <c r="B905" s="218">
        <f t="shared" si="14"/>
        <v>41334</v>
      </c>
      <c r="C905" s="216" t="s">
        <v>1500</v>
      </c>
    </row>
    <row r="906" spans="1:3">
      <c r="A906" s="216" t="s">
        <v>1505</v>
      </c>
      <c r="B906" s="218">
        <f t="shared" si="14"/>
        <v>41365</v>
      </c>
      <c r="C906" s="216" t="s">
        <v>1504</v>
      </c>
    </row>
    <row r="907" spans="1:3">
      <c r="A907" s="216" t="s">
        <v>1503</v>
      </c>
      <c r="B907" s="218">
        <f t="shared" si="14"/>
        <v>41548</v>
      </c>
      <c r="C907" s="216" t="s">
        <v>1502</v>
      </c>
    </row>
    <row r="908" spans="1:3">
      <c r="A908" s="216" t="s">
        <v>1501</v>
      </c>
      <c r="B908" s="218">
        <f t="shared" si="14"/>
        <v>41334</v>
      </c>
      <c r="C908" s="216" t="s">
        <v>1500</v>
      </c>
    </row>
    <row r="909" spans="1:3">
      <c r="A909" s="216" t="s">
        <v>1501</v>
      </c>
      <c r="B909" s="218">
        <f t="shared" si="14"/>
        <v>41334</v>
      </c>
      <c r="C909" s="216" t="s">
        <v>1500</v>
      </c>
    </row>
    <row r="910" spans="1:3">
      <c r="A910" s="216" t="s">
        <v>1499</v>
      </c>
      <c r="B910" s="218">
        <f t="shared" si="14"/>
        <v>41487</v>
      </c>
      <c r="C910" s="216" t="s">
        <v>1498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E21"/>
  <sheetViews>
    <sheetView zoomScale="130" zoomScaleNormal="130" workbookViewId="0">
      <selection activeCell="E2" sqref="E2:E21"/>
    </sheetView>
  </sheetViews>
  <sheetFormatPr defaultRowHeight="15"/>
  <cols>
    <col min="1" max="1" width="9.140625" style="220"/>
    <col min="2" max="2" width="25.42578125" style="221" customWidth="1"/>
    <col min="3" max="4" width="9.140625" style="220"/>
    <col min="5" max="5" width="25.140625" style="221" customWidth="1"/>
    <col min="6" max="16384" width="9.140625" style="220"/>
  </cols>
  <sheetData>
    <row r="1" spans="2:5">
      <c r="B1" s="222" t="s">
        <v>1580</v>
      </c>
      <c r="C1" s="223"/>
      <c r="D1" s="223"/>
      <c r="E1" s="222" t="s">
        <v>1580</v>
      </c>
    </row>
    <row r="2" spans="2:5">
      <c r="B2" s="221" t="s">
        <v>1573</v>
      </c>
      <c r="E2" s="220">
        <v>126</v>
      </c>
    </row>
    <row r="3" spans="2:5">
      <c r="B3" s="221" t="s">
        <v>1579</v>
      </c>
      <c r="E3" s="220">
        <v>145</v>
      </c>
    </row>
    <row r="4" spans="2:5">
      <c r="B4" s="221" t="s">
        <v>1578</v>
      </c>
      <c r="E4" s="220">
        <v>199</v>
      </c>
    </row>
    <row r="5" spans="2:5">
      <c r="B5" s="221" t="s">
        <v>1577</v>
      </c>
      <c r="E5" s="220">
        <v>262</v>
      </c>
    </row>
    <row r="6" spans="2:5">
      <c r="B6" s="221" t="s">
        <v>1576</v>
      </c>
      <c r="E6" s="220">
        <v>294</v>
      </c>
    </row>
    <row r="7" spans="2:5">
      <c r="B7" s="221" t="s">
        <v>1575</v>
      </c>
      <c r="E7" s="220">
        <v>339</v>
      </c>
    </row>
    <row r="8" spans="2:5">
      <c r="B8" s="221" t="s">
        <v>1574</v>
      </c>
      <c r="E8" s="220">
        <v>366</v>
      </c>
    </row>
    <row r="9" spans="2:5">
      <c r="B9" s="221" t="s">
        <v>1572</v>
      </c>
      <c r="E9" s="220">
        <v>396</v>
      </c>
    </row>
    <row r="10" spans="2:5">
      <c r="B10" s="221" t="s">
        <v>1571</v>
      </c>
      <c r="E10" s="220">
        <v>420</v>
      </c>
    </row>
    <row r="11" spans="2:5">
      <c r="B11" s="221" t="s">
        <v>1570</v>
      </c>
      <c r="E11" s="220">
        <v>438</v>
      </c>
    </row>
    <row r="12" spans="2:5">
      <c r="B12" s="221" t="s">
        <v>1569</v>
      </c>
      <c r="E12" s="220">
        <v>531</v>
      </c>
    </row>
    <row r="13" spans="2:5">
      <c r="B13" s="221" t="s">
        <v>1568</v>
      </c>
      <c r="E13" s="220">
        <v>600</v>
      </c>
    </row>
    <row r="14" spans="2:5">
      <c r="B14" s="221" t="s">
        <v>1567</v>
      </c>
      <c r="E14" s="220">
        <v>613</v>
      </c>
    </row>
    <row r="15" spans="2:5">
      <c r="B15" s="221" t="s">
        <v>1566</v>
      </c>
      <c r="E15" s="220">
        <v>625</v>
      </c>
    </row>
    <row r="16" spans="2:5">
      <c r="B16" s="221" t="s">
        <v>1565</v>
      </c>
      <c r="E16" s="220">
        <v>658</v>
      </c>
    </row>
    <row r="17" spans="2:5">
      <c r="B17" s="221" t="s">
        <v>1564</v>
      </c>
      <c r="E17" s="220">
        <v>712</v>
      </c>
    </row>
    <row r="18" spans="2:5">
      <c r="B18" s="221" t="s">
        <v>1563</v>
      </c>
      <c r="E18" s="220">
        <v>844</v>
      </c>
    </row>
    <row r="19" spans="2:5">
      <c r="B19" s="221" t="s">
        <v>1562</v>
      </c>
      <c r="E19" s="220">
        <v>879</v>
      </c>
    </row>
    <row r="20" spans="2:5">
      <c r="B20" s="221" t="s">
        <v>1561</v>
      </c>
      <c r="E20" s="220">
        <v>936</v>
      </c>
    </row>
    <row r="21" spans="2:5">
      <c r="B21" s="221" t="s">
        <v>1560</v>
      </c>
      <c r="E21" s="220">
        <v>947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0"/>
  <sheetViews>
    <sheetView zoomScale="160" zoomScaleNormal="160" workbookViewId="0">
      <selection activeCell="F2" sqref="F2:F30"/>
    </sheetView>
  </sheetViews>
  <sheetFormatPr defaultRowHeight="15"/>
  <cols>
    <col min="1" max="1" width="12.85546875" style="224" bestFit="1" customWidth="1"/>
    <col min="2" max="2" width="14.140625" style="224" customWidth="1"/>
    <col min="3" max="3" width="9.140625" style="224"/>
    <col min="4" max="4" width="13.7109375" style="224" bestFit="1" customWidth="1"/>
    <col min="5" max="5" width="14.140625" style="216" customWidth="1"/>
    <col min="6" max="8" width="9.140625" style="224"/>
    <col min="9" max="16384" width="9.140625" style="216"/>
  </cols>
  <sheetData>
    <row r="1" spans="1:7">
      <c r="A1" s="230" t="s">
        <v>1584</v>
      </c>
      <c r="B1" s="231" t="s">
        <v>1583</v>
      </c>
      <c r="D1" s="230" t="s">
        <v>1583</v>
      </c>
      <c r="E1" s="229" t="s">
        <v>1582</v>
      </c>
      <c r="F1" s="224" t="s">
        <v>1581</v>
      </c>
      <c r="G1" s="228"/>
    </row>
    <row r="2" spans="1:7">
      <c r="A2" s="225">
        <v>2.5</v>
      </c>
      <c r="B2" s="333">
        <f>A2*8/24</f>
        <v>0.83333333333333337</v>
      </c>
      <c r="D2" s="226">
        <v>0.33333333333333331</v>
      </c>
      <c r="E2" s="225">
        <v>30</v>
      </c>
      <c r="F2" s="334">
        <f>D2*E2*24</f>
        <v>240</v>
      </c>
    </row>
    <row r="3" spans="1:7">
      <c r="A3" s="225">
        <v>1.5</v>
      </c>
      <c r="B3" s="227"/>
      <c r="D3" s="226">
        <v>0.10416666666666667</v>
      </c>
      <c r="E3" s="225">
        <v>40</v>
      </c>
      <c r="F3" s="334">
        <f t="shared" ref="F3:F30" si="0">D3*E3*24</f>
        <v>100</v>
      </c>
    </row>
    <row r="4" spans="1:7">
      <c r="A4" s="225">
        <v>1.2</v>
      </c>
      <c r="B4" s="227"/>
      <c r="D4" s="226">
        <v>1.0416666666666666E-2</v>
      </c>
      <c r="E4" s="225">
        <v>29.75</v>
      </c>
      <c r="F4" s="334">
        <f t="shared" si="0"/>
        <v>7.4375</v>
      </c>
    </row>
    <row r="5" spans="1:7">
      <c r="A5" s="225">
        <v>8.1999999999999993</v>
      </c>
      <c r="B5" s="227"/>
      <c r="D5" s="226">
        <v>0.125</v>
      </c>
      <c r="E5" s="225">
        <v>40</v>
      </c>
      <c r="F5" s="334">
        <f t="shared" si="0"/>
        <v>120</v>
      </c>
    </row>
    <row r="6" spans="1:7">
      <c r="A6" s="225">
        <v>7.25</v>
      </c>
      <c r="B6" s="227"/>
      <c r="D6" s="226">
        <v>0.5083333333333333</v>
      </c>
      <c r="E6" s="225">
        <v>40.25</v>
      </c>
      <c r="F6" s="334">
        <f t="shared" si="0"/>
        <v>491.05</v>
      </c>
    </row>
    <row r="7" spans="1:7">
      <c r="A7" s="225">
        <v>8</v>
      </c>
      <c r="B7" s="227">
        <f>A7*8/24</f>
        <v>2.6666666666666665</v>
      </c>
      <c r="D7" s="226">
        <v>0.25</v>
      </c>
      <c r="E7" s="225">
        <v>45.88</v>
      </c>
      <c r="F7" s="334">
        <f t="shared" si="0"/>
        <v>275.28000000000003</v>
      </c>
    </row>
    <row r="8" spans="1:7">
      <c r="A8" s="225">
        <v>3.6</v>
      </c>
      <c r="B8" s="227"/>
      <c r="D8" s="226">
        <v>0.37916666666666665</v>
      </c>
      <c r="E8" s="225">
        <v>32</v>
      </c>
      <c r="F8" s="334">
        <f t="shared" si="0"/>
        <v>291.2</v>
      </c>
    </row>
    <row r="9" spans="1:7">
      <c r="A9" s="225">
        <v>2</v>
      </c>
      <c r="B9" s="227"/>
      <c r="D9" s="226">
        <v>0.23958333333333334</v>
      </c>
      <c r="E9" s="225">
        <v>26.88</v>
      </c>
      <c r="F9" s="334">
        <f t="shared" si="0"/>
        <v>154.56</v>
      </c>
    </row>
    <row r="10" spans="1:7">
      <c r="A10" s="225">
        <v>6</v>
      </c>
      <c r="B10" s="227"/>
      <c r="D10" s="226">
        <v>0.5</v>
      </c>
      <c r="E10" s="225">
        <v>34.630000000000003</v>
      </c>
      <c r="F10" s="334">
        <f t="shared" si="0"/>
        <v>415.56000000000006</v>
      </c>
    </row>
    <row r="11" spans="1:7">
      <c r="A11" s="225">
        <v>9.5</v>
      </c>
      <c r="B11" s="227"/>
      <c r="D11" s="226">
        <v>0.15833333333333333</v>
      </c>
      <c r="E11" s="225">
        <v>32.25</v>
      </c>
      <c r="F11" s="334">
        <f t="shared" si="0"/>
        <v>122.55000000000001</v>
      </c>
    </row>
    <row r="12" spans="1:7">
      <c r="A12" s="225">
        <v>7</v>
      </c>
      <c r="B12" s="227"/>
      <c r="D12" s="226">
        <v>5.2083333333333336E-2</v>
      </c>
      <c r="E12" s="225">
        <v>44.25</v>
      </c>
      <c r="F12" s="334">
        <f t="shared" si="0"/>
        <v>55.3125</v>
      </c>
    </row>
    <row r="13" spans="1:7">
      <c r="A13" s="225">
        <v>8.75</v>
      </c>
      <c r="B13" s="227"/>
      <c r="D13" s="226">
        <v>1.0416666666666666E-2</v>
      </c>
      <c r="E13" s="225">
        <v>35.130000000000003</v>
      </c>
      <c r="F13" s="334">
        <f t="shared" si="0"/>
        <v>8.7825000000000006</v>
      </c>
    </row>
    <row r="14" spans="1:7">
      <c r="A14" s="225">
        <v>8.25</v>
      </c>
      <c r="B14" s="227"/>
      <c r="D14" s="226">
        <v>0.23958333333333334</v>
      </c>
      <c r="E14" s="225">
        <v>26</v>
      </c>
      <c r="F14" s="334">
        <f t="shared" si="0"/>
        <v>149.5</v>
      </c>
    </row>
    <row r="15" spans="1:7">
      <c r="A15" s="225">
        <v>1.25</v>
      </c>
      <c r="B15" s="227"/>
      <c r="D15" s="226">
        <v>0.26041666666666669</v>
      </c>
      <c r="E15" s="225">
        <v>29.38</v>
      </c>
      <c r="F15" s="334">
        <f t="shared" si="0"/>
        <v>183.625</v>
      </c>
    </row>
    <row r="16" spans="1:7">
      <c r="A16" s="225">
        <v>4.75</v>
      </c>
      <c r="B16" s="227"/>
      <c r="D16" s="226">
        <v>5.2083333333333336E-2</v>
      </c>
      <c r="E16" s="225">
        <v>49.63</v>
      </c>
      <c r="F16" s="334">
        <f t="shared" si="0"/>
        <v>62.037500000000001</v>
      </c>
    </row>
    <row r="17" spans="1:6">
      <c r="A17" s="225">
        <v>1.75</v>
      </c>
      <c r="B17" s="227"/>
      <c r="D17" s="226">
        <v>9.375E-2</v>
      </c>
      <c r="E17" s="225">
        <v>43.5</v>
      </c>
      <c r="F17" s="334">
        <f t="shared" si="0"/>
        <v>97.875</v>
      </c>
    </row>
    <row r="18" spans="1:6">
      <c r="A18" s="225">
        <v>9.25</v>
      </c>
      <c r="B18" s="227"/>
      <c r="D18" s="226">
        <v>0.20833333333333334</v>
      </c>
      <c r="E18" s="225">
        <v>39.5</v>
      </c>
      <c r="F18" s="334">
        <f t="shared" si="0"/>
        <v>197.50000000000003</v>
      </c>
    </row>
    <row r="19" spans="1:6">
      <c r="A19" s="225">
        <v>2</v>
      </c>
      <c r="B19" s="227"/>
      <c r="D19" s="226">
        <v>0.10416666666666667</v>
      </c>
      <c r="E19" s="225">
        <v>26.75</v>
      </c>
      <c r="F19" s="334">
        <f t="shared" si="0"/>
        <v>66.875</v>
      </c>
    </row>
    <row r="20" spans="1:6">
      <c r="A20" s="225">
        <v>8</v>
      </c>
      <c r="B20" s="227"/>
      <c r="D20" s="226">
        <v>9.375E-2</v>
      </c>
      <c r="E20" s="225">
        <v>35.630000000000003</v>
      </c>
      <c r="F20" s="334">
        <f t="shared" si="0"/>
        <v>80.167500000000018</v>
      </c>
    </row>
    <row r="21" spans="1:6">
      <c r="A21" s="225">
        <v>4.5</v>
      </c>
      <c r="B21" s="227"/>
      <c r="D21" s="226">
        <v>8.3333333333333329E-2</v>
      </c>
      <c r="E21" s="225">
        <v>39.5</v>
      </c>
      <c r="F21" s="334">
        <f t="shared" si="0"/>
        <v>79</v>
      </c>
    </row>
    <row r="22" spans="1:6">
      <c r="A22" s="225">
        <v>9.5</v>
      </c>
      <c r="B22" s="227"/>
      <c r="D22" s="226">
        <v>0.15625</v>
      </c>
      <c r="E22" s="225">
        <v>42.75</v>
      </c>
      <c r="F22" s="334">
        <f t="shared" si="0"/>
        <v>160.3125</v>
      </c>
    </row>
    <row r="23" spans="1:6">
      <c r="A23" s="225">
        <v>9.5</v>
      </c>
      <c r="B23" s="227"/>
      <c r="D23" s="226">
        <v>0.39583333333333331</v>
      </c>
      <c r="E23" s="225">
        <v>26.5</v>
      </c>
      <c r="F23" s="334">
        <f t="shared" si="0"/>
        <v>251.74999999999997</v>
      </c>
    </row>
    <row r="24" spans="1:6">
      <c r="A24" s="225">
        <v>7.5</v>
      </c>
      <c r="B24" s="227"/>
      <c r="D24" s="226">
        <v>0.19791666666666666</v>
      </c>
      <c r="E24" s="225">
        <v>33.130000000000003</v>
      </c>
      <c r="F24" s="334">
        <f t="shared" si="0"/>
        <v>157.36750000000001</v>
      </c>
    </row>
    <row r="25" spans="1:6">
      <c r="A25" s="225">
        <v>3.25</v>
      </c>
      <c r="B25" s="227"/>
      <c r="D25" s="226">
        <v>0.35416666666666669</v>
      </c>
      <c r="E25" s="225">
        <v>34.25</v>
      </c>
      <c r="F25" s="334">
        <f t="shared" si="0"/>
        <v>291.125</v>
      </c>
    </row>
    <row r="26" spans="1:6">
      <c r="A26" s="225">
        <v>5</v>
      </c>
      <c r="B26" s="227"/>
      <c r="D26" s="226">
        <v>0.10416666666666667</v>
      </c>
      <c r="E26" s="225">
        <v>37.630000000000003</v>
      </c>
      <c r="F26" s="334">
        <f t="shared" si="0"/>
        <v>94.075000000000017</v>
      </c>
    </row>
    <row r="27" spans="1:6">
      <c r="A27" s="225">
        <v>2.5</v>
      </c>
      <c r="B27" s="227"/>
      <c r="D27" s="226">
        <v>0.51041666666666663</v>
      </c>
      <c r="E27" s="225">
        <v>29.88</v>
      </c>
      <c r="F27" s="334">
        <f t="shared" si="0"/>
        <v>366.03</v>
      </c>
    </row>
    <row r="28" spans="1:6">
      <c r="A28" s="225">
        <v>10</v>
      </c>
      <c r="B28" s="227"/>
      <c r="D28" s="226">
        <v>4.1666666666666664E-2</v>
      </c>
      <c r="E28" s="225">
        <v>49.5</v>
      </c>
      <c r="F28" s="334">
        <f t="shared" si="0"/>
        <v>49.5</v>
      </c>
    </row>
    <row r="29" spans="1:6">
      <c r="A29" s="225">
        <v>5.25</v>
      </c>
      <c r="B29" s="227"/>
      <c r="D29" s="226">
        <v>0.26041666666666669</v>
      </c>
      <c r="E29" s="225">
        <v>27.25</v>
      </c>
      <c r="F29" s="334">
        <f t="shared" si="0"/>
        <v>170.3125</v>
      </c>
    </row>
    <row r="30" spans="1:6">
      <c r="A30" s="225">
        <v>1</v>
      </c>
      <c r="B30" s="227"/>
      <c r="D30" s="226">
        <v>0.33333333333333331</v>
      </c>
      <c r="E30" s="225">
        <v>36.880000000000003</v>
      </c>
      <c r="F30" s="334">
        <f t="shared" si="0"/>
        <v>295.03999999999996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77"/>
  <sheetViews>
    <sheetView topLeftCell="A10" zoomScale="160" zoomScaleNormal="160" workbookViewId="0">
      <selection activeCell="D19" sqref="D19"/>
    </sheetView>
  </sheetViews>
  <sheetFormatPr defaultRowHeight="15"/>
  <cols>
    <col min="1" max="1" width="8.28515625" style="122" bestFit="1" customWidth="1"/>
    <col min="2" max="2" width="2.7109375" style="122" customWidth="1"/>
    <col min="3" max="3" width="8.5703125" style="201" customWidth="1"/>
    <col min="4" max="4" width="17" style="122" customWidth="1"/>
    <col min="5" max="5" width="8.85546875" style="247" customWidth="1"/>
    <col min="6" max="6" width="8.42578125" style="247" customWidth="1"/>
    <col min="7" max="7" width="10.42578125" style="122" customWidth="1"/>
    <col min="8" max="8" width="21.140625" style="122" customWidth="1"/>
    <col min="9" max="9" width="10.85546875" style="122" customWidth="1"/>
    <col min="10" max="16384" width="9.140625" style="122"/>
  </cols>
  <sheetData>
    <row r="1" spans="1:9">
      <c r="A1" s="124" t="s">
        <v>2272</v>
      </c>
      <c r="B1" s="124"/>
      <c r="C1" s="250" t="s">
        <v>2271</v>
      </c>
      <c r="D1" s="124" t="s">
        <v>3149</v>
      </c>
      <c r="E1" s="249"/>
      <c r="F1" s="249"/>
      <c r="G1" s="124" t="s">
        <v>2270</v>
      </c>
      <c r="H1" s="124" t="s">
        <v>2269</v>
      </c>
    </row>
    <row r="2" spans="1:9">
      <c r="A2" s="251">
        <v>71396</v>
      </c>
      <c r="C2" s="201">
        <v>75757</v>
      </c>
      <c r="D2" s="122" t="str">
        <f>TEXT(C2,"00000")</f>
        <v>75757</v>
      </c>
      <c r="E2" s="247" t="s">
        <v>2268</v>
      </c>
      <c r="G2" s="248" t="s">
        <v>2267</v>
      </c>
      <c r="I2" s="122" t="s">
        <v>2266</v>
      </c>
    </row>
    <row r="3" spans="1:9">
      <c r="A3" s="251">
        <v>64134</v>
      </c>
      <c r="C3" s="201">
        <v>2026</v>
      </c>
      <c r="D3" s="122" t="str">
        <f t="shared" ref="D3:D66" si="0">TEXT(C3,"00000")</f>
        <v>02026</v>
      </c>
      <c r="E3" s="247" t="s">
        <v>2265</v>
      </c>
      <c r="G3" s="248" t="s">
        <v>2264</v>
      </c>
      <c r="I3" s="122" t="s">
        <v>2263</v>
      </c>
    </row>
    <row r="4" spans="1:9">
      <c r="A4" s="251">
        <v>95192</v>
      </c>
      <c r="C4" s="201">
        <v>44613</v>
      </c>
      <c r="D4" s="122" t="str">
        <f t="shared" si="0"/>
        <v>44613</v>
      </c>
      <c r="E4" s="247" t="s">
        <v>2262</v>
      </c>
      <c r="G4" s="248" t="s">
        <v>2261</v>
      </c>
      <c r="I4" s="122" t="s">
        <v>2261</v>
      </c>
    </row>
    <row r="5" spans="1:9">
      <c r="A5" s="251">
        <v>2299</v>
      </c>
      <c r="C5" s="201">
        <v>814</v>
      </c>
      <c r="D5" s="122" t="str">
        <f t="shared" si="0"/>
        <v>00814</v>
      </c>
      <c r="E5" s="247" t="s">
        <v>2237</v>
      </c>
      <c r="G5" s="248" t="s">
        <v>2260</v>
      </c>
      <c r="I5" s="122" t="s">
        <v>2260</v>
      </c>
    </row>
    <row r="6" spans="1:9">
      <c r="A6" s="251">
        <v>11348</v>
      </c>
      <c r="C6" s="201">
        <v>1411</v>
      </c>
      <c r="D6" s="122" t="str">
        <f t="shared" si="0"/>
        <v>01411</v>
      </c>
      <c r="E6" s="247" t="s">
        <v>2259</v>
      </c>
      <c r="G6" s="248" t="s">
        <v>2258</v>
      </c>
      <c r="I6" s="122" t="s">
        <v>2258</v>
      </c>
    </row>
    <row r="7" spans="1:9">
      <c r="A7" s="251">
        <v>766</v>
      </c>
      <c r="C7" s="201">
        <v>16259</v>
      </c>
      <c r="D7" s="122" t="str">
        <f t="shared" si="0"/>
        <v>16259</v>
      </c>
      <c r="E7" s="247" t="s">
        <v>2257</v>
      </c>
      <c r="G7" s="248" t="s">
        <v>2256</v>
      </c>
      <c r="I7" s="122" t="s">
        <v>2255</v>
      </c>
    </row>
    <row r="8" spans="1:9">
      <c r="A8" s="251">
        <v>70534</v>
      </c>
      <c r="C8" s="201">
        <v>4784</v>
      </c>
      <c r="D8" s="122" t="str">
        <f t="shared" si="0"/>
        <v>04784</v>
      </c>
      <c r="E8" s="247" t="s">
        <v>2254</v>
      </c>
      <c r="G8" s="248" t="s">
        <v>2253</v>
      </c>
      <c r="I8" s="122" t="s">
        <v>2253</v>
      </c>
    </row>
    <row r="9" spans="1:9">
      <c r="A9" s="251">
        <v>72176</v>
      </c>
      <c r="C9" s="201">
        <v>3247</v>
      </c>
      <c r="D9" s="122" t="str">
        <f t="shared" si="0"/>
        <v>03247</v>
      </c>
      <c r="E9" s="247" t="s">
        <v>2252</v>
      </c>
      <c r="G9" s="248" t="s">
        <v>2251</v>
      </c>
      <c r="I9" s="122" t="s">
        <v>2250</v>
      </c>
    </row>
    <row r="10" spans="1:9">
      <c r="A10" s="251">
        <v>9332</v>
      </c>
      <c r="C10" s="201">
        <v>4098</v>
      </c>
      <c r="D10" s="122" t="str">
        <f t="shared" si="0"/>
        <v>04098</v>
      </c>
      <c r="E10" s="247" t="s">
        <v>2249</v>
      </c>
      <c r="G10" s="248" t="s">
        <v>2248</v>
      </c>
      <c r="I10" s="122" t="s">
        <v>2247</v>
      </c>
    </row>
    <row r="11" spans="1:9">
      <c r="A11" s="251">
        <v>84275</v>
      </c>
      <c r="C11" s="201">
        <v>9351</v>
      </c>
      <c r="D11" s="122" t="str">
        <f t="shared" si="0"/>
        <v>09351</v>
      </c>
      <c r="E11" s="247" t="s">
        <v>2246</v>
      </c>
      <c r="G11" s="122" t="s">
        <v>2245</v>
      </c>
      <c r="I11" s="122" t="s">
        <v>2245</v>
      </c>
    </row>
    <row r="12" spans="1:9">
      <c r="A12" s="251">
        <v>28729</v>
      </c>
      <c r="C12" s="201">
        <v>883</v>
      </c>
      <c r="D12" s="122" t="str">
        <f t="shared" si="0"/>
        <v>00883</v>
      </c>
      <c r="E12" s="247" t="s">
        <v>2244</v>
      </c>
      <c r="G12" s="122" t="s">
        <v>2243</v>
      </c>
      <c r="I12" s="122" t="s">
        <v>2243</v>
      </c>
    </row>
    <row r="13" spans="1:9">
      <c r="A13" s="251">
        <v>78824</v>
      </c>
      <c r="C13" s="201">
        <v>85</v>
      </c>
      <c r="D13" s="122" t="str">
        <f t="shared" si="0"/>
        <v>00085</v>
      </c>
      <c r="E13" s="247" t="s">
        <v>2018</v>
      </c>
      <c r="G13" s="122" t="s">
        <v>2242</v>
      </c>
      <c r="I13" s="122" t="s">
        <v>2241</v>
      </c>
    </row>
    <row r="14" spans="1:9">
      <c r="A14" s="251">
        <v>30904</v>
      </c>
      <c r="C14" s="201">
        <v>1362</v>
      </c>
      <c r="D14" s="122" t="str">
        <f t="shared" si="0"/>
        <v>01362</v>
      </c>
      <c r="E14" s="247" t="s">
        <v>2240</v>
      </c>
      <c r="G14" s="122" t="s">
        <v>2239</v>
      </c>
      <c r="I14" s="122" t="s">
        <v>2238</v>
      </c>
    </row>
    <row r="15" spans="1:9">
      <c r="A15" s="251">
        <v>12189</v>
      </c>
      <c r="C15" s="201">
        <v>814</v>
      </c>
      <c r="D15" s="122" t="str">
        <f t="shared" si="0"/>
        <v>00814</v>
      </c>
      <c r="E15" s="247" t="s">
        <v>2237</v>
      </c>
      <c r="G15" s="122" t="s">
        <v>2236</v>
      </c>
      <c r="I15" s="122" t="s">
        <v>2236</v>
      </c>
    </row>
    <row r="16" spans="1:9">
      <c r="A16" s="251">
        <v>1300</v>
      </c>
      <c r="C16" s="201">
        <v>382</v>
      </c>
      <c r="D16" s="122" t="str">
        <f t="shared" si="0"/>
        <v>00382</v>
      </c>
      <c r="E16" s="247" t="s">
        <v>2235</v>
      </c>
      <c r="G16" s="122" t="s">
        <v>2234</v>
      </c>
      <c r="I16" s="122" t="s">
        <v>2233</v>
      </c>
    </row>
    <row r="17" spans="1:9">
      <c r="A17" s="251">
        <v>99694</v>
      </c>
      <c r="C17" s="201">
        <v>6</v>
      </c>
      <c r="D17" s="122" t="str">
        <f t="shared" si="0"/>
        <v>00006</v>
      </c>
      <c r="E17" s="247" t="s">
        <v>2232</v>
      </c>
      <c r="G17" s="122" t="s">
        <v>2231</v>
      </c>
      <c r="I17" s="122" t="s">
        <v>2231</v>
      </c>
    </row>
    <row r="18" spans="1:9">
      <c r="A18" s="251">
        <v>95258</v>
      </c>
      <c r="C18" s="201">
        <v>655</v>
      </c>
      <c r="D18" s="122" t="str">
        <f t="shared" si="0"/>
        <v>00655</v>
      </c>
      <c r="E18" s="247" t="s">
        <v>2230</v>
      </c>
      <c r="G18" s="122" t="s">
        <v>2229</v>
      </c>
      <c r="I18" s="122" t="s">
        <v>2228</v>
      </c>
    </row>
    <row r="19" spans="1:9">
      <c r="A19" s="251">
        <v>8910</v>
      </c>
      <c r="C19" s="201">
        <v>9480936</v>
      </c>
      <c r="D19" s="122" t="str">
        <f t="shared" si="0"/>
        <v>9480936</v>
      </c>
      <c r="E19" s="247" t="s">
        <v>2227</v>
      </c>
      <c r="G19" s="122" t="s">
        <v>2226</v>
      </c>
      <c r="I19" s="122" t="s">
        <v>2225</v>
      </c>
    </row>
    <row r="20" spans="1:9">
      <c r="A20" s="251">
        <v>53121</v>
      </c>
      <c r="C20" s="201">
        <v>1446</v>
      </c>
      <c r="D20" s="122" t="str">
        <f t="shared" si="0"/>
        <v>01446</v>
      </c>
      <c r="E20" s="247" t="s">
        <v>2224</v>
      </c>
      <c r="G20" s="122" t="s">
        <v>2223</v>
      </c>
      <c r="I20" s="122" t="s">
        <v>2223</v>
      </c>
    </row>
    <row r="21" spans="1:9">
      <c r="A21" s="251">
        <v>95777</v>
      </c>
      <c r="C21" s="201">
        <v>687729</v>
      </c>
      <c r="D21" s="122" t="str">
        <f t="shared" si="0"/>
        <v>687729</v>
      </c>
      <c r="E21" s="247" t="s">
        <v>2222</v>
      </c>
      <c r="G21" s="122" t="s">
        <v>2221</v>
      </c>
      <c r="I21" s="122" t="s">
        <v>2220</v>
      </c>
    </row>
    <row r="22" spans="1:9">
      <c r="A22" s="251">
        <v>64401</v>
      </c>
      <c r="C22" s="201">
        <v>13891</v>
      </c>
      <c r="D22" s="122" t="str">
        <f t="shared" si="0"/>
        <v>13891</v>
      </c>
      <c r="E22" s="247" t="s">
        <v>2219</v>
      </c>
      <c r="G22" s="122" t="s">
        <v>2218</v>
      </c>
      <c r="I22" s="122" t="s">
        <v>2217</v>
      </c>
    </row>
    <row r="23" spans="1:9">
      <c r="A23" s="251">
        <v>98818</v>
      </c>
      <c r="C23" s="201">
        <v>726</v>
      </c>
      <c r="D23" s="122" t="str">
        <f t="shared" si="0"/>
        <v>00726</v>
      </c>
      <c r="E23" s="247" t="s">
        <v>2216</v>
      </c>
      <c r="G23" s="122" t="s">
        <v>2215</v>
      </c>
      <c r="I23" s="122" t="s">
        <v>2214</v>
      </c>
    </row>
    <row r="24" spans="1:9">
      <c r="A24" s="251">
        <v>16853</v>
      </c>
      <c r="C24" s="201">
        <v>53</v>
      </c>
      <c r="D24" s="122" t="str">
        <f t="shared" si="0"/>
        <v>00053</v>
      </c>
      <c r="E24" s="247" t="s">
        <v>1912</v>
      </c>
      <c r="G24" s="122" t="s">
        <v>2213</v>
      </c>
      <c r="I24" s="122" t="s">
        <v>2212</v>
      </c>
    </row>
    <row r="25" spans="1:9">
      <c r="A25" s="251">
        <v>824</v>
      </c>
      <c r="C25" s="201">
        <v>629</v>
      </c>
      <c r="D25" s="122" t="str">
        <f t="shared" si="0"/>
        <v>00629</v>
      </c>
      <c r="E25" s="247" t="s">
        <v>2211</v>
      </c>
      <c r="G25" s="122" t="s">
        <v>2210</v>
      </c>
      <c r="I25" s="122" t="s">
        <v>2209</v>
      </c>
    </row>
    <row r="26" spans="1:9">
      <c r="A26" s="251">
        <v>2301</v>
      </c>
      <c r="C26" s="201">
        <v>618</v>
      </c>
      <c r="D26" s="122" t="str">
        <f t="shared" si="0"/>
        <v>00618</v>
      </c>
      <c r="E26" s="247" t="s">
        <v>2163</v>
      </c>
      <c r="G26" s="122" t="s">
        <v>2208</v>
      </c>
      <c r="I26" s="122" t="s">
        <v>2207</v>
      </c>
    </row>
    <row r="27" spans="1:9">
      <c r="A27" s="251">
        <v>94177</v>
      </c>
      <c r="C27" s="201">
        <v>131</v>
      </c>
      <c r="D27" s="122" t="str">
        <f t="shared" si="0"/>
        <v>00131</v>
      </c>
      <c r="E27" s="247" t="s">
        <v>2206</v>
      </c>
      <c r="G27" s="122" t="s">
        <v>2205</v>
      </c>
      <c r="I27" s="122" t="s">
        <v>2204</v>
      </c>
    </row>
    <row r="28" spans="1:9">
      <c r="A28" s="251">
        <v>84531</v>
      </c>
      <c r="C28" s="201">
        <v>899819</v>
      </c>
      <c r="D28" s="122" t="str">
        <f t="shared" si="0"/>
        <v>899819</v>
      </c>
      <c r="E28" s="247" t="s">
        <v>2203</v>
      </c>
      <c r="G28" s="122" t="s">
        <v>2202</v>
      </c>
      <c r="I28" s="122" t="s">
        <v>2202</v>
      </c>
    </row>
    <row r="29" spans="1:9">
      <c r="A29" s="251">
        <v>45075</v>
      </c>
      <c r="C29" s="201">
        <v>645008</v>
      </c>
      <c r="D29" s="122" t="str">
        <f t="shared" si="0"/>
        <v>645008</v>
      </c>
      <c r="E29" s="247" t="s">
        <v>2201</v>
      </c>
      <c r="G29" s="122" t="s">
        <v>2200</v>
      </c>
      <c r="I29" s="122" t="s">
        <v>2199</v>
      </c>
    </row>
    <row r="30" spans="1:9">
      <c r="A30" s="251">
        <v>91291</v>
      </c>
      <c r="C30" s="201">
        <v>2</v>
      </c>
      <c r="D30" s="122" t="str">
        <f t="shared" si="0"/>
        <v>00002</v>
      </c>
      <c r="E30" s="247" t="s">
        <v>1629</v>
      </c>
      <c r="G30" s="122" t="s">
        <v>2198</v>
      </c>
      <c r="I30" s="122" t="s">
        <v>2198</v>
      </c>
    </row>
    <row r="31" spans="1:9">
      <c r="A31" s="251">
        <v>14388</v>
      </c>
      <c r="C31" s="201">
        <v>269</v>
      </c>
      <c r="D31" s="122" t="str">
        <f t="shared" si="0"/>
        <v>00269</v>
      </c>
      <c r="E31" s="247" t="s">
        <v>2197</v>
      </c>
      <c r="G31" s="122" t="s">
        <v>2196</v>
      </c>
      <c r="I31" s="122" t="s">
        <v>2195</v>
      </c>
    </row>
    <row r="32" spans="1:9">
      <c r="A32" s="251">
        <v>43522</v>
      </c>
      <c r="C32" s="201">
        <v>729</v>
      </c>
      <c r="D32" s="122" t="str">
        <f t="shared" si="0"/>
        <v>00729</v>
      </c>
      <c r="E32" s="247" t="s">
        <v>2194</v>
      </c>
      <c r="G32" s="122" t="s">
        <v>2193</v>
      </c>
      <c r="I32" s="122" t="s">
        <v>2192</v>
      </c>
    </row>
    <row r="33" spans="1:9">
      <c r="A33" s="251">
        <v>32844</v>
      </c>
      <c r="C33" s="201">
        <v>877584</v>
      </c>
      <c r="D33" s="122" t="str">
        <f t="shared" si="0"/>
        <v>877584</v>
      </c>
      <c r="E33" s="247" t="s">
        <v>2191</v>
      </c>
      <c r="G33" s="122" t="s">
        <v>2190</v>
      </c>
      <c r="I33" s="122" t="s">
        <v>2189</v>
      </c>
    </row>
    <row r="34" spans="1:9">
      <c r="A34" s="251">
        <v>12918</v>
      </c>
      <c r="C34" s="201">
        <v>9574191</v>
      </c>
      <c r="D34" s="122" t="str">
        <f t="shared" si="0"/>
        <v>9574191</v>
      </c>
      <c r="E34" s="247" t="s">
        <v>2188</v>
      </c>
      <c r="G34" s="122" t="s">
        <v>2187</v>
      </c>
      <c r="I34" s="122" t="s">
        <v>2186</v>
      </c>
    </row>
    <row r="35" spans="1:9">
      <c r="A35" s="251">
        <v>89250</v>
      </c>
      <c r="C35" s="201">
        <v>9072778</v>
      </c>
      <c r="D35" s="122" t="str">
        <f t="shared" si="0"/>
        <v>9072778</v>
      </c>
      <c r="E35" s="247" t="s">
        <v>2185</v>
      </c>
      <c r="G35" s="122" t="s">
        <v>2184</v>
      </c>
      <c r="I35" s="122" t="s">
        <v>2184</v>
      </c>
    </row>
    <row r="36" spans="1:9">
      <c r="A36" s="251">
        <v>67604</v>
      </c>
      <c r="C36" s="201">
        <v>5989</v>
      </c>
      <c r="D36" s="122" t="str">
        <f t="shared" si="0"/>
        <v>05989</v>
      </c>
      <c r="E36" s="247" t="s">
        <v>2183</v>
      </c>
      <c r="G36" s="122" t="s">
        <v>2182</v>
      </c>
      <c r="I36" s="122" t="s">
        <v>2181</v>
      </c>
    </row>
    <row r="37" spans="1:9">
      <c r="A37" s="251">
        <v>97743</v>
      </c>
      <c r="C37" s="201">
        <v>8</v>
      </c>
      <c r="D37" s="122" t="str">
        <f t="shared" si="0"/>
        <v>00008</v>
      </c>
      <c r="E37" s="247" t="s">
        <v>1800</v>
      </c>
      <c r="G37" s="122" t="s">
        <v>2180</v>
      </c>
      <c r="I37" s="122" t="s">
        <v>2179</v>
      </c>
    </row>
    <row r="38" spans="1:9">
      <c r="A38" s="251">
        <v>43306</v>
      </c>
      <c r="C38" s="201">
        <v>995695</v>
      </c>
      <c r="D38" s="122" t="str">
        <f t="shared" si="0"/>
        <v>995695</v>
      </c>
      <c r="E38" s="247" t="s">
        <v>2178</v>
      </c>
      <c r="G38" s="122" t="s">
        <v>2177</v>
      </c>
      <c r="I38" s="122" t="s">
        <v>2177</v>
      </c>
    </row>
    <row r="39" spans="1:9">
      <c r="A39" s="251">
        <v>74258</v>
      </c>
      <c r="C39" s="201">
        <v>19</v>
      </c>
      <c r="D39" s="122" t="str">
        <f t="shared" si="0"/>
        <v>00019</v>
      </c>
      <c r="E39" s="247" t="s">
        <v>2176</v>
      </c>
      <c r="G39" s="122" t="s">
        <v>2175</v>
      </c>
      <c r="I39" s="122" t="s">
        <v>2174</v>
      </c>
    </row>
    <row r="40" spans="1:9">
      <c r="A40" s="251">
        <v>53115</v>
      </c>
      <c r="C40" s="201">
        <v>3836</v>
      </c>
      <c r="D40" s="122" t="str">
        <f t="shared" si="0"/>
        <v>03836</v>
      </c>
      <c r="E40" s="247" t="s">
        <v>2173</v>
      </c>
      <c r="G40" s="122" t="s">
        <v>2172</v>
      </c>
      <c r="I40" s="122" t="s">
        <v>2171</v>
      </c>
    </row>
    <row r="41" spans="1:9">
      <c r="A41" s="251">
        <v>93915</v>
      </c>
      <c r="C41" s="201">
        <v>390016</v>
      </c>
      <c r="D41" s="122" t="str">
        <f t="shared" si="0"/>
        <v>390016</v>
      </c>
      <c r="E41" s="247" t="s">
        <v>2170</v>
      </c>
      <c r="G41" s="122" t="s">
        <v>2169</v>
      </c>
      <c r="I41" s="122" t="s">
        <v>2169</v>
      </c>
    </row>
    <row r="42" spans="1:9">
      <c r="A42" s="251">
        <v>53431</v>
      </c>
      <c r="C42" s="201">
        <v>9983898</v>
      </c>
      <c r="D42" s="122" t="str">
        <f t="shared" si="0"/>
        <v>9983898</v>
      </c>
      <c r="E42" s="247" t="s">
        <v>2168</v>
      </c>
      <c r="G42" s="122" t="s">
        <v>2167</v>
      </c>
      <c r="I42" s="122" t="s">
        <v>2166</v>
      </c>
    </row>
    <row r="43" spans="1:9">
      <c r="A43" s="251">
        <v>93197</v>
      </c>
      <c r="C43" s="201">
        <v>210</v>
      </c>
      <c r="D43" s="122" t="str">
        <f t="shared" si="0"/>
        <v>00210</v>
      </c>
      <c r="E43" s="247" t="s">
        <v>2165</v>
      </c>
      <c r="G43" s="122" t="s">
        <v>2164</v>
      </c>
      <c r="I43" s="122" t="s">
        <v>2164</v>
      </c>
    </row>
    <row r="44" spans="1:9">
      <c r="A44" s="251">
        <v>82788</v>
      </c>
      <c r="C44" s="201">
        <v>618</v>
      </c>
      <c r="D44" s="122" t="str">
        <f t="shared" si="0"/>
        <v>00618</v>
      </c>
      <c r="E44" s="247" t="s">
        <v>2163</v>
      </c>
      <c r="G44" s="122" t="s">
        <v>2162</v>
      </c>
      <c r="I44" s="122" t="s">
        <v>2162</v>
      </c>
    </row>
    <row r="45" spans="1:9">
      <c r="A45" s="251">
        <v>14814</v>
      </c>
      <c r="C45" s="201">
        <v>19343</v>
      </c>
      <c r="D45" s="122" t="str">
        <f t="shared" si="0"/>
        <v>19343</v>
      </c>
      <c r="E45" s="247" t="s">
        <v>2161</v>
      </c>
      <c r="G45" s="122" t="s">
        <v>2160</v>
      </c>
      <c r="I45" s="122" t="s">
        <v>2160</v>
      </c>
    </row>
    <row r="46" spans="1:9">
      <c r="A46" s="251">
        <v>26059</v>
      </c>
      <c r="C46" s="201">
        <v>9381</v>
      </c>
      <c r="D46" s="122" t="str">
        <f t="shared" si="0"/>
        <v>09381</v>
      </c>
      <c r="E46" s="247" t="s">
        <v>2159</v>
      </c>
      <c r="G46" s="122" t="s">
        <v>2158</v>
      </c>
      <c r="I46" s="122" t="s">
        <v>2157</v>
      </c>
    </row>
    <row r="47" spans="1:9">
      <c r="A47" s="251">
        <v>71396</v>
      </c>
      <c r="C47" s="201">
        <v>4953645</v>
      </c>
      <c r="D47" s="122" t="str">
        <f t="shared" si="0"/>
        <v>4953645</v>
      </c>
      <c r="E47" s="247" t="s">
        <v>2156</v>
      </c>
      <c r="G47" s="122" t="s">
        <v>2155</v>
      </c>
      <c r="I47" s="122" t="s">
        <v>2154</v>
      </c>
    </row>
    <row r="48" spans="1:9">
      <c r="A48" s="251">
        <v>14367</v>
      </c>
      <c r="C48" s="201">
        <v>717191</v>
      </c>
      <c r="D48" s="122" t="str">
        <f t="shared" si="0"/>
        <v>717191</v>
      </c>
      <c r="E48" s="247" t="s">
        <v>2153</v>
      </c>
      <c r="G48" s="122" t="s">
        <v>2152</v>
      </c>
      <c r="I48" s="122" t="s">
        <v>2151</v>
      </c>
    </row>
    <row r="49" spans="1:9">
      <c r="A49" s="251">
        <v>56434</v>
      </c>
      <c r="C49" s="201">
        <v>68</v>
      </c>
      <c r="D49" s="122" t="str">
        <f t="shared" si="0"/>
        <v>00068</v>
      </c>
      <c r="E49" s="247" t="s">
        <v>2081</v>
      </c>
      <c r="G49" s="122" t="s">
        <v>2150</v>
      </c>
      <c r="I49" s="122" t="s">
        <v>2149</v>
      </c>
    </row>
    <row r="50" spans="1:9">
      <c r="A50" s="251">
        <v>78560</v>
      </c>
      <c r="C50" s="201">
        <v>43</v>
      </c>
      <c r="D50" s="122" t="str">
        <f t="shared" si="0"/>
        <v>00043</v>
      </c>
      <c r="E50" s="247" t="s">
        <v>2148</v>
      </c>
      <c r="G50" s="122" t="s">
        <v>2147</v>
      </c>
      <c r="I50" s="122" t="s">
        <v>2146</v>
      </c>
    </row>
    <row r="51" spans="1:9">
      <c r="A51" s="251">
        <v>69693</v>
      </c>
      <c r="C51" s="201">
        <v>964</v>
      </c>
      <c r="D51" s="122" t="str">
        <f t="shared" si="0"/>
        <v>00964</v>
      </c>
      <c r="E51" s="247" t="s">
        <v>2145</v>
      </c>
      <c r="G51" s="122" t="s">
        <v>2144</v>
      </c>
      <c r="I51" s="122" t="s">
        <v>2143</v>
      </c>
    </row>
    <row r="52" spans="1:9">
      <c r="A52" s="251">
        <v>17246</v>
      </c>
      <c r="C52" s="201">
        <v>9</v>
      </c>
      <c r="D52" s="122" t="str">
        <f t="shared" si="0"/>
        <v>00009</v>
      </c>
      <c r="E52" s="247" t="s">
        <v>1825</v>
      </c>
      <c r="G52" s="122" t="s">
        <v>2142</v>
      </c>
      <c r="I52" s="122" t="s">
        <v>2142</v>
      </c>
    </row>
    <row r="53" spans="1:9">
      <c r="A53" s="251">
        <v>12792</v>
      </c>
      <c r="C53" s="201">
        <v>54531</v>
      </c>
      <c r="D53" s="122" t="str">
        <f t="shared" si="0"/>
        <v>54531</v>
      </c>
      <c r="E53" s="247" t="s">
        <v>2141</v>
      </c>
      <c r="G53" s="122" t="s">
        <v>2140</v>
      </c>
      <c r="I53" s="122" t="s">
        <v>2139</v>
      </c>
    </row>
    <row r="54" spans="1:9">
      <c r="A54" s="251">
        <v>26786</v>
      </c>
      <c r="C54" s="201">
        <v>67641</v>
      </c>
      <c r="D54" s="122" t="str">
        <f t="shared" si="0"/>
        <v>67641</v>
      </c>
      <c r="E54" s="247" t="s">
        <v>2138</v>
      </c>
      <c r="G54" s="122" t="s">
        <v>2137</v>
      </c>
      <c r="I54" s="122" t="s">
        <v>2137</v>
      </c>
    </row>
    <row r="55" spans="1:9">
      <c r="A55" s="251">
        <v>1151</v>
      </c>
      <c r="C55" s="201">
        <v>47006</v>
      </c>
      <c r="D55" s="122" t="str">
        <f t="shared" si="0"/>
        <v>47006</v>
      </c>
      <c r="E55" s="247" t="s">
        <v>2136</v>
      </c>
      <c r="G55" s="122" t="s">
        <v>2135</v>
      </c>
      <c r="I55" s="122" t="s">
        <v>2135</v>
      </c>
    </row>
    <row r="56" spans="1:9">
      <c r="A56" s="251">
        <v>1728</v>
      </c>
      <c r="C56" s="201">
        <v>3</v>
      </c>
      <c r="D56" s="122" t="str">
        <f t="shared" si="0"/>
        <v>00003</v>
      </c>
      <c r="E56" s="247" t="s">
        <v>1761</v>
      </c>
      <c r="G56" s="122" t="s">
        <v>2134</v>
      </c>
      <c r="I56" s="122" t="s">
        <v>2134</v>
      </c>
    </row>
    <row r="57" spans="1:9">
      <c r="A57" s="251">
        <v>83781</v>
      </c>
      <c r="C57" s="201">
        <v>95579</v>
      </c>
      <c r="D57" s="122" t="str">
        <f t="shared" si="0"/>
        <v>95579</v>
      </c>
      <c r="E57" s="247" t="s">
        <v>2133</v>
      </c>
      <c r="G57" s="122" t="s">
        <v>2132</v>
      </c>
      <c r="I57" s="122" t="s">
        <v>2132</v>
      </c>
    </row>
    <row r="58" spans="1:9">
      <c r="A58" s="251">
        <v>62926</v>
      </c>
      <c r="C58" s="201">
        <v>328</v>
      </c>
      <c r="D58" s="122" t="str">
        <f t="shared" si="0"/>
        <v>00328</v>
      </c>
      <c r="E58" s="247" t="s">
        <v>2131</v>
      </c>
      <c r="G58" s="122" t="s">
        <v>2130</v>
      </c>
      <c r="I58" s="122" t="s">
        <v>2130</v>
      </c>
    </row>
    <row r="59" spans="1:9">
      <c r="A59" s="251">
        <v>42923</v>
      </c>
      <c r="C59" s="201">
        <v>12250</v>
      </c>
      <c r="D59" s="122" t="str">
        <f t="shared" si="0"/>
        <v>12250</v>
      </c>
      <c r="E59" s="247" t="s">
        <v>2129</v>
      </c>
      <c r="G59" s="122" t="s">
        <v>2128</v>
      </c>
      <c r="I59" s="122" t="s">
        <v>2127</v>
      </c>
    </row>
    <row r="60" spans="1:9">
      <c r="A60" s="251">
        <v>55438</v>
      </c>
      <c r="C60" s="201">
        <v>3813085</v>
      </c>
      <c r="D60" s="122" t="str">
        <f t="shared" si="0"/>
        <v>3813085</v>
      </c>
      <c r="E60" s="247" t="s">
        <v>2126</v>
      </c>
      <c r="G60" s="122" t="s">
        <v>2125</v>
      </c>
      <c r="I60" s="122" t="s">
        <v>2125</v>
      </c>
    </row>
    <row r="61" spans="1:9">
      <c r="A61" s="251">
        <v>30317</v>
      </c>
      <c r="C61" s="201">
        <v>637488</v>
      </c>
      <c r="D61" s="122" t="str">
        <f t="shared" si="0"/>
        <v>637488</v>
      </c>
      <c r="E61" s="247" t="s">
        <v>2124</v>
      </c>
      <c r="G61" s="122" t="s">
        <v>2123</v>
      </c>
      <c r="I61" s="122" t="s">
        <v>2123</v>
      </c>
    </row>
    <row r="62" spans="1:9">
      <c r="A62" s="251">
        <v>94037</v>
      </c>
      <c r="C62" s="201">
        <v>359904</v>
      </c>
      <c r="D62" s="122" t="str">
        <f t="shared" si="0"/>
        <v>359904</v>
      </c>
      <c r="E62" s="247" t="s">
        <v>2122</v>
      </c>
      <c r="G62" s="122" t="s">
        <v>2121</v>
      </c>
      <c r="I62" s="122" t="s">
        <v>2120</v>
      </c>
    </row>
    <row r="63" spans="1:9">
      <c r="A63" s="251">
        <v>34225</v>
      </c>
      <c r="C63" s="201">
        <v>23</v>
      </c>
      <c r="D63" s="122" t="str">
        <f t="shared" si="0"/>
        <v>00023</v>
      </c>
      <c r="E63" s="247" t="s">
        <v>2119</v>
      </c>
      <c r="G63" s="122" t="s">
        <v>2118</v>
      </c>
      <c r="I63" s="122" t="s">
        <v>2118</v>
      </c>
    </row>
    <row r="64" spans="1:9">
      <c r="A64" s="251">
        <v>66786</v>
      </c>
      <c r="C64" s="201">
        <v>9665</v>
      </c>
      <c r="D64" s="122" t="str">
        <f t="shared" si="0"/>
        <v>09665</v>
      </c>
      <c r="E64" s="247" t="s">
        <v>2117</v>
      </c>
      <c r="G64" s="122" t="s">
        <v>2116</v>
      </c>
      <c r="I64" s="122" t="s">
        <v>2115</v>
      </c>
    </row>
    <row r="65" spans="1:9">
      <c r="A65" s="251">
        <v>69218</v>
      </c>
      <c r="C65" s="201">
        <v>7017</v>
      </c>
      <c r="D65" s="122" t="str">
        <f t="shared" si="0"/>
        <v>07017</v>
      </c>
      <c r="E65" s="247" t="s">
        <v>2114</v>
      </c>
      <c r="G65" s="122" t="s">
        <v>2113</v>
      </c>
      <c r="I65" s="122" t="s">
        <v>2112</v>
      </c>
    </row>
    <row r="66" spans="1:9">
      <c r="A66" s="251">
        <v>86215</v>
      </c>
      <c r="C66" s="201">
        <v>234</v>
      </c>
      <c r="D66" s="122" t="str">
        <f t="shared" si="0"/>
        <v>00234</v>
      </c>
      <c r="E66" s="247" t="s">
        <v>2111</v>
      </c>
      <c r="G66" s="122" t="s">
        <v>2110</v>
      </c>
      <c r="I66" s="122" t="s">
        <v>2110</v>
      </c>
    </row>
    <row r="67" spans="1:9">
      <c r="A67" s="251">
        <v>9106</v>
      </c>
      <c r="C67" s="201">
        <v>155</v>
      </c>
      <c r="D67" s="122" t="str">
        <f t="shared" ref="D67:D130" si="1">TEXT(C67,"00000")</f>
        <v>00155</v>
      </c>
      <c r="E67" s="247" t="s">
        <v>2109</v>
      </c>
      <c r="G67" s="122" t="s">
        <v>2108</v>
      </c>
      <c r="I67" s="122" t="s">
        <v>2108</v>
      </c>
    </row>
    <row r="68" spans="1:9">
      <c r="A68" s="251">
        <v>11323</v>
      </c>
      <c r="C68" s="201">
        <v>7452661</v>
      </c>
      <c r="D68" s="122" t="str">
        <f t="shared" si="1"/>
        <v>7452661</v>
      </c>
      <c r="E68" s="247" t="s">
        <v>2107</v>
      </c>
      <c r="G68" s="122" t="s">
        <v>2106</v>
      </c>
      <c r="I68" s="122" t="s">
        <v>2105</v>
      </c>
    </row>
    <row r="69" spans="1:9">
      <c r="A69" s="251">
        <v>78791</v>
      </c>
      <c r="C69" s="201">
        <v>27</v>
      </c>
      <c r="D69" s="122" t="str">
        <f t="shared" si="1"/>
        <v>00027</v>
      </c>
      <c r="E69" s="247" t="s">
        <v>2104</v>
      </c>
      <c r="G69" s="122" t="s">
        <v>2103</v>
      </c>
      <c r="I69" s="122" t="s">
        <v>2102</v>
      </c>
    </row>
    <row r="70" spans="1:9">
      <c r="A70" s="251">
        <v>51732</v>
      </c>
      <c r="C70" s="201">
        <v>89</v>
      </c>
      <c r="D70" s="122" t="str">
        <f t="shared" si="1"/>
        <v>00089</v>
      </c>
      <c r="E70" s="247" t="s">
        <v>2101</v>
      </c>
      <c r="G70" s="122" t="s">
        <v>2100</v>
      </c>
      <c r="I70" s="122" t="s">
        <v>2099</v>
      </c>
    </row>
    <row r="71" spans="1:9">
      <c r="A71" s="251">
        <v>77656</v>
      </c>
      <c r="C71" s="201">
        <v>6963014</v>
      </c>
      <c r="D71" s="122" t="str">
        <f t="shared" si="1"/>
        <v>6963014</v>
      </c>
      <c r="E71" s="247" t="s">
        <v>2098</v>
      </c>
      <c r="G71" s="122" t="s">
        <v>2097</v>
      </c>
      <c r="I71" s="122" t="s">
        <v>2096</v>
      </c>
    </row>
    <row r="72" spans="1:9">
      <c r="A72" s="251">
        <v>74777</v>
      </c>
      <c r="C72" s="201">
        <v>2</v>
      </c>
      <c r="D72" s="122" t="str">
        <f t="shared" si="1"/>
        <v>00002</v>
      </c>
      <c r="E72" s="247" t="s">
        <v>1629</v>
      </c>
      <c r="G72" s="122" t="s">
        <v>2095</v>
      </c>
      <c r="I72" s="122" t="s">
        <v>2094</v>
      </c>
    </row>
    <row r="73" spans="1:9">
      <c r="A73" s="251">
        <v>66525</v>
      </c>
      <c r="C73" s="201">
        <v>48</v>
      </c>
      <c r="D73" s="122" t="str">
        <f t="shared" si="1"/>
        <v>00048</v>
      </c>
      <c r="E73" s="247" t="s">
        <v>1930</v>
      </c>
      <c r="G73" s="122" t="s">
        <v>2093</v>
      </c>
      <c r="I73" s="122" t="s">
        <v>2093</v>
      </c>
    </row>
    <row r="74" spans="1:9">
      <c r="A74" s="251">
        <v>75979</v>
      </c>
      <c r="C74" s="201">
        <v>4</v>
      </c>
      <c r="D74" s="122" t="str">
        <f t="shared" si="1"/>
        <v>00004</v>
      </c>
      <c r="E74" s="247" t="s">
        <v>2092</v>
      </c>
      <c r="G74" s="122" t="s">
        <v>2091</v>
      </c>
      <c r="I74" s="122" t="s">
        <v>2091</v>
      </c>
    </row>
    <row r="75" spans="1:9">
      <c r="A75" s="251">
        <v>64538</v>
      </c>
      <c r="C75" s="201">
        <v>92</v>
      </c>
      <c r="D75" s="122" t="str">
        <f t="shared" si="1"/>
        <v>00092</v>
      </c>
      <c r="E75" s="247" t="s">
        <v>2090</v>
      </c>
      <c r="G75" s="122" t="s">
        <v>2089</v>
      </c>
      <c r="I75" s="122" t="s">
        <v>2089</v>
      </c>
    </row>
    <row r="76" spans="1:9">
      <c r="A76" s="251">
        <v>84879</v>
      </c>
      <c r="C76" s="201">
        <v>657</v>
      </c>
      <c r="D76" s="122" t="str">
        <f t="shared" si="1"/>
        <v>00657</v>
      </c>
      <c r="E76" s="247" t="s">
        <v>2088</v>
      </c>
      <c r="G76" s="122" t="s">
        <v>2087</v>
      </c>
      <c r="I76" s="122" t="s">
        <v>2087</v>
      </c>
    </row>
    <row r="77" spans="1:9">
      <c r="A77" s="251">
        <v>9663</v>
      </c>
      <c r="C77" s="201">
        <v>254952</v>
      </c>
      <c r="D77" s="122" t="str">
        <f t="shared" si="1"/>
        <v>254952</v>
      </c>
      <c r="E77" s="247" t="s">
        <v>2086</v>
      </c>
      <c r="G77" s="122" t="s">
        <v>2085</v>
      </c>
      <c r="I77" s="122" t="s">
        <v>2085</v>
      </c>
    </row>
    <row r="78" spans="1:9">
      <c r="A78" s="251">
        <v>82665</v>
      </c>
      <c r="C78" s="201">
        <v>476</v>
      </c>
      <c r="D78" s="122" t="str">
        <f t="shared" si="1"/>
        <v>00476</v>
      </c>
      <c r="E78" s="247" t="s">
        <v>2084</v>
      </c>
      <c r="G78" s="122" t="s">
        <v>2083</v>
      </c>
      <c r="I78" s="122" t="s">
        <v>2082</v>
      </c>
    </row>
    <row r="79" spans="1:9">
      <c r="A79" s="251">
        <v>87929</v>
      </c>
      <c r="C79" s="201">
        <v>68</v>
      </c>
      <c r="D79" s="122" t="str">
        <f t="shared" si="1"/>
        <v>00068</v>
      </c>
      <c r="E79" s="247" t="s">
        <v>2081</v>
      </c>
      <c r="G79" s="122" t="s">
        <v>2080</v>
      </c>
      <c r="I79" s="122" t="s">
        <v>2079</v>
      </c>
    </row>
    <row r="80" spans="1:9">
      <c r="A80" s="251">
        <v>34592</v>
      </c>
      <c r="C80" s="201">
        <v>102925</v>
      </c>
      <c r="D80" s="122" t="str">
        <f t="shared" si="1"/>
        <v>102925</v>
      </c>
      <c r="E80" s="247" t="s">
        <v>2078</v>
      </c>
      <c r="G80" s="122" t="s">
        <v>2077</v>
      </c>
      <c r="I80" s="122" t="s">
        <v>2077</v>
      </c>
    </row>
    <row r="81" spans="1:9">
      <c r="A81" s="251">
        <v>1905</v>
      </c>
      <c r="C81" s="201">
        <v>85455</v>
      </c>
      <c r="D81" s="122" t="str">
        <f t="shared" si="1"/>
        <v>85455</v>
      </c>
      <c r="E81" s="247" t="s">
        <v>2076</v>
      </c>
      <c r="G81" s="122" t="s">
        <v>2075</v>
      </c>
      <c r="I81" s="122" t="s">
        <v>2074</v>
      </c>
    </row>
    <row r="82" spans="1:9">
      <c r="A82" s="251">
        <v>79855</v>
      </c>
      <c r="C82" s="201">
        <v>409113</v>
      </c>
      <c r="D82" s="122" t="str">
        <f t="shared" si="1"/>
        <v>409113</v>
      </c>
      <c r="E82" s="247" t="s">
        <v>2073</v>
      </c>
      <c r="G82" s="122" t="s">
        <v>2072</v>
      </c>
      <c r="I82" s="122" t="s">
        <v>2071</v>
      </c>
    </row>
    <row r="83" spans="1:9">
      <c r="A83" s="251">
        <v>16947</v>
      </c>
      <c r="C83" s="201">
        <v>87</v>
      </c>
      <c r="D83" s="122" t="str">
        <f t="shared" si="1"/>
        <v>00087</v>
      </c>
      <c r="E83" s="247" t="s">
        <v>2070</v>
      </c>
      <c r="G83" s="122" t="s">
        <v>2069</v>
      </c>
      <c r="I83" s="122" t="s">
        <v>2069</v>
      </c>
    </row>
    <row r="84" spans="1:9">
      <c r="A84" s="251">
        <v>415</v>
      </c>
      <c r="C84" s="201">
        <v>84542</v>
      </c>
      <c r="D84" s="122" t="str">
        <f t="shared" si="1"/>
        <v>84542</v>
      </c>
      <c r="E84" s="247" t="s">
        <v>2068</v>
      </c>
      <c r="G84" s="122" t="s">
        <v>2067</v>
      </c>
      <c r="I84" s="122" t="s">
        <v>2067</v>
      </c>
    </row>
    <row r="85" spans="1:9">
      <c r="A85" s="251">
        <v>33600</v>
      </c>
      <c r="C85" s="201">
        <v>43490</v>
      </c>
      <c r="D85" s="122" t="str">
        <f t="shared" si="1"/>
        <v>43490</v>
      </c>
      <c r="E85" s="247" t="s">
        <v>2066</v>
      </c>
      <c r="G85" s="122" t="s">
        <v>2065</v>
      </c>
      <c r="I85" s="122" t="s">
        <v>2064</v>
      </c>
    </row>
    <row r="86" spans="1:9">
      <c r="A86" s="251">
        <v>78080</v>
      </c>
      <c r="C86" s="201">
        <v>506417</v>
      </c>
      <c r="D86" s="122" t="str">
        <f t="shared" si="1"/>
        <v>506417</v>
      </c>
      <c r="E86" s="247" t="s">
        <v>2063</v>
      </c>
      <c r="G86" s="122" t="s">
        <v>2062</v>
      </c>
      <c r="I86" s="122" t="s">
        <v>2061</v>
      </c>
    </row>
    <row r="87" spans="1:9">
      <c r="A87" s="251">
        <v>58267</v>
      </c>
      <c r="C87" s="201">
        <v>29</v>
      </c>
      <c r="D87" s="122" t="str">
        <f t="shared" si="1"/>
        <v>00029</v>
      </c>
      <c r="E87" s="247" t="s">
        <v>2060</v>
      </c>
      <c r="G87" s="122" t="s">
        <v>2059</v>
      </c>
      <c r="I87" s="122" t="s">
        <v>2058</v>
      </c>
    </row>
    <row r="88" spans="1:9">
      <c r="A88" s="251">
        <v>22640</v>
      </c>
      <c r="C88" s="201">
        <v>773</v>
      </c>
      <c r="D88" s="122" t="str">
        <f t="shared" si="1"/>
        <v>00773</v>
      </c>
      <c r="E88" s="247" t="s">
        <v>2057</v>
      </c>
      <c r="G88" s="122" t="s">
        <v>2056</v>
      </c>
      <c r="I88" s="122" t="s">
        <v>2056</v>
      </c>
    </row>
    <row r="89" spans="1:9">
      <c r="A89" s="251">
        <v>54730</v>
      </c>
      <c r="C89" s="201">
        <v>879713</v>
      </c>
      <c r="D89" s="122" t="str">
        <f t="shared" si="1"/>
        <v>879713</v>
      </c>
      <c r="E89" s="247" t="s">
        <v>2055</v>
      </c>
      <c r="G89" s="122" t="s">
        <v>2054</v>
      </c>
      <c r="I89" s="122" t="s">
        <v>2054</v>
      </c>
    </row>
    <row r="90" spans="1:9">
      <c r="A90" s="251">
        <v>24700</v>
      </c>
      <c r="C90" s="201">
        <v>801151</v>
      </c>
      <c r="D90" s="122" t="str">
        <f t="shared" si="1"/>
        <v>801151</v>
      </c>
      <c r="E90" s="247" t="s">
        <v>2053</v>
      </c>
      <c r="G90" s="122" t="s">
        <v>2052</v>
      </c>
      <c r="I90" s="122" t="s">
        <v>2051</v>
      </c>
    </row>
    <row r="91" spans="1:9">
      <c r="A91" s="251">
        <v>95225</v>
      </c>
      <c r="C91" s="201">
        <v>6155580</v>
      </c>
      <c r="D91" s="122" t="str">
        <f t="shared" si="1"/>
        <v>6155580</v>
      </c>
      <c r="E91" s="247" t="s">
        <v>2050</v>
      </c>
      <c r="G91" s="122" t="s">
        <v>2049</v>
      </c>
      <c r="I91" s="122" t="s">
        <v>2049</v>
      </c>
    </row>
    <row r="92" spans="1:9">
      <c r="A92" s="251">
        <v>38191</v>
      </c>
      <c r="C92" s="201">
        <v>932576</v>
      </c>
      <c r="D92" s="122" t="str">
        <f t="shared" si="1"/>
        <v>932576</v>
      </c>
      <c r="E92" s="247" t="s">
        <v>2048</v>
      </c>
      <c r="G92" s="122" t="s">
        <v>2047</v>
      </c>
      <c r="I92" s="122" t="s">
        <v>2047</v>
      </c>
    </row>
    <row r="93" spans="1:9">
      <c r="A93" s="251">
        <v>1124</v>
      </c>
      <c r="C93" s="201">
        <v>456152</v>
      </c>
      <c r="D93" s="122" t="str">
        <f t="shared" si="1"/>
        <v>456152</v>
      </c>
      <c r="E93" s="247" t="s">
        <v>2046</v>
      </c>
      <c r="G93" s="122" t="s">
        <v>2045</v>
      </c>
      <c r="I93" s="122" t="s">
        <v>2045</v>
      </c>
    </row>
    <row r="94" spans="1:9">
      <c r="A94" s="251">
        <v>14721</v>
      </c>
      <c r="C94" s="201">
        <v>3313</v>
      </c>
      <c r="D94" s="122" t="str">
        <f t="shared" si="1"/>
        <v>03313</v>
      </c>
      <c r="E94" s="247" t="s">
        <v>2044</v>
      </c>
      <c r="G94" s="122" t="s">
        <v>2043</v>
      </c>
      <c r="I94" s="122" t="s">
        <v>2042</v>
      </c>
    </row>
    <row r="95" spans="1:9">
      <c r="A95" s="251">
        <v>90542</v>
      </c>
      <c r="C95" s="201">
        <v>5</v>
      </c>
      <c r="D95" s="122" t="str">
        <f t="shared" si="1"/>
        <v>00005</v>
      </c>
      <c r="E95" s="247" t="s">
        <v>1708</v>
      </c>
      <c r="G95" s="122" t="s">
        <v>2041</v>
      </c>
      <c r="I95" s="122" t="s">
        <v>2041</v>
      </c>
    </row>
    <row r="96" spans="1:9">
      <c r="A96" s="251">
        <v>98861</v>
      </c>
      <c r="C96" s="201">
        <v>366</v>
      </c>
      <c r="D96" s="122" t="str">
        <f t="shared" si="1"/>
        <v>00366</v>
      </c>
      <c r="E96" s="247" t="s">
        <v>2040</v>
      </c>
      <c r="G96" s="122" t="s">
        <v>2039</v>
      </c>
      <c r="I96" s="122" t="s">
        <v>2039</v>
      </c>
    </row>
    <row r="97" spans="1:9">
      <c r="A97" s="251">
        <v>61240</v>
      </c>
      <c r="C97" s="201">
        <v>18422</v>
      </c>
      <c r="D97" s="122" t="str">
        <f t="shared" si="1"/>
        <v>18422</v>
      </c>
      <c r="E97" s="247" t="s">
        <v>2038</v>
      </c>
      <c r="G97" s="122" t="s">
        <v>2037</v>
      </c>
      <c r="I97" s="122" t="s">
        <v>2036</v>
      </c>
    </row>
    <row r="98" spans="1:9">
      <c r="A98" s="251">
        <v>24663</v>
      </c>
      <c r="C98" s="201">
        <v>480</v>
      </c>
      <c r="D98" s="122" t="str">
        <f t="shared" si="1"/>
        <v>00480</v>
      </c>
      <c r="E98" s="247" t="s">
        <v>2035</v>
      </c>
      <c r="G98" s="122" t="s">
        <v>2034</v>
      </c>
      <c r="I98" s="122" t="s">
        <v>2033</v>
      </c>
    </row>
    <row r="99" spans="1:9">
      <c r="A99" s="251">
        <v>8040</v>
      </c>
      <c r="C99" s="201">
        <v>658256</v>
      </c>
      <c r="D99" s="122" t="str">
        <f t="shared" si="1"/>
        <v>658256</v>
      </c>
      <c r="E99" s="247" t="s">
        <v>2032</v>
      </c>
      <c r="G99" s="122" t="s">
        <v>1782</v>
      </c>
      <c r="I99" s="122" t="s">
        <v>1781</v>
      </c>
    </row>
    <row r="100" spans="1:9">
      <c r="A100" s="251">
        <v>10248</v>
      </c>
      <c r="C100" s="201">
        <v>90</v>
      </c>
      <c r="D100" s="122" t="str">
        <f t="shared" si="1"/>
        <v>00090</v>
      </c>
      <c r="E100" s="247" t="s">
        <v>2031</v>
      </c>
      <c r="G100" s="122" t="s">
        <v>2030</v>
      </c>
      <c r="I100" s="122" t="s">
        <v>2029</v>
      </c>
    </row>
    <row r="101" spans="1:9">
      <c r="A101" s="251">
        <v>68610</v>
      </c>
      <c r="C101" s="201">
        <v>6317</v>
      </c>
      <c r="D101" s="122" t="str">
        <f t="shared" si="1"/>
        <v>06317</v>
      </c>
      <c r="E101" s="247" t="s">
        <v>2028</v>
      </c>
      <c r="G101" s="122" t="s">
        <v>2027</v>
      </c>
      <c r="I101" s="122" t="s">
        <v>2026</v>
      </c>
    </row>
    <row r="102" spans="1:9">
      <c r="A102" s="251">
        <v>2967</v>
      </c>
      <c r="C102" s="201">
        <v>99</v>
      </c>
      <c r="D102" s="122" t="str">
        <f t="shared" si="1"/>
        <v>00099</v>
      </c>
      <c r="E102" s="247" t="s">
        <v>2025</v>
      </c>
      <c r="G102" s="122" t="s">
        <v>2024</v>
      </c>
      <c r="I102" s="122" t="s">
        <v>2024</v>
      </c>
    </row>
    <row r="103" spans="1:9">
      <c r="A103" s="251">
        <v>61143</v>
      </c>
      <c r="C103" s="201">
        <v>9426181</v>
      </c>
      <c r="D103" s="122" t="str">
        <f t="shared" si="1"/>
        <v>9426181</v>
      </c>
      <c r="E103" s="247" t="s">
        <v>2023</v>
      </c>
      <c r="G103" s="122" t="s">
        <v>2022</v>
      </c>
      <c r="I103" s="122" t="s">
        <v>2022</v>
      </c>
    </row>
    <row r="104" spans="1:9">
      <c r="A104" s="251">
        <v>85694</v>
      </c>
      <c r="C104" s="201">
        <v>70</v>
      </c>
      <c r="D104" s="122" t="str">
        <f t="shared" si="1"/>
        <v>00070</v>
      </c>
      <c r="E104" s="247" t="s">
        <v>1668</v>
      </c>
      <c r="G104" s="122" t="s">
        <v>2021</v>
      </c>
      <c r="I104" s="122" t="s">
        <v>2020</v>
      </c>
    </row>
    <row r="105" spans="1:9">
      <c r="A105" s="251">
        <v>339</v>
      </c>
      <c r="C105" s="201">
        <v>2</v>
      </c>
      <c r="D105" s="122" t="str">
        <f t="shared" si="1"/>
        <v>00002</v>
      </c>
      <c r="E105" s="247" t="s">
        <v>1629</v>
      </c>
      <c r="G105" s="122" t="s">
        <v>2019</v>
      </c>
      <c r="I105" s="122" t="s">
        <v>2019</v>
      </c>
    </row>
    <row r="106" spans="1:9">
      <c r="A106" s="251">
        <v>91827</v>
      </c>
      <c r="C106" s="201">
        <v>85</v>
      </c>
      <c r="D106" s="122" t="str">
        <f t="shared" si="1"/>
        <v>00085</v>
      </c>
      <c r="E106" s="247" t="s">
        <v>2018</v>
      </c>
      <c r="G106" s="122" t="s">
        <v>2017</v>
      </c>
      <c r="I106" s="122" t="s">
        <v>2017</v>
      </c>
    </row>
    <row r="107" spans="1:9">
      <c r="A107" s="251">
        <v>79662</v>
      </c>
      <c r="C107" s="201">
        <v>8</v>
      </c>
      <c r="D107" s="122" t="str">
        <f t="shared" si="1"/>
        <v>00008</v>
      </c>
      <c r="E107" s="247" t="s">
        <v>1800</v>
      </c>
      <c r="G107" s="122" t="s">
        <v>2016</v>
      </c>
      <c r="I107" s="122" t="s">
        <v>2015</v>
      </c>
    </row>
    <row r="108" spans="1:9">
      <c r="A108" s="251">
        <v>16813</v>
      </c>
      <c r="C108" s="201">
        <v>560</v>
      </c>
      <c r="D108" s="122" t="str">
        <f t="shared" si="1"/>
        <v>00560</v>
      </c>
      <c r="E108" s="247" t="s">
        <v>2014</v>
      </c>
      <c r="G108" s="122" t="s">
        <v>2013</v>
      </c>
      <c r="I108" s="122" t="s">
        <v>2013</v>
      </c>
    </row>
    <row r="109" spans="1:9">
      <c r="A109" s="251">
        <v>55313</v>
      </c>
      <c r="C109" s="201">
        <v>69</v>
      </c>
      <c r="D109" s="122" t="str">
        <f t="shared" si="1"/>
        <v>00069</v>
      </c>
      <c r="E109" s="247" t="s">
        <v>2012</v>
      </c>
      <c r="G109" s="122" t="s">
        <v>2011</v>
      </c>
      <c r="I109" s="122" t="s">
        <v>2011</v>
      </c>
    </row>
    <row r="110" spans="1:9">
      <c r="A110" s="251">
        <v>47667</v>
      </c>
      <c r="C110" s="201">
        <v>663</v>
      </c>
      <c r="D110" s="122" t="str">
        <f t="shared" si="1"/>
        <v>00663</v>
      </c>
      <c r="E110" s="247" t="s">
        <v>2010</v>
      </c>
      <c r="G110" s="122" t="s">
        <v>2009</v>
      </c>
      <c r="I110" s="122" t="s">
        <v>2009</v>
      </c>
    </row>
    <row r="111" spans="1:9">
      <c r="A111" s="251">
        <v>84288</v>
      </c>
      <c r="C111" s="201">
        <v>21</v>
      </c>
      <c r="D111" s="122" t="str">
        <f t="shared" si="1"/>
        <v>00021</v>
      </c>
      <c r="E111" s="247" t="s">
        <v>1754</v>
      </c>
      <c r="G111" s="122" t="s">
        <v>2008</v>
      </c>
      <c r="I111" s="122" t="s">
        <v>2007</v>
      </c>
    </row>
    <row r="112" spans="1:9">
      <c r="A112" s="251">
        <v>1680</v>
      </c>
      <c r="C112" s="201">
        <v>1815961</v>
      </c>
      <c r="D112" s="122" t="str">
        <f t="shared" si="1"/>
        <v>1815961</v>
      </c>
      <c r="E112" s="247" t="s">
        <v>2006</v>
      </c>
      <c r="G112" s="122" t="s">
        <v>2005</v>
      </c>
      <c r="I112" s="122" t="s">
        <v>2004</v>
      </c>
    </row>
    <row r="113" spans="1:9">
      <c r="A113" s="251">
        <v>32934</v>
      </c>
      <c r="C113" s="201">
        <v>2320</v>
      </c>
      <c r="D113" s="122" t="str">
        <f t="shared" si="1"/>
        <v>02320</v>
      </c>
      <c r="E113" s="247" t="s">
        <v>2003</v>
      </c>
      <c r="G113" s="122" t="s">
        <v>2002</v>
      </c>
      <c r="I113" s="122" t="s">
        <v>2001</v>
      </c>
    </row>
    <row r="114" spans="1:9">
      <c r="A114" s="251">
        <v>47581</v>
      </c>
      <c r="C114" s="201">
        <v>204849</v>
      </c>
      <c r="D114" s="122" t="str">
        <f t="shared" si="1"/>
        <v>204849</v>
      </c>
      <c r="E114" s="247" t="s">
        <v>2000</v>
      </c>
      <c r="G114" s="122" t="s">
        <v>1999</v>
      </c>
      <c r="I114" s="122" t="s">
        <v>1999</v>
      </c>
    </row>
    <row r="115" spans="1:9">
      <c r="A115" s="251">
        <v>6404</v>
      </c>
      <c r="C115" s="201">
        <v>186541</v>
      </c>
      <c r="D115" s="122" t="str">
        <f t="shared" si="1"/>
        <v>186541</v>
      </c>
      <c r="E115" s="247" t="s">
        <v>1998</v>
      </c>
      <c r="G115" s="122" t="s">
        <v>1997</v>
      </c>
      <c r="I115" s="122" t="s">
        <v>1996</v>
      </c>
    </row>
    <row r="116" spans="1:9">
      <c r="A116" s="251">
        <v>53137</v>
      </c>
      <c r="C116" s="201">
        <v>98</v>
      </c>
      <c r="D116" s="122" t="str">
        <f t="shared" si="1"/>
        <v>00098</v>
      </c>
      <c r="E116" s="247" t="s">
        <v>1995</v>
      </c>
      <c r="G116" s="122" t="s">
        <v>1994</v>
      </c>
      <c r="I116" s="122" t="s">
        <v>1993</v>
      </c>
    </row>
    <row r="117" spans="1:9">
      <c r="A117" s="251">
        <v>58842</v>
      </c>
      <c r="C117" s="201">
        <v>6183510</v>
      </c>
      <c r="D117" s="122" t="str">
        <f t="shared" si="1"/>
        <v>6183510</v>
      </c>
      <c r="E117" s="247" t="s">
        <v>1992</v>
      </c>
      <c r="G117" s="122" t="s">
        <v>1991</v>
      </c>
      <c r="I117" s="122" t="s">
        <v>1990</v>
      </c>
    </row>
    <row r="118" spans="1:9">
      <c r="A118" s="251">
        <v>23508</v>
      </c>
      <c r="C118" s="201">
        <v>1951676</v>
      </c>
      <c r="D118" s="122" t="str">
        <f t="shared" si="1"/>
        <v>1951676</v>
      </c>
      <c r="E118" s="247" t="s">
        <v>1989</v>
      </c>
      <c r="G118" s="122" t="s">
        <v>1988</v>
      </c>
      <c r="I118" s="122" t="s">
        <v>1987</v>
      </c>
    </row>
    <row r="119" spans="1:9">
      <c r="A119" s="251">
        <v>89464</v>
      </c>
      <c r="C119" s="201">
        <v>52014</v>
      </c>
      <c r="D119" s="122" t="str">
        <f t="shared" si="1"/>
        <v>52014</v>
      </c>
      <c r="E119" s="247" t="s">
        <v>1986</v>
      </c>
      <c r="G119" s="122" t="s">
        <v>1985</v>
      </c>
      <c r="I119" s="122" t="s">
        <v>1984</v>
      </c>
    </row>
    <row r="120" spans="1:9">
      <c r="A120" s="251">
        <v>22353</v>
      </c>
      <c r="C120" s="201">
        <v>75529</v>
      </c>
      <c r="D120" s="122" t="str">
        <f t="shared" si="1"/>
        <v>75529</v>
      </c>
      <c r="E120" s="247" t="s">
        <v>1983</v>
      </c>
      <c r="G120" s="122" t="s">
        <v>1982</v>
      </c>
      <c r="I120" s="122" t="s">
        <v>1982</v>
      </c>
    </row>
    <row r="121" spans="1:9">
      <c r="A121" s="251">
        <v>50179</v>
      </c>
      <c r="C121" s="201">
        <v>758</v>
      </c>
      <c r="D121" s="122" t="str">
        <f t="shared" si="1"/>
        <v>00758</v>
      </c>
      <c r="E121" s="247" t="s">
        <v>1981</v>
      </c>
      <c r="G121" s="122" t="s">
        <v>1980</v>
      </c>
      <c r="I121" s="122" t="s">
        <v>1979</v>
      </c>
    </row>
    <row r="122" spans="1:9">
      <c r="A122" s="251">
        <v>13602</v>
      </c>
      <c r="C122" s="201">
        <v>5</v>
      </c>
      <c r="D122" s="122" t="str">
        <f t="shared" si="1"/>
        <v>00005</v>
      </c>
      <c r="E122" s="247" t="s">
        <v>1708</v>
      </c>
      <c r="G122" s="122" t="s">
        <v>1978</v>
      </c>
      <c r="I122" s="122" t="s">
        <v>1977</v>
      </c>
    </row>
    <row r="123" spans="1:9">
      <c r="A123" s="251">
        <v>42166</v>
      </c>
      <c r="C123" s="201">
        <v>369</v>
      </c>
      <c r="D123" s="122" t="str">
        <f t="shared" si="1"/>
        <v>00369</v>
      </c>
      <c r="E123" s="247" t="s">
        <v>1976</v>
      </c>
      <c r="G123" s="122" t="s">
        <v>1975</v>
      </c>
      <c r="I123" s="122" t="s">
        <v>1974</v>
      </c>
    </row>
    <row r="124" spans="1:9">
      <c r="A124" s="251">
        <v>90460</v>
      </c>
      <c r="C124" s="201">
        <v>4503</v>
      </c>
      <c r="D124" s="122" t="str">
        <f t="shared" si="1"/>
        <v>04503</v>
      </c>
      <c r="E124" s="247" t="s">
        <v>1973</v>
      </c>
      <c r="G124" s="122" t="s">
        <v>1972</v>
      </c>
      <c r="I124" s="122" t="s">
        <v>1971</v>
      </c>
    </row>
    <row r="125" spans="1:9">
      <c r="A125" s="251">
        <v>78026</v>
      </c>
      <c r="C125" s="201">
        <v>19566</v>
      </c>
      <c r="D125" s="122" t="str">
        <f t="shared" si="1"/>
        <v>19566</v>
      </c>
      <c r="E125" s="247" t="s">
        <v>1970</v>
      </c>
      <c r="G125" s="122" t="s">
        <v>1969</v>
      </c>
      <c r="I125" s="122" t="s">
        <v>1968</v>
      </c>
    </row>
    <row r="126" spans="1:9">
      <c r="A126" s="251">
        <v>26991</v>
      </c>
      <c r="C126" s="201">
        <v>3299434</v>
      </c>
      <c r="D126" s="122" t="str">
        <f t="shared" si="1"/>
        <v>3299434</v>
      </c>
      <c r="E126" s="247" t="s">
        <v>1967</v>
      </c>
      <c r="G126" s="122" t="s">
        <v>1966</v>
      </c>
      <c r="I126" s="122" t="s">
        <v>1966</v>
      </c>
    </row>
    <row r="127" spans="1:9">
      <c r="A127" s="251">
        <v>88102</v>
      </c>
      <c r="C127" s="201">
        <v>111</v>
      </c>
      <c r="D127" s="122" t="str">
        <f t="shared" si="1"/>
        <v>00111</v>
      </c>
      <c r="E127" s="247" t="s">
        <v>1965</v>
      </c>
      <c r="G127" s="122" t="s">
        <v>1964</v>
      </c>
      <c r="I127" s="122" t="s">
        <v>1963</v>
      </c>
    </row>
    <row r="128" spans="1:9">
      <c r="A128" s="251">
        <v>30921</v>
      </c>
      <c r="C128" s="201">
        <v>3342507</v>
      </c>
      <c r="D128" s="122" t="str">
        <f t="shared" si="1"/>
        <v>3342507</v>
      </c>
      <c r="E128" s="247" t="s">
        <v>1962</v>
      </c>
      <c r="G128" s="122" t="s">
        <v>1961</v>
      </c>
      <c r="I128" s="122" t="s">
        <v>1960</v>
      </c>
    </row>
    <row r="129" spans="1:9">
      <c r="A129" s="251">
        <v>35151</v>
      </c>
      <c r="C129" s="201">
        <v>409</v>
      </c>
      <c r="D129" s="122" t="str">
        <f t="shared" si="1"/>
        <v>00409</v>
      </c>
      <c r="E129" s="247" t="s">
        <v>1959</v>
      </c>
      <c r="G129" s="122" t="s">
        <v>1958</v>
      </c>
      <c r="I129" s="122" t="s">
        <v>1958</v>
      </c>
    </row>
    <row r="130" spans="1:9">
      <c r="A130" s="251">
        <v>7751</v>
      </c>
      <c r="C130" s="201">
        <v>3</v>
      </c>
      <c r="D130" s="122" t="str">
        <f t="shared" si="1"/>
        <v>00003</v>
      </c>
      <c r="E130" s="247" t="s">
        <v>1761</v>
      </c>
      <c r="G130" s="122" t="s">
        <v>1957</v>
      </c>
      <c r="I130" s="122" t="s">
        <v>1956</v>
      </c>
    </row>
    <row r="131" spans="1:9">
      <c r="A131" s="251">
        <v>12980</v>
      </c>
      <c r="C131" s="201">
        <v>575972</v>
      </c>
      <c r="D131" s="122" t="str">
        <f t="shared" ref="D131:D194" si="2">TEXT(C131,"00000")</f>
        <v>575972</v>
      </c>
      <c r="E131" s="247" t="s">
        <v>1955</v>
      </c>
      <c r="G131" s="122" t="s">
        <v>1954</v>
      </c>
      <c r="I131" s="122" t="s">
        <v>1953</v>
      </c>
    </row>
    <row r="132" spans="1:9">
      <c r="A132" s="251">
        <v>57162</v>
      </c>
      <c r="C132" s="201">
        <v>51</v>
      </c>
      <c r="D132" s="122" t="str">
        <f t="shared" si="2"/>
        <v>00051</v>
      </c>
      <c r="E132" s="247" t="s">
        <v>1952</v>
      </c>
      <c r="G132" s="122" t="s">
        <v>1951</v>
      </c>
      <c r="I132" s="122" t="s">
        <v>1951</v>
      </c>
    </row>
    <row r="133" spans="1:9">
      <c r="A133" s="251">
        <v>81176</v>
      </c>
      <c r="C133" s="201">
        <v>980306</v>
      </c>
      <c r="D133" s="122" t="str">
        <f t="shared" si="2"/>
        <v>980306</v>
      </c>
      <c r="E133" s="247" t="s">
        <v>1950</v>
      </c>
      <c r="G133" s="122" t="s">
        <v>1949</v>
      </c>
      <c r="I133" s="122" t="s">
        <v>1948</v>
      </c>
    </row>
    <row r="134" spans="1:9">
      <c r="A134" s="251">
        <v>87381</v>
      </c>
      <c r="C134" s="201">
        <v>8</v>
      </c>
      <c r="D134" s="122" t="str">
        <f t="shared" si="2"/>
        <v>00008</v>
      </c>
      <c r="E134" s="247" t="s">
        <v>1800</v>
      </c>
      <c r="G134" s="122" t="s">
        <v>1947</v>
      </c>
      <c r="I134" s="122" t="s">
        <v>1946</v>
      </c>
    </row>
    <row r="135" spans="1:9">
      <c r="A135" s="251">
        <v>60875</v>
      </c>
      <c r="C135" s="201">
        <v>1496</v>
      </c>
      <c r="D135" s="122" t="str">
        <f t="shared" si="2"/>
        <v>01496</v>
      </c>
      <c r="E135" s="247" t="s">
        <v>1945</v>
      </c>
      <c r="G135" s="122" t="s">
        <v>1944</v>
      </c>
      <c r="I135" s="122" t="s">
        <v>1943</v>
      </c>
    </row>
    <row r="136" spans="1:9">
      <c r="A136" s="251">
        <v>19430</v>
      </c>
      <c r="C136" s="201">
        <v>302</v>
      </c>
      <c r="D136" s="122" t="str">
        <f t="shared" si="2"/>
        <v>00302</v>
      </c>
      <c r="E136" s="247" t="s">
        <v>1942</v>
      </c>
      <c r="G136" s="122" t="s">
        <v>1941</v>
      </c>
      <c r="I136" s="122" t="s">
        <v>1941</v>
      </c>
    </row>
    <row r="137" spans="1:9">
      <c r="A137" s="251">
        <v>51268</v>
      </c>
      <c r="C137" s="201">
        <v>3</v>
      </c>
      <c r="D137" s="122" t="str">
        <f t="shared" si="2"/>
        <v>00003</v>
      </c>
      <c r="E137" s="247" t="s">
        <v>1761</v>
      </c>
      <c r="G137" s="122" t="s">
        <v>1940</v>
      </c>
      <c r="I137" s="122" t="s">
        <v>1940</v>
      </c>
    </row>
    <row r="138" spans="1:9">
      <c r="A138" s="251">
        <v>70966</v>
      </c>
      <c r="C138" s="201">
        <v>7</v>
      </c>
      <c r="D138" s="122" t="str">
        <f t="shared" si="2"/>
        <v>00007</v>
      </c>
      <c r="E138" s="247" t="s">
        <v>1678</v>
      </c>
      <c r="G138" s="122" t="s">
        <v>1939</v>
      </c>
      <c r="I138" s="122" t="s">
        <v>1938</v>
      </c>
    </row>
    <row r="139" spans="1:9">
      <c r="A139" s="251">
        <v>83165</v>
      </c>
      <c r="C139" s="201">
        <v>298712</v>
      </c>
      <c r="D139" s="122" t="str">
        <f t="shared" si="2"/>
        <v>298712</v>
      </c>
      <c r="E139" s="247" t="s">
        <v>1937</v>
      </c>
      <c r="G139" s="122" t="s">
        <v>1936</v>
      </c>
      <c r="I139" s="122" t="s">
        <v>1935</v>
      </c>
    </row>
    <row r="140" spans="1:9">
      <c r="A140" s="251">
        <v>83208</v>
      </c>
      <c r="C140" s="201">
        <v>2573</v>
      </c>
      <c r="D140" s="122" t="str">
        <f t="shared" si="2"/>
        <v>02573</v>
      </c>
      <c r="E140" s="247" t="s">
        <v>1934</v>
      </c>
      <c r="G140" s="122" t="s">
        <v>1933</v>
      </c>
      <c r="I140" s="122" t="s">
        <v>1933</v>
      </c>
    </row>
    <row r="141" spans="1:9">
      <c r="A141" s="251">
        <v>58215</v>
      </c>
      <c r="C141" s="201">
        <v>925</v>
      </c>
      <c r="D141" s="122" t="str">
        <f t="shared" si="2"/>
        <v>00925</v>
      </c>
      <c r="E141" s="247" t="s">
        <v>1932</v>
      </c>
      <c r="G141" s="122" t="s">
        <v>1931</v>
      </c>
      <c r="I141" s="122" t="s">
        <v>1931</v>
      </c>
    </row>
    <row r="142" spans="1:9">
      <c r="A142" s="251">
        <v>30474</v>
      </c>
      <c r="C142" s="201">
        <v>48</v>
      </c>
      <c r="D142" s="122" t="str">
        <f t="shared" si="2"/>
        <v>00048</v>
      </c>
      <c r="E142" s="247" t="s">
        <v>1930</v>
      </c>
      <c r="G142" s="122" t="s">
        <v>1929</v>
      </c>
      <c r="I142" s="122" t="s">
        <v>1929</v>
      </c>
    </row>
    <row r="143" spans="1:9">
      <c r="A143" s="251">
        <v>38442</v>
      </c>
      <c r="C143" s="201">
        <v>14</v>
      </c>
      <c r="D143" s="122" t="str">
        <f t="shared" si="2"/>
        <v>00014</v>
      </c>
      <c r="E143" s="247" t="s">
        <v>1872</v>
      </c>
      <c r="G143" s="122" t="s">
        <v>1928</v>
      </c>
      <c r="I143" s="122" t="s">
        <v>1927</v>
      </c>
    </row>
    <row r="144" spans="1:9">
      <c r="A144" s="251">
        <v>76933</v>
      </c>
      <c r="C144" s="201">
        <v>145049</v>
      </c>
      <c r="D144" s="122" t="str">
        <f t="shared" si="2"/>
        <v>145049</v>
      </c>
      <c r="E144" s="247" t="s">
        <v>1926</v>
      </c>
      <c r="G144" s="122" t="s">
        <v>1925</v>
      </c>
      <c r="I144" s="122" t="s">
        <v>1925</v>
      </c>
    </row>
    <row r="145" spans="1:9">
      <c r="A145" s="251">
        <v>79123</v>
      </c>
      <c r="C145" s="201">
        <v>672</v>
      </c>
      <c r="D145" s="122" t="str">
        <f t="shared" si="2"/>
        <v>00672</v>
      </c>
      <c r="E145" s="247" t="s">
        <v>1924</v>
      </c>
      <c r="G145" s="122" t="s">
        <v>1923</v>
      </c>
      <c r="I145" s="122" t="s">
        <v>1922</v>
      </c>
    </row>
    <row r="146" spans="1:9">
      <c r="A146" s="251">
        <v>2970</v>
      </c>
      <c r="C146" s="201">
        <v>414703</v>
      </c>
      <c r="D146" s="122" t="str">
        <f t="shared" si="2"/>
        <v>414703</v>
      </c>
      <c r="E146" s="247" t="s">
        <v>1921</v>
      </c>
      <c r="G146" s="122" t="s">
        <v>1920</v>
      </c>
      <c r="I146" s="122" t="s">
        <v>1919</v>
      </c>
    </row>
    <row r="147" spans="1:9">
      <c r="A147" s="251">
        <v>98650</v>
      </c>
      <c r="C147" s="201">
        <v>6899982</v>
      </c>
      <c r="D147" s="122" t="str">
        <f t="shared" si="2"/>
        <v>6899982</v>
      </c>
      <c r="E147" s="247" t="s">
        <v>1918</v>
      </c>
      <c r="G147" s="122" t="s">
        <v>1917</v>
      </c>
      <c r="I147" s="122" t="s">
        <v>1916</v>
      </c>
    </row>
    <row r="148" spans="1:9">
      <c r="A148" s="251">
        <v>41937</v>
      </c>
      <c r="C148" s="201">
        <v>35</v>
      </c>
      <c r="D148" s="122" t="str">
        <f t="shared" si="2"/>
        <v>00035</v>
      </c>
      <c r="E148" s="247" t="s">
        <v>1915</v>
      </c>
      <c r="G148" s="122" t="s">
        <v>1914</v>
      </c>
      <c r="I148" s="122" t="s">
        <v>1913</v>
      </c>
    </row>
    <row r="149" spans="1:9">
      <c r="A149" s="251">
        <v>66658</v>
      </c>
      <c r="C149" s="201">
        <v>53</v>
      </c>
      <c r="D149" s="122" t="str">
        <f t="shared" si="2"/>
        <v>00053</v>
      </c>
      <c r="E149" s="247" t="s">
        <v>1912</v>
      </c>
      <c r="G149" s="122" t="s">
        <v>1911</v>
      </c>
      <c r="I149" s="122" t="s">
        <v>1910</v>
      </c>
    </row>
    <row r="150" spans="1:9">
      <c r="A150" s="251">
        <v>93916</v>
      </c>
      <c r="C150" s="201">
        <v>167</v>
      </c>
      <c r="D150" s="122" t="str">
        <f t="shared" si="2"/>
        <v>00167</v>
      </c>
      <c r="E150" s="247" t="s">
        <v>1909</v>
      </c>
      <c r="G150" s="122" t="s">
        <v>1908</v>
      </c>
      <c r="I150" s="122" t="s">
        <v>1907</v>
      </c>
    </row>
    <row r="151" spans="1:9">
      <c r="A151" s="251">
        <v>8861</v>
      </c>
      <c r="C151" s="201">
        <v>70</v>
      </c>
      <c r="D151" s="122" t="str">
        <f t="shared" si="2"/>
        <v>00070</v>
      </c>
      <c r="E151" s="247" t="s">
        <v>1668</v>
      </c>
      <c r="G151" s="122" t="s">
        <v>1906</v>
      </c>
      <c r="I151" s="122" t="s">
        <v>1905</v>
      </c>
    </row>
    <row r="152" spans="1:9">
      <c r="A152" s="251">
        <v>88440</v>
      </c>
      <c r="C152" s="201">
        <v>3777615</v>
      </c>
      <c r="D152" s="122" t="str">
        <f t="shared" si="2"/>
        <v>3777615</v>
      </c>
      <c r="E152" s="247" t="s">
        <v>1904</v>
      </c>
      <c r="G152" s="122" t="s">
        <v>1903</v>
      </c>
      <c r="I152" s="122" t="s">
        <v>1902</v>
      </c>
    </row>
    <row r="153" spans="1:9">
      <c r="A153" s="251">
        <v>88689</v>
      </c>
      <c r="C153" s="201">
        <v>8949</v>
      </c>
      <c r="D153" s="122" t="str">
        <f t="shared" si="2"/>
        <v>08949</v>
      </c>
      <c r="E153" s="247" t="s">
        <v>1901</v>
      </c>
      <c r="G153" s="122" t="s">
        <v>1900</v>
      </c>
      <c r="I153" s="122" t="s">
        <v>1900</v>
      </c>
    </row>
    <row r="154" spans="1:9">
      <c r="A154" s="251">
        <v>17824</v>
      </c>
      <c r="C154" s="201">
        <v>831</v>
      </c>
      <c r="D154" s="122" t="str">
        <f t="shared" si="2"/>
        <v>00831</v>
      </c>
      <c r="E154" s="247" t="s">
        <v>1899</v>
      </c>
      <c r="G154" s="122" t="s">
        <v>1898</v>
      </c>
      <c r="I154" s="122" t="s">
        <v>1898</v>
      </c>
    </row>
    <row r="155" spans="1:9">
      <c r="A155" s="251">
        <v>74947</v>
      </c>
      <c r="C155" s="201">
        <v>9</v>
      </c>
      <c r="D155" s="122" t="str">
        <f t="shared" si="2"/>
        <v>00009</v>
      </c>
      <c r="E155" s="247" t="s">
        <v>1825</v>
      </c>
      <c r="G155" s="122" t="s">
        <v>1897</v>
      </c>
      <c r="I155" s="122" t="s">
        <v>1897</v>
      </c>
    </row>
    <row r="156" spans="1:9">
      <c r="A156" s="251">
        <v>6545</v>
      </c>
      <c r="C156" s="201">
        <v>8</v>
      </c>
      <c r="D156" s="122" t="str">
        <f t="shared" si="2"/>
        <v>00008</v>
      </c>
      <c r="E156" s="247" t="s">
        <v>1800</v>
      </c>
      <c r="G156" s="122" t="s">
        <v>1896</v>
      </c>
      <c r="I156" s="122" t="s">
        <v>1895</v>
      </c>
    </row>
    <row r="157" spans="1:9">
      <c r="A157" s="251">
        <v>13858</v>
      </c>
      <c r="C157" s="201">
        <v>499409</v>
      </c>
      <c r="D157" s="122" t="str">
        <f t="shared" si="2"/>
        <v>499409</v>
      </c>
      <c r="E157" s="247" t="s">
        <v>1894</v>
      </c>
      <c r="G157" s="122" t="s">
        <v>1893</v>
      </c>
      <c r="I157" s="122" t="s">
        <v>1892</v>
      </c>
    </row>
    <row r="158" spans="1:9">
      <c r="A158" s="251">
        <v>5947</v>
      </c>
      <c r="C158" s="201">
        <v>79605</v>
      </c>
      <c r="D158" s="122" t="str">
        <f t="shared" si="2"/>
        <v>79605</v>
      </c>
      <c r="E158" s="247" t="s">
        <v>1891</v>
      </c>
      <c r="G158" s="122" t="s">
        <v>1890</v>
      </c>
      <c r="I158" s="122" t="s">
        <v>1890</v>
      </c>
    </row>
    <row r="159" spans="1:9">
      <c r="A159" s="251">
        <v>55613</v>
      </c>
      <c r="C159" s="201">
        <v>345</v>
      </c>
      <c r="D159" s="122" t="str">
        <f t="shared" si="2"/>
        <v>00345</v>
      </c>
      <c r="E159" s="247" t="s">
        <v>1889</v>
      </c>
      <c r="G159" s="122" t="s">
        <v>1888</v>
      </c>
      <c r="I159" s="122" t="s">
        <v>1887</v>
      </c>
    </row>
    <row r="160" spans="1:9">
      <c r="A160" s="251">
        <v>66209</v>
      </c>
      <c r="C160" s="201">
        <v>28</v>
      </c>
      <c r="D160" s="122" t="str">
        <f t="shared" si="2"/>
        <v>00028</v>
      </c>
      <c r="E160" s="247" t="s">
        <v>1684</v>
      </c>
      <c r="G160" s="122" t="s">
        <v>1886</v>
      </c>
      <c r="I160" s="122" t="s">
        <v>1886</v>
      </c>
    </row>
    <row r="161" spans="1:9">
      <c r="A161" s="251">
        <v>22104</v>
      </c>
      <c r="C161" s="201">
        <v>5559490</v>
      </c>
      <c r="D161" s="122" t="str">
        <f t="shared" si="2"/>
        <v>5559490</v>
      </c>
      <c r="E161" s="247" t="s">
        <v>1885</v>
      </c>
      <c r="G161" s="122" t="s">
        <v>1884</v>
      </c>
      <c r="I161" s="122" t="s">
        <v>1883</v>
      </c>
    </row>
    <row r="162" spans="1:9">
      <c r="A162" s="251">
        <v>30924</v>
      </c>
      <c r="C162" s="201">
        <v>4416</v>
      </c>
      <c r="D162" s="122" t="str">
        <f t="shared" si="2"/>
        <v>04416</v>
      </c>
      <c r="E162" s="247" t="s">
        <v>1882</v>
      </c>
      <c r="G162" s="122" t="s">
        <v>1881</v>
      </c>
      <c r="I162" s="122" t="s">
        <v>1880</v>
      </c>
    </row>
    <row r="163" spans="1:9">
      <c r="A163" s="251">
        <v>51291</v>
      </c>
      <c r="C163" s="201">
        <v>2806</v>
      </c>
      <c r="D163" s="122" t="str">
        <f t="shared" si="2"/>
        <v>02806</v>
      </c>
      <c r="E163" s="247" t="s">
        <v>1879</v>
      </c>
      <c r="G163" s="122" t="s">
        <v>1878</v>
      </c>
      <c r="I163" s="122" t="s">
        <v>1877</v>
      </c>
    </row>
    <row r="164" spans="1:9">
      <c r="A164" s="251">
        <v>52497</v>
      </c>
      <c r="C164" s="201">
        <v>7266974</v>
      </c>
      <c r="D164" s="122" t="str">
        <f t="shared" si="2"/>
        <v>7266974</v>
      </c>
      <c r="E164" s="247" t="s">
        <v>1876</v>
      </c>
      <c r="G164" s="122" t="s">
        <v>1875</v>
      </c>
      <c r="I164" s="122" t="s">
        <v>1874</v>
      </c>
    </row>
    <row r="165" spans="1:9">
      <c r="A165" s="251">
        <v>45701</v>
      </c>
      <c r="C165" s="201">
        <v>2</v>
      </c>
      <c r="D165" s="122" t="str">
        <f t="shared" si="2"/>
        <v>00002</v>
      </c>
      <c r="E165" s="247" t="s">
        <v>1629</v>
      </c>
      <c r="G165" s="122" t="s">
        <v>1873</v>
      </c>
      <c r="I165" s="122" t="s">
        <v>1873</v>
      </c>
    </row>
    <row r="166" spans="1:9">
      <c r="A166" s="251">
        <v>80587</v>
      </c>
      <c r="C166" s="201">
        <v>14</v>
      </c>
      <c r="D166" s="122" t="str">
        <f t="shared" si="2"/>
        <v>00014</v>
      </c>
      <c r="E166" s="247" t="s">
        <v>1872</v>
      </c>
      <c r="G166" s="122" t="s">
        <v>1871</v>
      </c>
      <c r="I166" s="122" t="s">
        <v>1871</v>
      </c>
    </row>
    <row r="167" spans="1:9">
      <c r="A167" s="251">
        <v>8199</v>
      </c>
      <c r="C167" s="201">
        <v>262</v>
      </c>
      <c r="D167" s="122" t="str">
        <f t="shared" si="2"/>
        <v>00262</v>
      </c>
      <c r="E167" s="247" t="s">
        <v>1870</v>
      </c>
      <c r="G167" s="122" t="s">
        <v>1869</v>
      </c>
      <c r="I167" s="122" t="s">
        <v>1869</v>
      </c>
    </row>
    <row r="168" spans="1:9">
      <c r="A168" s="251">
        <v>81910</v>
      </c>
      <c r="C168" s="201">
        <v>66938</v>
      </c>
      <c r="D168" s="122" t="str">
        <f t="shared" si="2"/>
        <v>66938</v>
      </c>
      <c r="E168" s="247" t="s">
        <v>1868</v>
      </c>
      <c r="G168" s="122" t="s">
        <v>1867</v>
      </c>
      <c r="I168" s="122" t="s">
        <v>1866</v>
      </c>
    </row>
    <row r="169" spans="1:9">
      <c r="A169" s="251">
        <v>86656</v>
      </c>
      <c r="C169" s="201">
        <v>3485</v>
      </c>
      <c r="D169" s="122" t="str">
        <f t="shared" si="2"/>
        <v>03485</v>
      </c>
      <c r="E169" s="247" t="s">
        <v>1865</v>
      </c>
      <c r="G169" s="122" t="s">
        <v>1864</v>
      </c>
      <c r="I169" s="122" t="s">
        <v>1864</v>
      </c>
    </row>
    <row r="170" spans="1:9">
      <c r="A170" s="251">
        <v>8231</v>
      </c>
      <c r="C170" s="201">
        <v>31037</v>
      </c>
      <c r="D170" s="122" t="str">
        <f t="shared" si="2"/>
        <v>31037</v>
      </c>
      <c r="E170" s="247" t="s">
        <v>1863</v>
      </c>
      <c r="G170" s="122" t="s">
        <v>1813</v>
      </c>
      <c r="I170" s="122" t="s">
        <v>1812</v>
      </c>
    </row>
    <row r="171" spans="1:9">
      <c r="A171" s="251">
        <v>57643</v>
      </c>
      <c r="C171" s="201">
        <v>698</v>
      </c>
      <c r="D171" s="122" t="str">
        <f t="shared" si="2"/>
        <v>00698</v>
      </c>
      <c r="E171" s="247" t="s">
        <v>1862</v>
      </c>
      <c r="G171" s="122" t="s">
        <v>1861</v>
      </c>
      <c r="I171" s="122" t="s">
        <v>1861</v>
      </c>
    </row>
    <row r="172" spans="1:9">
      <c r="A172" s="251">
        <v>36896</v>
      </c>
      <c r="C172" s="201">
        <v>46140</v>
      </c>
      <c r="D172" s="122" t="str">
        <f t="shared" si="2"/>
        <v>46140</v>
      </c>
      <c r="E172" s="247" t="s">
        <v>1860</v>
      </c>
      <c r="G172" s="122" t="s">
        <v>1859</v>
      </c>
      <c r="I172" s="122" t="s">
        <v>1858</v>
      </c>
    </row>
    <row r="173" spans="1:9">
      <c r="A173" s="251">
        <v>87267</v>
      </c>
      <c r="C173" s="201">
        <v>1144762</v>
      </c>
      <c r="D173" s="122" t="str">
        <f t="shared" si="2"/>
        <v>1144762</v>
      </c>
      <c r="E173" s="247" t="s">
        <v>1857</v>
      </c>
      <c r="G173" s="122" t="s">
        <v>1856</v>
      </c>
      <c r="I173" s="122" t="s">
        <v>1855</v>
      </c>
    </row>
    <row r="174" spans="1:9">
      <c r="A174" s="251">
        <v>14941</v>
      </c>
      <c r="C174" s="201">
        <v>3</v>
      </c>
      <c r="D174" s="122" t="str">
        <f t="shared" si="2"/>
        <v>00003</v>
      </c>
      <c r="E174" s="247" t="s">
        <v>1761</v>
      </c>
      <c r="G174" s="122" t="s">
        <v>1854</v>
      </c>
      <c r="I174" s="122" t="s">
        <v>1853</v>
      </c>
    </row>
    <row r="175" spans="1:9">
      <c r="A175" s="251">
        <v>83334</v>
      </c>
      <c r="C175" s="201">
        <v>8</v>
      </c>
      <c r="D175" s="122" t="str">
        <f t="shared" si="2"/>
        <v>00008</v>
      </c>
      <c r="E175" s="247" t="s">
        <v>1800</v>
      </c>
      <c r="G175" s="122" t="s">
        <v>1852</v>
      </c>
      <c r="I175" s="122" t="s">
        <v>1852</v>
      </c>
    </row>
    <row r="176" spans="1:9">
      <c r="A176" s="251">
        <v>92597</v>
      </c>
      <c r="C176" s="201">
        <v>255</v>
      </c>
      <c r="D176" s="122" t="str">
        <f t="shared" si="2"/>
        <v>00255</v>
      </c>
      <c r="E176" s="247" t="s">
        <v>1851</v>
      </c>
      <c r="G176" s="122" t="s">
        <v>1850</v>
      </c>
      <c r="I176" s="122" t="s">
        <v>1850</v>
      </c>
    </row>
    <row r="177" spans="1:9">
      <c r="A177" s="251">
        <v>34608</v>
      </c>
      <c r="C177" s="201">
        <v>1634</v>
      </c>
      <c r="D177" s="122" t="str">
        <f t="shared" si="2"/>
        <v>01634</v>
      </c>
      <c r="E177" s="247" t="s">
        <v>1849</v>
      </c>
      <c r="G177" s="122" t="s">
        <v>1737</v>
      </c>
      <c r="I177" s="122" t="s">
        <v>1736</v>
      </c>
    </row>
    <row r="178" spans="1:9">
      <c r="A178" s="251">
        <v>39237</v>
      </c>
      <c r="C178" s="201">
        <v>3813465</v>
      </c>
      <c r="D178" s="122" t="str">
        <f t="shared" si="2"/>
        <v>3813465</v>
      </c>
      <c r="E178" s="247" t="s">
        <v>1848</v>
      </c>
      <c r="G178" s="122" t="s">
        <v>1847</v>
      </c>
      <c r="I178" s="122" t="s">
        <v>1846</v>
      </c>
    </row>
    <row r="179" spans="1:9">
      <c r="A179" s="251">
        <v>54418</v>
      </c>
      <c r="C179" s="201">
        <v>3</v>
      </c>
      <c r="D179" s="122" t="str">
        <f t="shared" si="2"/>
        <v>00003</v>
      </c>
      <c r="E179" s="247" t="s">
        <v>1761</v>
      </c>
      <c r="G179" s="122" t="s">
        <v>1845</v>
      </c>
      <c r="I179" s="122" t="s">
        <v>1845</v>
      </c>
    </row>
    <row r="180" spans="1:9">
      <c r="A180" s="251">
        <v>87146</v>
      </c>
      <c r="C180" s="201">
        <v>9990</v>
      </c>
      <c r="D180" s="122" t="str">
        <f t="shared" si="2"/>
        <v>09990</v>
      </c>
      <c r="E180" s="247" t="s">
        <v>1844</v>
      </c>
      <c r="G180" s="122" t="s">
        <v>1843</v>
      </c>
      <c r="I180" s="122" t="s">
        <v>1843</v>
      </c>
    </row>
    <row r="181" spans="1:9">
      <c r="A181" s="251">
        <v>30436</v>
      </c>
      <c r="C181" s="201">
        <v>94676</v>
      </c>
      <c r="D181" s="122" t="str">
        <f t="shared" si="2"/>
        <v>94676</v>
      </c>
      <c r="E181" s="247" t="s">
        <v>1842</v>
      </c>
      <c r="G181" s="122" t="s">
        <v>1841</v>
      </c>
      <c r="I181" s="122" t="s">
        <v>1841</v>
      </c>
    </row>
    <row r="182" spans="1:9">
      <c r="A182" s="251">
        <v>80981</v>
      </c>
      <c r="C182" s="201">
        <v>977556</v>
      </c>
      <c r="D182" s="122" t="str">
        <f t="shared" si="2"/>
        <v>977556</v>
      </c>
      <c r="E182" s="247" t="s">
        <v>1840</v>
      </c>
      <c r="G182" s="122" t="s">
        <v>1839</v>
      </c>
      <c r="I182" s="122" t="s">
        <v>1839</v>
      </c>
    </row>
    <row r="183" spans="1:9">
      <c r="A183" s="251">
        <v>51453</v>
      </c>
      <c r="C183" s="201">
        <v>86729</v>
      </c>
      <c r="D183" s="122" t="str">
        <f t="shared" si="2"/>
        <v>86729</v>
      </c>
      <c r="E183" s="247" t="s">
        <v>1838</v>
      </c>
      <c r="G183" s="122" t="s">
        <v>1837</v>
      </c>
      <c r="I183" s="122" t="s">
        <v>1836</v>
      </c>
    </row>
    <row r="184" spans="1:9">
      <c r="A184" s="251">
        <v>71191</v>
      </c>
      <c r="C184" s="201">
        <v>38838</v>
      </c>
      <c r="D184" s="122" t="str">
        <f t="shared" si="2"/>
        <v>38838</v>
      </c>
      <c r="E184" s="247" t="s">
        <v>1835</v>
      </c>
      <c r="G184" s="122" t="s">
        <v>1834</v>
      </c>
      <c r="I184" s="122" t="s">
        <v>1833</v>
      </c>
    </row>
    <row r="185" spans="1:9">
      <c r="A185" s="251">
        <v>54800</v>
      </c>
      <c r="C185" s="201">
        <v>334</v>
      </c>
      <c r="D185" s="122" t="str">
        <f t="shared" si="2"/>
        <v>00334</v>
      </c>
      <c r="E185" s="247" t="s">
        <v>1832</v>
      </c>
      <c r="G185" s="122" t="s">
        <v>1831</v>
      </c>
      <c r="I185" s="122" t="s">
        <v>1830</v>
      </c>
    </row>
    <row r="186" spans="1:9">
      <c r="A186" s="251">
        <v>37543</v>
      </c>
      <c r="C186" s="201">
        <v>5104</v>
      </c>
      <c r="D186" s="122" t="str">
        <f t="shared" si="2"/>
        <v>05104</v>
      </c>
      <c r="E186" s="247" t="s">
        <v>1829</v>
      </c>
      <c r="G186" s="122" t="s">
        <v>1828</v>
      </c>
      <c r="I186" s="122" t="s">
        <v>1827</v>
      </c>
    </row>
    <row r="187" spans="1:9">
      <c r="A187" s="251">
        <v>67969</v>
      </c>
      <c r="C187" s="201">
        <v>54</v>
      </c>
      <c r="D187" s="122" t="str">
        <f t="shared" si="2"/>
        <v>00054</v>
      </c>
      <c r="E187" s="247" t="s">
        <v>1653</v>
      </c>
      <c r="G187" s="122" t="s">
        <v>1826</v>
      </c>
      <c r="I187" s="122" t="s">
        <v>1826</v>
      </c>
    </row>
    <row r="188" spans="1:9">
      <c r="A188" s="251">
        <v>9380</v>
      </c>
      <c r="C188" s="201">
        <v>9</v>
      </c>
      <c r="D188" s="122" t="str">
        <f t="shared" si="2"/>
        <v>00009</v>
      </c>
      <c r="E188" s="247" t="s">
        <v>1825</v>
      </c>
      <c r="G188" s="122" t="s">
        <v>1824</v>
      </c>
      <c r="I188" s="122" t="s">
        <v>1824</v>
      </c>
    </row>
    <row r="189" spans="1:9">
      <c r="A189" s="251">
        <v>8742</v>
      </c>
      <c r="C189" s="201">
        <v>5384</v>
      </c>
      <c r="D189" s="122" t="str">
        <f t="shared" si="2"/>
        <v>05384</v>
      </c>
      <c r="E189" s="247" t="s">
        <v>1823</v>
      </c>
      <c r="G189" s="122" t="s">
        <v>1822</v>
      </c>
      <c r="I189" s="122" t="s">
        <v>1822</v>
      </c>
    </row>
    <row r="190" spans="1:9">
      <c r="A190" s="251">
        <v>45735</v>
      </c>
      <c r="C190" s="201">
        <v>3</v>
      </c>
      <c r="D190" s="122" t="str">
        <f t="shared" si="2"/>
        <v>00003</v>
      </c>
      <c r="E190" s="247" t="s">
        <v>1761</v>
      </c>
      <c r="G190" s="122" t="s">
        <v>1821</v>
      </c>
      <c r="I190" s="122" t="s">
        <v>1820</v>
      </c>
    </row>
    <row r="191" spans="1:9">
      <c r="A191" s="251">
        <v>61774</v>
      </c>
      <c r="C191" s="201">
        <v>1411015</v>
      </c>
      <c r="D191" s="122" t="str">
        <f t="shared" si="2"/>
        <v>1411015</v>
      </c>
      <c r="E191" s="247" t="s">
        <v>1819</v>
      </c>
      <c r="G191" s="122" t="s">
        <v>1818</v>
      </c>
      <c r="I191" s="122" t="s">
        <v>1817</v>
      </c>
    </row>
    <row r="192" spans="1:9">
      <c r="A192" s="251">
        <v>71061</v>
      </c>
      <c r="C192" s="201">
        <v>9230</v>
      </c>
      <c r="D192" s="122" t="str">
        <f t="shared" si="2"/>
        <v>09230</v>
      </c>
      <c r="E192" s="247" t="s">
        <v>1816</v>
      </c>
      <c r="G192" s="122" t="s">
        <v>1815</v>
      </c>
      <c r="I192" s="122" t="s">
        <v>1815</v>
      </c>
    </row>
    <row r="193" spans="1:9">
      <c r="A193" s="251">
        <v>95301</v>
      </c>
      <c r="C193" s="201">
        <v>74298</v>
      </c>
      <c r="D193" s="122" t="str">
        <f t="shared" si="2"/>
        <v>74298</v>
      </c>
      <c r="E193" s="247" t="s">
        <v>1814</v>
      </c>
      <c r="G193" s="122" t="s">
        <v>1813</v>
      </c>
      <c r="I193" s="122" t="s">
        <v>1812</v>
      </c>
    </row>
    <row r="194" spans="1:9">
      <c r="A194" s="251">
        <v>73848</v>
      </c>
      <c r="C194" s="201">
        <v>433</v>
      </c>
      <c r="D194" s="122" t="str">
        <f t="shared" si="2"/>
        <v>00433</v>
      </c>
      <c r="E194" s="247" t="s">
        <v>1811</v>
      </c>
      <c r="G194" s="122" t="s">
        <v>1810</v>
      </c>
      <c r="I194" s="122" t="s">
        <v>1809</v>
      </c>
    </row>
    <row r="195" spans="1:9">
      <c r="A195" s="251">
        <v>68583</v>
      </c>
      <c r="C195" s="201">
        <v>79617</v>
      </c>
      <c r="D195" s="122" t="str">
        <f t="shared" ref="D195:D258" si="3">TEXT(C195,"00000")</f>
        <v>79617</v>
      </c>
      <c r="E195" s="247" t="s">
        <v>1808</v>
      </c>
      <c r="G195" s="122" t="s">
        <v>1807</v>
      </c>
      <c r="I195" s="122" t="s">
        <v>1806</v>
      </c>
    </row>
    <row r="196" spans="1:9">
      <c r="A196" s="251">
        <v>78314</v>
      </c>
      <c r="C196" s="201">
        <v>26</v>
      </c>
      <c r="D196" s="122" t="str">
        <f t="shared" si="3"/>
        <v>00026</v>
      </c>
      <c r="E196" s="247" t="s">
        <v>1805</v>
      </c>
      <c r="G196" s="122" t="s">
        <v>1804</v>
      </c>
      <c r="I196" s="122" t="s">
        <v>1804</v>
      </c>
    </row>
    <row r="197" spans="1:9">
      <c r="A197" s="251">
        <v>57391</v>
      </c>
      <c r="C197" s="201">
        <v>39</v>
      </c>
      <c r="D197" s="122" t="str">
        <f t="shared" si="3"/>
        <v>00039</v>
      </c>
      <c r="E197" s="247" t="s">
        <v>1803</v>
      </c>
      <c r="G197" s="122" t="s">
        <v>1802</v>
      </c>
      <c r="I197" s="122" t="s">
        <v>1801</v>
      </c>
    </row>
    <row r="198" spans="1:9">
      <c r="A198" s="251">
        <v>45907</v>
      </c>
      <c r="C198" s="201">
        <v>8</v>
      </c>
      <c r="D198" s="122" t="str">
        <f t="shared" si="3"/>
        <v>00008</v>
      </c>
      <c r="E198" s="247" t="s">
        <v>1800</v>
      </c>
      <c r="G198" s="122" t="s">
        <v>1799</v>
      </c>
      <c r="I198" s="122" t="s">
        <v>1798</v>
      </c>
    </row>
    <row r="199" spans="1:9">
      <c r="A199" s="251">
        <v>56232</v>
      </c>
      <c r="C199" s="201">
        <v>557075</v>
      </c>
      <c r="D199" s="122" t="str">
        <f t="shared" si="3"/>
        <v>557075</v>
      </c>
      <c r="E199" s="247" t="s">
        <v>1797</v>
      </c>
      <c r="G199" s="122" t="s">
        <v>1796</v>
      </c>
      <c r="I199" s="122" t="s">
        <v>1795</v>
      </c>
    </row>
    <row r="200" spans="1:9">
      <c r="A200" s="251">
        <v>45352</v>
      </c>
      <c r="C200" s="201">
        <v>57</v>
      </c>
      <c r="D200" s="122" t="str">
        <f t="shared" si="3"/>
        <v>00057</v>
      </c>
      <c r="E200" s="247" t="s">
        <v>1794</v>
      </c>
      <c r="G200" s="122" t="s">
        <v>1793</v>
      </c>
      <c r="I200" s="122" t="s">
        <v>1792</v>
      </c>
    </row>
    <row r="201" spans="1:9">
      <c r="A201" s="251">
        <v>50777</v>
      </c>
      <c r="C201" s="201">
        <v>71400</v>
      </c>
      <c r="D201" s="122" t="str">
        <f t="shared" si="3"/>
        <v>71400</v>
      </c>
      <c r="E201" s="247" t="s">
        <v>1791</v>
      </c>
      <c r="G201" s="122" t="s">
        <v>1790</v>
      </c>
      <c r="I201" s="122" t="s">
        <v>1789</v>
      </c>
    </row>
    <row r="202" spans="1:9">
      <c r="A202" s="251">
        <v>35868</v>
      </c>
      <c r="C202" s="201">
        <v>6332</v>
      </c>
      <c r="D202" s="122" t="str">
        <f t="shared" si="3"/>
        <v>06332</v>
      </c>
      <c r="E202" s="247" t="s">
        <v>1788</v>
      </c>
      <c r="G202" s="122" t="s">
        <v>1787</v>
      </c>
      <c r="I202" s="122" t="s">
        <v>1786</v>
      </c>
    </row>
    <row r="203" spans="1:9">
      <c r="A203" s="251">
        <v>45006</v>
      </c>
      <c r="C203" s="201">
        <v>2714087</v>
      </c>
      <c r="D203" s="122" t="str">
        <f t="shared" si="3"/>
        <v>2714087</v>
      </c>
      <c r="E203" s="247" t="s">
        <v>1785</v>
      </c>
      <c r="G203" s="122" t="s">
        <v>1784</v>
      </c>
      <c r="I203" s="122" t="s">
        <v>1784</v>
      </c>
    </row>
    <row r="204" spans="1:9">
      <c r="A204" s="251">
        <v>16662</v>
      </c>
      <c r="C204" s="201">
        <v>81</v>
      </c>
      <c r="D204" s="122" t="str">
        <f t="shared" si="3"/>
        <v>00081</v>
      </c>
      <c r="E204" s="247" t="s">
        <v>1783</v>
      </c>
      <c r="G204" s="122" t="s">
        <v>1782</v>
      </c>
      <c r="I204" s="122" t="s">
        <v>1781</v>
      </c>
    </row>
    <row r="205" spans="1:9">
      <c r="A205" s="251">
        <v>37666</v>
      </c>
      <c r="C205" s="201">
        <v>710</v>
      </c>
      <c r="D205" s="122" t="str">
        <f t="shared" si="3"/>
        <v>00710</v>
      </c>
      <c r="E205" s="247" t="s">
        <v>1780</v>
      </c>
      <c r="G205" s="122" t="s">
        <v>1779</v>
      </c>
      <c r="I205" s="122" t="s">
        <v>1778</v>
      </c>
    </row>
    <row r="206" spans="1:9">
      <c r="A206" s="251">
        <v>20734</v>
      </c>
      <c r="C206" s="201">
        <v>9345847</v>
      </c>
      <c r="D206" s="122" t="str">
        <f t="shared" si="3"/>
        <v>9345847</v>
      </c>
      <c r="E206" s="247" t="s">
        <v>1777</v>
      </c>
      <c r="G206" s="122" t="s">
        <v>1776</v>
      </c>
      <c r="I206" s="122" t="s">
        <v>1775</v>
      </c>
    </row>
    <row r="207" spans="1:9">
      <c r="A207" s="251">
        <v>30768</v>
      </c>
      <c r="C207" s="201">
        <v>63478</v>
      </c>
      <c r="D207" s="122" t="str">
        <f t="shared" si="3"/>
        <v>63478</v>
      </c>
      <c r="E207" s="247" t="s">
        <v>1774</v>
      </c>
      <c r="G207" s="122" t="s">
        <v>1773</v>
      </c>
      <c r="I207" s="122" t="s">
        <v>1772</v>
      </c>
    </row>
    <row r="208" spans="1:9">
      <c r="A208" s="251">
        <v>54050</v>
      </c>
      <c r="C208" s="201">
        <v>979</v>
      </c>
      <c r="D208" s="122" t="str">
        <f t="shared" si="3"/>
        <v>00979</v>
      </c>
      <c r="E208" s="247" t="s">
        <v>1771</v>
      </c>
      <c r="G208" s="122" t="s">
        <v>1770</v>
      </c>
      <c r="I208" s="122" t="s">
        <v>1770</v>
      </c>
    </row>
    <row r="209" spans="1:9">
      <c r="A209" s="251">
        <v>66079</v>
      </c>
      <c r="C209" s="201">
        <v>385735</v>
      </c>
      <c r="D209" s="122" t="str">
        <f t="shared" si="3"/>
        <v>385735</v>
      </c>
      <c r="E209" s="247" t="s">
        <v>1769</v>
      </c>
      <c r="G209" s="122" t="s">
        <v>1768</v>
      </c>
      <c r="I209" s="122" t="s">
        <v>1767</v>
      </c>
    </row>
    <row r="210" spans="1:9">
      <c r="A210" s="251">
        <v>10935</v>
      </c>
      <c r="C210" s="201">
        <v>5</v>
      </c>
      <c r="D210" s="122" t="str">
        <f t="shared" si="3"/>
        <v>00005</v>
      </c>
      <c r="E210" s="247" t="s">
        <v>1708</v>
      </c>
      <c r="G210" s="122" t="s">
        <v>1766</v>
      </c>
      <c r="I210" s="122" t="s">
        <v>1765</v>
      </c>
    </row>
    <row r="211" spans="1:9">
      <c r="A211" s="251">
        <v>62255</v>
      </c>
      <c r="C211" s="201">
        <v>907961</v>
      </c>
      <c r="D211" s="122" t="str">
        <f t="shared" si="3"/>
        <v>907961</v>
      </c>
      <c r="E211" s="247" t="s">
        <v>1764</v>
      </c>
      <c r="G211" s="122" t="s">
        <v>1763</v>
      </c>
      <c r="I211" s="122" t="s">
        <v>1762</v>
      </c>
    </row>
    <row r="212" spans="1:9">
      <c r="A212" s="251">
        <v>32258</v>
      </c>
      <c r="C212" s="201">
        <v>3</v>
      </c>
      <c r="D212" s="122" t="str">
        <f t="shared" si="3"/>
        <v>00003</v>
      </c>
      <c r="E212" s="247" t="s">
        <v>1761</v>
      </c>
      <c r="G212" s="122" t="s">
        <v>1760</v>
      </c>
      <c r="I212" s="122" t="s">
        <v>1759</v>
      </c>
    </row>
    <row r="213" spans="1:9">
      <c r="A213" s="251">
        <v>40373</v>
      </c>
      <c r="C213" s="201">
        <v>2</v>
      </c>
      <c r="D213" s="122" t="str">
        <f t="shared" si="3"/>
        <v>00002</v>
      </c>
      <c r="E213" s="247" t="s">
        <v>1629</v>
      </c>
      <c r="G213" s="122" t="s">
        <v>1758</v>
      </c>
      <c r="I213" s="122" t="s">
        <v>1758</v>
      </c>
    </row>
    <row r="214" spans="1:9">
      <c r="A214" s="251">
        <v>8914</v>
      </c>
      <c r="C214" s="201">
        <v>7172</v>
      </c>
      <c r="D214" s="122" t="str">
        <f t="shared" si="3"/>
        <v>07172</v>
      </c>
      <c r="E214" s="247" t="s">
        <v>1757</v>
      </c>
      <c r="G214" s="122" t="s">
        <v>1756</v>
      </c>
      <c r="I214" s="122" t="s">
        <v>1755</v>
      </c>
    </row>
    <row r="215" spans="1:9">
      <c r="A215" s="251">
        <v>28639</v>
      </c>
      <c r="C215" s="201">
        <v>21</v>
      </c>
      <c r="D215" s="122" t="str">
        <f t="shared" si="3"/>
        <v>00021</v>
      </c>
      <c r="E215" s="247" t="s">
        <v>1754</v>
      </c>
      <c r="G215" s="122" t="s">
        <v>1753</v>
      </c>
      <c r="I215" s="122" t="s">
        <v>1752</v>
      </c>
    </row>
    <row r="216" spans="1:9">
      <c r="A216" s="251">
        <v>94481</v>
      </c>
      <c r="C216" s="201">
        <v>685622</v>
      </c>
      <c r="D216" s="122" t="str">
        <f t="shared" si="3"/>
        <v>685622</v>
      </c>
      <c r="E216" s="247" t="s">
        <v>1751</v>
      </c>
      <c r="G216" s="122" t="s">
        <v>1750</v>
      </c>
      <c r="I216" s="122" t="s">
        <v>1750</v>
      </c>
    </row>
    <row r="217" spans="1:9">
      <c r="A217" s="251">
        <v>87628</v>
      </c>
      <c r="C217" s="201">
        <v>1218669</v>
      </c>
      <c r="D217" s="122" t="str">
        <f t="shared" si="3"/>
        <v>1218669</v>
      </c>
      <c r="E217" s="247" t="s">
        <v>1749</v>
      </c>
      <c r="G217" s="122" t="s">
        <v>1748</v>
      </c>
      <c r="I217" s="122" t="s">
        <v>1747</v>
      </c>
    </row>
    <row r="218" spans="1:9">
      <c r="A218" s="251">
        <v>90448</v>
      </c>
      <c r="C218" s="201">
        <v>32</v>
      </c>
      <c r="D218" s="122" t="str">
        <f t="shared" si="3"/>
        <v>00032</v>
      </c>
      <c r="E218" s="247" t="s">
        <v>1609</v>
      </c>
      <c r="G218" s="122" t="s">
        <v>1746</v>
      </c>
      <c r="I218" s="122" t="s">
        <v>1745</v>
      </c>
    </row>
    <row r="219" spans="1:9">
      <c r="A219" s="251">
        <v>52032</v>
      </c>
      <c r="C219" s="201">
        <v>219949</v>
      </c>
      <c r="D219" s="122" t="str">
        <f t="shared" si="3"/>
        <v>219949</v>
      </c>
      <c r="E219" s="247" t="s">
        <v>1744</v>
      </c>
      <c r="G219" s="122" t="s">
        <v>1743</v>
      </c>
      <c r="I219" s="122" t="s">
        <v>1742</v>
      </c>
    </row>
    <row r="220" spans="1:9">
      <c r="A220" s="251">
        <v>62149</v>
      </c>
      <c r="C220" s="201">
        <v>8304469</v>
      </c>
      <c r="D220" s="122" t="str">
        <f t="shared" si="3"/>
        <v>8304469</v>
      </c>
      <c r="E220" s="247" t="s">
        <v>1741</v>
      </c>
      <c r="G220" s="122" t="s">
        <v>1740</v>
      </c>
      <c r="I220" s="122" t="s">
        <v>1739</v>
      </c>
    </row>
    <row r="221" spans="1:9">
      <c r="A221" s="251">
        <v>43706</v>
      </c>
      <c r="C221" s="201">
        <v>9800118</v>
      </c>
      <c r="D221" s="122" t="str">
        <f t="shared" si="3"/>
        <v>9800118</v>
      </c>
      <c r="E221" s="247" t="s">
        <v>1738</v>
      </c>
      <c r="G221" s="122" t="s">
        <v>1737</v>
      </c>
      <c r="I221" s="122" t="s">
        <v>1736</v>
      </c>
    </row>
    <row r="222" spans="1:9">
      <c r="A222" s="251">
        <v>51229</v>
      </c>
      <c r="C222" s="201">
        <v>63</v>
      </c>
      <c r="D222" s="122" t="str">
        <f t="shared" si="3"/>
        <v>00063</v>
      </c>
      <c r="E222" s="247" t="s">
        <v>1735</v>
      </c>
      <c r="G222" s="122" t="s">
        <v>1734</v>
      </c>
      <c r="I222" s="122" t="s">
        <v>1734</v>
      </c>
    </row>
    <row r="223" spans="1:9">
      <c r="A223" s="251">
        <v>52548</v>
      </c>
      <c r="C223" s="201">
        <v>70</v>
      </c>
      <c r="D223" s="122" t="str">
        <f t="shared" si="3"/>
        <v>00070</v>
      </c>
      <c r="E223" s="247" t="s">
        <v>1668</v>
      </c>
      <c r="G223" s="122" t="s">
        <v>1733</v>
      </c>
      <c r="I223" s="122" t="s">
        <v>1733</v>
      </c>
    </row>
    <row r="224" spans="1:9">
      <c r="A224" s="251">
        <v>29843</v>
      </c>
      <c r="C224" s="201">
        <v>171110</v>
      </c>
      <c r="D224" s="122" t="str">
        <f t="shared" si="3"/>
        <v>171110</v>
      </c>
      <c r="E224" s="247" t="s">
        <v>1732</v>
      </c>
      <c r="G224" s="122" t="s">
        <v>1731</v>
      </c>
      <c r="I224" s="122" t="s">
        <v>1731</v>
      </c>
    </row>
    <row r="225" spans="1:9">
      <c r="A225" s="251">
        <v>66193</v>
      </c>
      <c r="C225" s="201">
        <v>528581</v>
      </c>
      <c r="D225" s="122" t="str">
        <f t="shared" si="3"/>
        <v>528581</v>
      </c>
      <c r="E225" s="247" t="s">
        <v>1730</v>
      </c>
      <c r="G225" s="122" t="s">
        <v>1729</v>
      </c>
      <c r="I225" s="122" t="s">
        <v>1729</v>
      </c>
    </row>
    <row r="226" spans="1:9">
      <c r="A226" s="251">
        <v>57520</v>
      </c>
      <c r="C226" s="201">
        <v>4717</v>
      </c>
      <c r="D226" s="122" t="str">
        <f t="shared" si="3"/>
        <v>04717</v>
      </c>
      <c r="E226" s="247" t="s">
        <v>1728</v>
      </c>
      <c r="G226" s="122" t="s">
        <v>1727</v>
      </c>
      <c r="I226" s="122" t="s">
        <v>1726</v>
      </c>
    </row>
    <row r="227" spans="1:9">
      <c r="A227" s="251">
        <v>74223</v>
      </c>
      <c r="C227" s="201">
        <v>822353</v>
      </c>
      <c r="D227" s="122" t="str">
        <f t="shared" si="3"/>
        <v>822353</v>
      </c>
      <c r="E227" s="247" t="s">
        <v>1725</v>
      </c>
      <c r="G227" s="122" t="s">
        <v>1724</v>
      </c>
      <c r="I227" s="122" t="s">
        <v>1724</v>
      </c>
    </row>
    <row r="228" spans="1:9">
      <c r="A228" s="251">
        <v>48177</v>
      </c>
      <c r="C228" s="201">
        <v>219</v>
      </c>
      <c r="D228" s="122" t="str">
        <f t="shared" si="3"/>
        <v>00219</v>
      </c>
      <c r="E228" s="247" t="s">
        <v>1723</v>
      </c>
      <c r="G228" s="122" t="s">
        <v>1722</v>
      </c>
      <c r="I228" s="122" t="s">
        <v>1721</v>
      </c>
    </row>
    <row r="229" spans="1:9">
      <c r="A229" s="251">
        <v>98932</v>
      </c>
      <c r="C229" s="201">
        <v>1</v>
      </c>
      <c r="D229" s="122" t="str">
        <f t="shared" si="3"/>
        <v>00001</v>
      </c>
      <c r="E229" s="247" t="s">
        <v>1720</v>
      </c>
      <c r="G229" s="122" t="s">
        <v>1719</v>
      </c>
      <c r="I229" s="122" t="s">
        <v>1718</v>
      </c>
    </row>
    <row r="230" spans="1:9">
      <c r="A230" s="251">
        <v>43025</v>
      </c>
      <c r="C230" s="201">
        <v>7420</v>
      </c>
      <c r="D230" s="122" t="str">
        <f t="shared" si="3"/>
        <v>07420</v>
      </c>
      <c r="E230" s="247" t="s">
        <v>1717</v>
      </c>
      <c r="G230" s="122" t="s">
        <v>1716</v>
      </c>
      <c r="I230" s="122" t="s">
        <v>1716</v>
      </c>
    </row>
    <row r="231" spans="1:9">
      <c r="A231" s="251">
        <v>63605</v>
      </c>
      <c r="C231" s="201">
        <v>7</v>
      </c>
      <c r="D231" s="122" t="str">
        <f t="shared" si="3"/>
        <v>00007</v>
      </c>
      <c r="E231" s="247" t="s">
        <v>1678</v>
      </c>
      <c r="G231" s="122" t="s">
        <v>1715</v>
      </c>
      <c r="I231" s="122" t="s">
        <v>1714</v>
      </c>
    </row>
    <row r="232" spans="1:9">
      <c r="A232" s="251">
        <v>96486</v>
      </c>
      <c r="C232" s="201">
        <v>622</v>
      </c>
      <c r="D232" s="122" t="str">
        <f t="shared" si="3"/>
        <v>00622</v>
      </c>
      <c r="E232" s="247" t="s">
        <v>1713</v>
      </c>
      <c r="G232" s="122" t="s">
        <v>1712</v>
      </c>
      <c r="I232" s="122" t="s">
        <v>1711</v>
      </c>
    </row>
    <row r="233" spans="1:9">
      <c r="A233" s="251">
        <v>28633</v>
      </c>
      <c r="C233" s="201">
        <v>5195</v>
      </c>
      <c r="D233" s="122" t="str">
        <f t="shared" si="3"/>
        <v>05195</v>
      </c>
      <c r="E233" s="247" t="s">
        <v>1710</v>
      </c>
      <c r="G233" s="122" t="s">
        <v>1709</v>
      </c>
      <c r="I233" s="122" t="s">
        <v>1709</v>
      </c>
    </row>
    <row r="234" spans="1:9">
      <c r="A234" s="251">
        <v>85705</v>
      </c>
      <c r="C234" s="201">
        <v>5</v>
      </c>
      <c r="D234" s="122" t="str">
        <f t="shared" si="3"/>
        <v>00005</v>
      </c>
      <c r="E234" s="247" t="s">
        <v>1708</v>
      </c>
      <c r="G234" s="122" t="s">
        <v>1707</v>
      </c>
      <c r="I234" s="122" t="s">
        <v>1707</v>
      </c>
    </row>
    <row r="235" spans="1:9">
      <c r="A235" s="251">
        <v>35095</v>
      </c>
      <c r="C235" s="201">
        <v>52</v>
      </c>
      <c r="D235" s="122" t="str">
        <f t="shared" si="3"/>
        <v>00052</v>
      </c>
      <c r="E235" s="247" t="s">
        <v>1706</v>
      </c>
      <c r="G235" s="122" t="s">
        <v>1705</v>
      </c>
      <c r="I235" s="122" t="s">
        <v>1705</v>
      </c>
    </row>
    <row r="236" spans="1:9">
      <c r="A236" s="251">
        <v>24130</v>
      </c>
      <c r="C236" s="201">
        <v>40</v>
      </c>
      <c r="D236" s="122" t="str">
        <f t="shared" si="3"/>
        <v>00040</v>
      </c>
      <c r="E236" s="247" t="s">
        <v>1704</v>
      </c>
      <c r="G236" s="122" t="s">
        <v>1703</v>
      </c>
      <c r="I236" s="122" t="s">
        <v>1702</v>
      </c>
    </row>
    <row r="237" spans="1:9">
      <c r="A237" s="251">
        <v>48415</v>
      </c>
      <c r="C237" s="201">
        <v>5887</v>
      </c>
      <c r="D237" s="122" t="str">
        <f t="shared" si="3"/>
        <v>05887</v>
      </c>
      <c r="E237" s="247" t="s">
        <v>1701</v>
      </c>
      <c r="G237" s="122" t="s">
        <v>1700</v>
      </c>
      <c r="I237" s="122" t="s">
        <v>1699</v>
      </c>
    </row>
    <row r="238" spans="1:9">
      <c r="A238" s="251">
        <v>8572</v>
      </c>
      <c r="C238" s="201">
        <v>233</v>
      </c>
      <c r="D238" s="122" t="str">
        <f t="shared" si="3"/>
        <v>00233</v>
      </c>
      <c r="E238" s="247" t="s">
        <v>1698</v>
      </c>
      <c r="G238" s="122" t="s">
        <v>1697</v>
      </c>
      <c r="I238" s="122" t="s">
        <v>1696</v>
      </c>
    </row>
    <row r="239" spans="1:9">
      <c r="A239" s="251">
        <v>19829</v>
      </c>
      <c r="C239" s="201">
        <v>973</v>
      </c>
      <c r="D239" s="122" t="str">
        <f t="shared" si="3"/>
        <v>00973</v>
      </c>
      <c r="E239" s="247" t="s">
        <v>1695</v>
      </c>
      <c r="G239" s="122" t="s">
        <v>1694</v>
      </c>
      <c r="I239" s="122" t="s">
        <v>1693</v>
      </c>
    </row>
    <row r="240" spans="1:9">
      <c r="A240" s="251">
        <v>8462</v>
      </c>
      <c r="C240" s="201">
        <v>734247</v>
      </c>
      <c r="D240" s="122" t="str">
        <f t="shared" si="3"/>
        <v>734247</v>
      </c>
      <c r="E240" s="247" t="s">
        <v>1692</v>
      </c>
      <c r="G240" s="122" t="s">
        <v>1691</v>
      </c>
      <c r="I240" s="122" t="s">
        <v>1690</v>
      </c>
    </row>
    <row r="241" spans="1:9">
      <c r="A241" s="251">
        <v>87312</v>
      </c>
      <c r="C241" s="201">
        <v>7557</v>
      </c>
      <c r="D241" s="122" t="str">
        <f t="shared" si="3"/>
        <v>07557</v>
      </c>
      <c r="E241" s="247" t="s">
        <v>1689</v>
      </c>
      <c r="G241" s="122" t="s">
        <v>1688</v>
      </c>
      <c r="I241" s="122" t="s">
        <v>1687</v>
      </c>
    </row>
    <row r="242" spans="1:9">
      <c r="A242" s="251">
        <v>53023</v>
      </c>
      <c r="C242" s="201">
        <v>96586</v>
      </c>
      <c r="D242" s="122" t="str">
        <f t="shared" si="3"/>
        <v>96586</v>
      </c>
      <c r="E242" s="247" t="s">
        <v>1686</v>
      </c>
      <c r="G242" s="122" t="s">
        <v>1685</v>
      </c>
      <c r="I242" s="122" t="s">
        <v>1685</v>
      </c>
    </row>
    <row r="243" spans="1:9">
      <c r="A243" s="251">
        <v>21531</v>
      </c>
      <c r="C243" s="201">
        <v>28</v>
      </c>
      <c r="D243" s="122" t="str">
        <f t="shared" si="3"/>
        <v>00028</v>
      </c>
      <c r="E243" s="247" t="s">
        <v>1684</v>
      </c>
      <c r="G243" s="122" t="s">
        <v>1683</v>
      </c>
      <c r="I243" s="122" t="s">
        <v>1682</v>
      </c>
    </row>
    <row r="244" spans="1:9">
      <c r="A244" s="251">
        <v>40831</v>
      </c>
      <c r="C244" s="201">
        <v>881296</v>
      </c>
      <c r="D244" s="122" t="str">
        <f t="shared" si="3"/>
        <v>881296</v>
      </c>
      <c r="E244" s="247" t="s">
        <v>1681</v>
      </c>
      <c r="G244" s="122" t="s">
        <v>1680</v>
      </c>
      <c r="I244" s="122" t="s">
        <v>1679</v>
      </c>
    </row>
    <row r="245" spans="1:9">
      <c r="A245" s="251">
        <v>22169</v>
      </c>
      <c r="C245" s="201">
        <v>7</v>
      </c>
      <c r="D245" s="122" t="str">
        <f t="shared" si="3"/>
        <v>00007</v>
      </c>
      <c r="E245" s="247" t="s">
        <v>1678</v>
      </c>
      <c r="G245" s="122" t="s">
        <v>1677</v>
      </c>
      <c r="I245" s="122" t="s">
        <v>1677</v>
      </c>
    </row>
    <row r="246" spans="1:9">
      <c r="A246" s="251">
        <v>73960</v>
      </c>
      <c r="C246" s="201">
        <v>447</v>
      </c>
      <c r="D246" s="122" t="str">
        <f t="shared" si="3"/>
        <v>00447</v>
      </c>
      <c r="E246" s="247" t="s">
        <v>1676</v>
      </c>
      <c r="G246" s="122" t="s">
        <v>1675</v>
      </c>
      <c r="I246" s="122" t="s">
        <v>1674</v>
      </c>
    </row>
    <row r="247" spans="1:9">
      <c r="A247" s="251">
        <v>83878</v>
      </c>
      <c r="C247" s="201">
        <v>18</v>
      </c>
      <c r="D247" s="122" t="str">
        <f t="shared" si="3"/>
        <v>00018</v>
      </c>
      <c r="E247" s="247" t="s">
        <v>1673</v>
      </c>
      <c r="G247" s="122" t="s">
        <v>1672</v>
      </c>
      <c r="I247" s="122" t="s">
        <v>1671</v>
      </c>
    </row>
    <row r="248" spans="1:9">
      <c r="A248" s="251">
        <v>16267</v>
      </c>
      <c r="C248" s="201">
        <v>422267</v>
      </c>
      <c r="D248" s="122" t="str">
        <f t="shared" si="3"/>
        <v>422267</v>
      </c>
      <c r="E248" s="247" t="s">
        <v>1670</v>
      </c>
      <c r="G248" s="122" t="s">
        <v>1669</v>
      </c>
      <c r="I248" s="122" t="s">
        <v>1669</v>
      </c>
    </row>
    <row r="249" spans="1:9">
      <c r="A249" s="251">
        <v>29952</v>
      </c>
      <c r="C249" s="201">
        <v>70</v>
      </c>
      <c r="D249" s="122" t="str">
        <f t="shared" si="3"/>
        <v>00070</v>
      </c>
      <c r="E249" s="247" t="s">
        <v>1668</v>
      </c>
      <c r="G249" s="122" t="s">
        <v>1667</v>
      </c>
      <c r="I249" s="122" t="s">
        <v>1666</v>
      </c>
    </row>
    <row r="250" spans="1:9">
      <c r="A250" s="251">
        <v>67753</v>
      </c>
      <c r="C250" s="201">
        <v>609399</v>
      </c>
      <c r="D250" s="122" t="str">
        <f t="shared" si="3"/>
        <v>609399</v>
      </c>
      <c r="E250" s="247" t="s">
        <v>1665</v>
      </c>
      <c r="G250" s="122" t="s">
        <v>1664</v>
      </c>
      <c r="I250" s="122" t="s">
        <v>1663</v>
      </c>
    </row>
    <row r="251" spans="1:9">
      <c r="A251" s="251">
        <v>25039</v>
      </c>
      <c r="C251" s="201">
        <v>74</v>
      </c>
      <c r="D251" s="122" t="str">
        <f t="shared" si="3"/>
        <v>00074</v>
      </c>
      <c r="E251" s="247" t="s">
        <v>1662</v>
      </c>
      <c r="G251" s="122" t="s">
        <v>1661</v>
      </c>
      <c r="I251" s="122" t="s">
        <v>1660</v>
      </c>
    </row>
    <row r="252" spans="1:9">
      <c r="A252" s="251">
        <v>51521</v>
      </c>
      <c r="C252" s="201">
        <v>362</v>
      </c>
      <c r="D252" s="122" t="str">
        <f t="shared" si="3"/>
        <v>00362</v>
      </c>
      <c r="E252" s="247" t="s">
        <v>1659</v>
      </c>
      <c r="G252" s="122" t="s">
        <v>1658</v>
      </c>
      <c r="I252" s="122" t="s">
        <v>1657</v>
      </c>
    </row>
    <row r="253" spans="1:9">
      <c r="A253" s="251">
        <v>9697</v>
      </c>
      <c r="C253" s="201">
        <v>243</v>
      </c>
      <c r="D253" s="122" t="str">
        <f t="shared" si="3"/>
        <v>00243</v>
      </c>
      <c r="E253" s="247" t="s">
        <v>1656</v>
      </c>
      <c r="G253" s="122" t="s">
        <v>1655</v>
      </c>
      <c r="I253" s="122" t="s">
        <v>1654</v>
      </c>
    </row>
    <row r="254" spans="1:9">
      <c r="A254" s="251">
        <v>32759</v>
      </c>
      <c r="C254" s="201">
        <v>54</v>
      </c>
      <c r="D254" s="122" t="str">
        <f t="shared" si="3"/>
        <v>00054</v>
      </c>
      <c r="E254" s="247" t="s">
        <v>1653</v>
      </c>
      <c r="G254" s="122" t="s">
        <v>1652</v>
      </c>
      <c r="I254" s="122" t="s">
        <v>1651</v>
      </c>
    </row>
    <row r="255" spans="1:9">
      <c r="A255" s="251">
        <v>47259</v>
      </c>
      <c r="C255" s="201">
        <v>26377</v>
      </c>
      <c r="D255" s="122" t="str">
        <f t="shared" si="3"/>
        <v>26377</v>
      </c>
      <c r="E255" s="247" t="s">
        <v>1650</v>
      </c>
      <c r="G255" s="122" t="s">
        <v>1649</v>
      </c>
      <c r="I255" s="122" t="s">
        <v>1648</v>
      </c>
    </row>
    <row r="256" spans="1:9">
      <c r="A256" s="251">
        <v>34338</v>
      </c>
      <c r="C256" s="201">
        <v>4672</v>
      </c>
      <c r="D256" s="122" t="str">
        <f t="shared" si="3"/>
        <v>04672</v>
      </c>
      <c r="E256" s="247" t="s">
        <v>1647</v>
      </c>
      <c r="G256" s="122" t="s">
        <v>1646</v>
      </c>
      <c r="I256" s="122" t="s">
        <v>1646</v>
      </c>
    </row>
    <row r="257" spans="1:9">
      <c r="A257" s="251">
        <v>32975</v>
      </c>
      <c r="C257" s="201">
        <v>681</v>
      </c>
      <c r="D257" s="122" t="str">
        <f t="shared" si="3"/>
        <v>00681</v>
      </c>
      <c r="E257" s="247" t="s">
        <v>1645</v>
      </c>
      <c r="G257" s="122" t="s">
        <v>1644</v>
      </c>
      <c r="I257" s="122" t="s">
        <v>1644</v>
      </c>
    </row>
    <row r="258" spans="1:9">
      <c r="A258" s="251">
        <v>33724</v>
      </c>
      <c r="C258" s="201">
        <v>959</v>
      </c>
      <c r="D258" s="122" t="str">
        <f t="shared" si="3"/>
        <v>00959</v>
      </c>
      <c r="E258" s="247" t="s">
        <v>1643</v>
      </c>
      <c r="G258" s="122" t="s">
        <v>1642</v>
      </c>
      <c r="I258" s="122" t="s">
        <v>1641</v>
      </c>
    </row>
    <row r="259" spans="1:9">
      <c r="A259" s="251">
        <v>20204</v>
      </c>
      <c r="C259" s="201">
        <v>190950</v>
      </c>
      <c r="D259" s="122" t="str">
        <f t="shared" ref="D259:D277" si="4">TEXT(C259,"00000")</f>
        <v>190950</v>
      </c>
      <c r="E259" s="247" t="s">
        <v>1640</v>
      </c>
      <c r="G259" s="122" t="s">
        <v>1639</v>
      </c>
      <c r="I259" s="122" t="s">
        <v>1638</v>
      </c>
    </row>
    <row r="260" spans="1:9">
      <c r="A260" s="251">
        <v>73910</v>
      </c>
      <c r="C260" s="201">
        <v>123</v>
      </c>
      <c r="D260" s="122" t="str">
        <f t="shared" si="4"/>
        <v>00123</v>
      </c>
      <c r="E260" s="247" t="s">
        <v>1637</v>
      </c>
      <c r="G260" s="122" t="s">
        <v>1636</v>
      </c>
      <c r="I260" s="122" t="s">
        <v>1635</v>
      </c>
    </row>
    <row r="261" spans="1:9">
      <c r="A261" s="251">
        <v>83670</v>
      </c>
      <c r="C261" s="201">
        <v>441220</v>
      </c>
      <c r="D261" s="122" t="str">
        <f t="shared" si="4"/>
        <v>441220</v>
      </c>
      <c r="E261" s="247" t="s">
        <v>1634</v>
      </c>
      <c r="G261" s="122" t="s">
        <v>1633</v>
      </c>
      <c r="I261" s="122" t="s">
        <v>1632</v>
      </c>
    </row>
    <row r="262" spans="1:9">
      <c r="A262" s="251">
        <v>67881</v>
      </c>
      <c r="C262" s="201">
        <v>4264</v>
      </c>
      <c r="D262" s="122" t="str">
        <f t="shared" si="4"/>
        <v>04264</v>
      </c>
      <c r="E262" s="247" t="s">
        <v>1631</v>
      </c>
      <c r="G262" s="122" t="s">
        <v>1630</v>
      </c>
      <c r="I262" s="122" t="s">
        <v>1630</v>
      </c>
    </row>
    <row r="263" spans="1:9">
      <c r="A263" s="251">
        <v>59311</v>
      </c>
      <c r="C263" s="201">
        <v>2</v>
      </c>
      <c r="D263" s="122" t="str">
        <f t="shared" si="4"/>
        <v>00002</v>
      </c>
      <c r="E263" s="247" t="s">
        <v>1629</v>
      </c>
      <c r="G263" s="122" t="s">
        <v>1628</v>
      </c>
      <c r="I263" s="122" t="s">
        <v>1628</v>
      </c>
    </row>
    <row r="264" spans="1:9">
      <c r="A264" s="251">
        <v>77156</v>
      </c>
      <c r="C264" s="201">
        <v>9256</v>
      </c>
      <c r="D264" s="122" t="str">
        <f t="shared" si="4"/>
        <v>09256</v>
      </c>
      <c r="E264" s="247" t="s">
        <v>1627</v>
      </c>
      <c r="G264" s="122" t="s">
        <v>1626</v>
      </c>
      <c r="I264" s="122" t="s">
        <v>1625</v>
      </c>
    </row>
    <row r="265" spans="1:9">
      <c r="A265" s="251">
        <v>68273</v>
      </c>
      <c r="C265" s="201">
        <v>22832</v>
      </c>
      <c r="D265" s="122" t="str">
        <f t="shared" si="4"/>
        <v>22832</v>
      </c>
      <c r="E265" s="247" t="s">
        <v>1624</v>
      </c>
      <c r="G265" s="122" t="s">
        <v>1623</v>
      </c>
      <c r="I265" s="122" t="s">
        <v>1622</v>
      </c>
    </row>
    <row r="266" spans="1:9">
      <c r="A266" s="251">
        <v>68240</v>
      </c>
      <c r="C266" s="201">
        <v>4446</v>
      </c>
      <c r="D266" s="122" t="str">
        <f t="shared" si="4"/>
        <v>04446</v>
      </c>
      <c r="E266" s="247" t="s">
        <v>1621</v>
      </c>
      <c r="G266" s="122" t="s">
        <v>1620</v>
      </c>
      <c r="I266" s="122" t="s">
        <v>1620</v>
      </c>
    </row>
    <row r="267" spans="1:9">
      <c r="A267" s="251">
        <v>5159</v>
      </c>
      <c r="C267" s="201">
        <v>400841</v>
      </c>
      <c r="D267" s="122" t="str">
        <f t="shared" si="4"/>
        <v>400841</v>
      </c>
      <c r="E267" s="247" t="s">
        <v>1619</v>
      </c>
      <c r="G267" s="122" t="s">
        <v>1618</v>
      </c>
      <c r="I267" s="122" t="s">
        <v>1617</v>
      </c>
    </row>
    <row r="268" spans="1:9">
      <c r="A268" s="251">
        <v>5991</v>
      </c>
      <c r="C268" s="201">
        <v>793646</v>
      </c>
      <c r="D268" s="122" t="str">
        <f t="shared" si="4"/>
        <v>793646</v>
      </c>
      <c r="E268" s="247" t="s">
        <v>1616</v>
      </c>
      <c r="G268" s="122" t="s">
        <v>1615</v>
      </c>
      <c r="I268" s="122" t="s">
        <v>1614</v>
      </c>
    </row>
    <row r="269" spans="1:9">
      <c r="A269" s="251">
        <v>56393</v>
      </c>
      <c r="C269" s="201">
        <v>5050584</v>
      </c>
      <c r="D269" s="122" t="str">
        <f t="shared" si="4"/>
        <v>5050584</v>
      </c>
      <c r="E269" s="247" t="s">
        <v>1613</v>
      </c>
      <c r="G269" s="122" t="s">
        <v>1612</v>
      </c>
      <c r="I269" s="122" t="s">
        <v>1612</v>
      </c>
    </row>
    <row r="270" spans="1:9">
      <c r="A270" s="251">
        <v>39198</v>
      </c>
      <c r="C270" s="201">
        <v>2833054</v>
      </c>
      <c r="D270" s="122" t="str">
        <f t="shared" si="4"/>
        <v>2833054</v>
      </c>
      <c r="E270" s="247" t="s">
        <v>1611</v>
      </c>
      <c r="G270" s="122" t="s">
        <v>1610</v>
      </c>
      <c r="I270" s="122" t="s">
        <v>1610</v>
      </c>
    </row>
    <row r="271" spans="1:9">
      <c r="A271" s="251">
        <v>76635</v>
      </c>
      <c r="C271" s="201">
        <v>32</v>
      </c>
      <c r="D271" s="122" t="str">
        <f t="shared" si="4"/>
        <v>00032</v>
      </c>
      <c r="E271" s="247" t="s">
        <v>1609</v>
      </c>
      <c r="G271" s="122" t="s">
        <v>1608</v>
      </c>
      <c r="I271" s="122" t="s">
        <v>1607</v>
      </c>
    </row>
    <row r="272" spans="1:9">
      <c r="A272" s="251">
        <v>32202</v>
      </c>
      <c r="C272" s="201">
        <v>572</v>
      </c>
      <c r="D272" s="122" t="str">
        <f t="shared" si="4"/>
        <v>00572</v>
      </c>
      <c r="E272" s="247" t="s">
        <v>1606</v>
      </c>
      <c r="G272" s="122" t="s">
        <v>1605</v>
      </c>
      <c r="I272" s="122" t="s">
        <v>1604</v>
      </c>
    </row>
    <row r="273" spans="1:9">
      <c r="A273" s="251">
        <v>92878</v>
      </c>
      <c r="C273" s="201">
        <v>63044</v>
      </c>
      <c r="D273" s="122" t="str">
        <f t="shared" si="4"/>
        <v>63044</v>
      </c>
      <c r="E273" s="247" t="s">
        <v>1603</v>
      </c>
      <c r="G273" s="122" t="s">
        <v>1602</v>
      </c>
      <c r="I273" s="122" t="s">
        <v>1601</v>
      </c>
    </row>
    <row r="274" spans="1:9">
      <c r="A274" s="251">
        <v>30947</v>
      </c>
      <c r="C274" s="201">
        <v>94</v>
      </c>
      <c r="D274" s="122" t="str">
        <f t="shared" si="4"/>
        <v>00094</v>
      </c>
      <c r="E274" s="247" t="s">
        <v>1600</v>
      </c>
      <c r="G274" s="122" t="s">
        <v>1599</v>
      </c>
      <c r="I274" s="122" t="s">
        <v>1599</v>
      </c>
    </row>
    <row r="275" spans="1:9">
      <c r="A275" s="251">
        <v>31194</v>
      </c>
      <c r="C275" s="201">
        <v>822383</v>
      </c>
      <c r="D275" s="122" t="str">
        <f t="shared" si="4"/>
        <v>822383</v>
      </c>
      <c r="E275" s="247" t="s">
        <v>1598</v>
      </c>
      <c r="G275" s="122" t="s">
        <v>1597</v>
      </c>
      <c r="I275" s="122" t="s">
        <v>1596</v>
      </c>
    </row>
    <row r="276" spans="1:9">
      <c r="A276" s="251">
        <v>23032</v>
      </c>
      <c r="C276" s="201">
        <v>993799</v>
      </c>
      <c r="D276" s="122" t="str">
        <f t="shared" si="4"/>
        <v>993799</v>
      </c>
      <c r="E276" s="247" t="s">
        <v>1595</v>
      </c>
      <c r="G276" s="122" t="s">
        <v>1594</v>
      </c>
      <c r="I276" s="122" t="s">
        <v>1593</v>
      </c>
    </row>
    <row r="277" spans="1:9">
      <c r="A277" s="251">
        <v>53562</v>
      </c>
      <c r="C277" s="201">
        <v>155396</v>
      </c>
      <c r="D277" s="122" t="str">
        <f t="shared" si="4"/>
        <v>155396</v>
      </c>
      <c r="E277" s="247" t="s">
        <v>1592</v>
      </c>
      <c r="G277" s="122" t="s">
        <v>1591</v>
      </c>
      <c r="I277" s="122" t="s">
        <v>1591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27"/>
  <sheetViews>
    <sheetView zoomScale="85" zoomScaleNormal="85" zoomScalePageLayoutView="175" workbookViewId="0">
      <selection activeCell="C28" sqref="C28:C29"/>
    </sheetView>
  </sheetViews>
  <sheetFormatPr defaultColWidth="9.140625" defaultRowHeight="15"/>
  <cols>
    <col min="1" max="1" width="18.85546875" style="122" bestFit="1" customWidth="1"/>
    <col min="2" max="2" width="15.28515625" style="122" customWidth="1"/>
    <col min="3" max="3" width="16.28515625" style="122" customWidth="1"/>
    <col min="4" max="4" width="23.42578125" style="122" customWidth="1"/>
    <col min="5" max="5" width="18.42578125" style="122" customWidth="1"/>
    <col min="6" max="6" width="9.140625" style="122" customWidth="1"/>
    <col min="7" max="7" width="11.7109375" style="122" bestFit="1" customWidth="1"/>
    <col min="8" max="8" width="11.7109375" style="122" customWidth="1"/>
    <col min="9" max="9" width="14.28515625" style="122" bestFit="1" customWidth="1"/>
    <col min="10" max="10" width="84.42578125" style="122" bestFit="1" customWidth="1"/>
    <col min="11" max="16384" width="9.140625" style="122"/>
  </cols>
  <sheetData>
    <row r="1" spans="1:10">
      <c r="A1" s="124" t="s">
        <v>1394</v>
      </c>
      <c r="C1" s="124"/>
      <c r="D1" s="124" t="s">
        <v>2373</v>
      </c>
      <c r="F1" s="124" t="s">
        <v>2372</v>
      </c>
      <c r="I1" s="124" t="s">
        <v>2371</v>
      </c>
    </row>
    <row r="2" spans="1:10">
      <c r="A2" s="42" t="s">
        <v>2370</v>
      </c>
      <c r="B2" s="122" t="str">
        <f>PROPER(A2)</f>
        <v>O'Brien, Donna</v>
      </c>
      <c r="D2" s="122" t="s">
        <v>2369</v>
      </c>
      <c r="E2" s="122" t="str">
        <f>TRIM(D2)</f>
        <v>Baker, Mark</v>
      </c>
      <c r="F2" s="122" t="s">
        <v>2368</v>
      </c>
      <c r="I2" s="122" t="s">
        <v>2367</v>
      </c>
      <c r="J2" s="122" t="s">
        <v>2366</v>
      </c>
    </row>
    <row r="3" spans="1:10">
      <c r="A3" s="42" t="s">
        <v>2365</v>
      </c>
      <c r="B3" s="122" t="str">
        <f t="shared" ref="B3:B20" si="0">PROPER(A3)</f>
        <v>Carson, Bob</v>
      </c>
      <c r="D3" s="122" t="s">
        <v>2364</v>
      </c>
      <c r="E3" s="122" t="str">
        <f t="shared" ref="E3:E21" si="1">TRIM(D3)</f>
        <v>Hansen, Sheila</v>
      </c>
      <c r="F3" s="122" t="s">
        <v>2363</v>
      </c>
      <c r="I3" s="122" t="s">
        <v>2362</v>
      </c>
      <c r="J3" s="122" t="s">
        <v>2361</v>
      </c>
    </row>
    <row r="4" spans="1:10">
      <c r="A4" s="42" t="s">
        <v>2360</v>
      </c>
      <c r="B4" s="122" t="str">
        <f t="shared" si="0"/>
        <v>Mcdonald, Mark</v>
      </c>
      <c r="D4" s="122" t="s">
        <v>2359</v>
      </c>
      <c r="E4" s="122" t="str">
        <f t="shared" si="1"/>
        <v>Fier, Marilyn</v>
      </c>
      <c r="F4" s="122" t="s">
        <v>2358</v>
      </c>
      <c r="I4" s="122" t="s">
        <v>2357</v>
      </c>
      <c r="J4" s="122" t="s">
        <v>2356</v>
      </c>
    </row>
    <row r="5" spans="1:10">
      <c r="A5" s="42" t="s">
        <v>2355</v>
      </c>
      <c r="B5" s="122" t="str">
        <f t="shared" si="0"/>
        <v>Baker, Mark</v>
      </c>
      <c r="D5" s="122" t="s">
        <v>2354</v>
      </c>
      <c r="E5" s="122" t="str">
        <f t="shared" si="1"/>
        <v>Morris, Mark</v>
      </c>
      <c r="F5" s="122" t="s">
        <v>2353</v>
      </c>
    </row>
    <row r="6" spans="1:10">
      <c r="A6" s="42" t="s">
        <v>2352</v>
      </c>
      <c r="B6" s="122" t="str">
        <f t="shared" si="0"/>
        <v>Hansen, Sheila</v>
      </c>
      <c r="D6" s="122" t="s">
        <v>2351</v>
      </c>
      <c r="E6" s="122" t="str">
        <f t="shared" si="1"/>
        <v>Björling, Jussi</v>
      </c>
      <c r="F6" s="122" t="s">
        <v>2350</v>
      </c>
      <c r="I6" s="122" t="s">
        <v>2349</v>
      </c>
      <c r="J6" s="122" t="s">
        <v>2348</v>
      </c>
    </row>
    <row r="7" spans="1:10">
      <c r="A7" s="42" t="s">
        <v>2347</v>
      </c>
      <c r="B7" s="122" t="str">
        <f t="shared" si="0"/>
        <v>Fier, Marilyn</v>
      </c>
      <c r="D7" s="122" t="s">
        <v>2346</v>
      </c>
      <c r="E7" s="122" t="str">
        <f t="shared" si="1"/>
        <v>Long, Ryan</v>
      </c>
      <c r="F7" s="122" t="s">
        <v>2345</v>
      </c>
      <c r="I7" s="122" t="s">
        <v>2344</v>
      </c>
      <c r="J7" s="122" t="s">
        <v>2343</v>
      </c>
    </row>
    <row r="8" spans="1:10">
      <c r="A8" s="42" t="s">
        <v>2342</v>
      </c>
      <c r="B8" s="122" t="str">
        <f t="shared" si="0"/>
        <v>Hendricks, Eric</v>
      </c>
      <c r="D8" s="122" t="s">
        <v>2341</v>
      </c>
      <c r="E8" s="122" t="str">
        <f t="shared" si="1"/>
        <v>Fitzgerald, Jackie</v>
      </c>
      <c r="F8" s="122" t="s">
        <v>2340</v>
      </c>
      <c r="I8" s="122" t="s">
        <v>2339</v>
      </c>
      <c r="J8" s="122" t="s">
        <v>2338</v>
      </c>
    </row>
    <row r="9" spans="1:10">
      <c r="A9" s="42" t="s">
        <v>2337</v>
      </c>
      <c r="B9" s="122" t="str">
        <f t="shared" si="0"/>
        <v>Long, Ryan</v>
      </c>
      <c r="D9" s="122" t="s">
        <v>2336</v>
      </c>
      <c r="E9" s="122" t="str">
        <f t="shared" si="1"/>
        <v>Muti, Riccardo</v>
      </c>
      <c r="F9" s="122" t="s">
        <v>2335</v>
      </c>
    </row>
    <row r="10" spans="1:10">
      <c r="A10" s="42" t="s">
        <v>2334</v>
      </c>
      <c r="B10" s="122" t="str">
        <f t="shared" si="0"/>
        <v>Fitzgerald, Jackie</v>
      </c>
      <c r="D10" s="122" t="s">
        <v>2333</v>
      </c>
      <c r="E10" s="122" t="str">
        <f t="shared" si="1"/>
        <v>Tidwell, Liesl</v>
      </c>
      <c r="F10" s="122" t="s">
        <v>2332</v>
      </c>
      <c r="I10" s="122" t="s">
        <v>2331</v>
      </c>
      <c r="J10" s="122" t="s">
        <v>2330</v>
      </c>
    </row>
    <row r="11" spans="1:10">
      <c r="A11" s="42" t="s">
        <v>2329</v>
      </c>
      <c r="B11" s="122" t="str">
        <f t="shared" si="0"/>
        <v>Tidwell, Liesl</v>
      </c>
      <c r="D11" s="122" t="s">
        <v>2328</v>
      </c>
      <c r="E11" s="122" t="str">
        <f t="shared" si="1"/>
        <v>Eaton, Jeffrey</v>
      </c>
      <c r="F11" s="122" t="s">
        <v>2327</v>
      </c>
      <c r="I11" s="122" t="s">
        <v>2326</v>
      </c>
      <c r="J11" s="122" t="s">
        <v>2325</v>
      </c>
    </row>
    <row r="12" spans="1:10">
      <c r="A12" s="42" t="s">
        <v>2324</v>
      </c>
      <c r="B12" s="122" t="str">
        <f t="shared" si="0"/>
        <v>Eaton, Jeffrey</v>
      </c>
      <c r="D12" s="122" t="s">
        <v>2323</v>
      </c>
      <c r="E12" s="122" t="str">
        <f t="shared" si="1"/>
        <v>Chambers, Karen</v>
      </c>
      <c r="F12" s="122" t="s">
        <v>2322</v>
      </c>
      <c r="I12" s="122" t="s">
        <v>2321</v>
      </c>
      <c r="J12" s="122" t="s">
        <v>2320</v>
      </c>
    </row>
    <row r="13" spans="1:10">
      <c r="A13" s="42" t="s">
        <v>2319</v>
      </c>
      <c r="B13" s="122" t="str">
        <f t="shared" si="0"/>
        <v>Chambers, Karen</v>
      </c>
      <c r="D13" s="122" t="s">
        <v>2318</v>
      </c>
      <c r="E13" s="122" t="str">
        <f t="shared" si="1"/>
        <v>Perez, Barney</v>
      </c>
      <c r="F13" s="122" t="s">
        <v>2317</v>
      </c>
    </row>
    <row r="14" spans="1:10">
      <c r="A14" s="42" t="s">
        <v>2316</v>
      </c>
      <c r="B14" s="122" t="str">
        <f t="shared" si="0"/>
        <v>Perez, Barney</v>
      </c>
      <c r="D14" s="122" t="s">
        <v>2315</v>
      </c>
      <c r="E14" s="122" t="str">
        <f t="shared" si="1"/>
        <v>Watanuki, Cathy</v>
      </c>
      <c r="F14" s="122" t="s">
        <v>2314</v>
      </c>
      <c r="I14" s="122" t="s">
        <v>2313</v>
      </c>
      <c r="J14" s="122" t="s">
        <v>2312</v>
      </c>
    </row>
    <row r="15" spans="1:10">
      <c r="A15" s="42" t="s">
        <v>2311</v>
      </c>
      <c r="B15" s="122" t="str">
        <f t="shared" si="0"/>
        <v>Watanuki, Cathy</v>
      </c>
      <c r="D15" s="122" t="s">
        <v>2310</v>
      </c>
      <c r="E15" s="122" t="str">
        <f t="shared" si="1"/>
        <v>Porter, George</v>
      </c>
      <c r="F15" s="122" t="s">
        <v>2309</v>
      </c>
      <c r="I15" s="122" t="s">
        <v>2308</v>
      </c>
      <c r="J15" s="122" t="s">
        <v>2307</v>
      </c>
    </row>
    <row r="16" spans="1:10">
      <c r="A16" s="42" t="s">
        <v>2306</v>
      </c>
      <c r="B16" s="122" t="str">
        <f t="shared" si="0"/>
        <v>Priem, George</v>
      </c>
      <c r="D16" s="122" t="s">
        <v>2305</v>
      </c>
      <c r="E16" s="122" t="str">
        <f t="shared" si="1"/>
        <v>Wagner, Max</v>
      </c>
      <c r="F16" s="122" t="s">
        <v>2304</v>
      </c>
      <c r="I16" s="122" t="s">
        <v>2303</v>
      </c>
      <c r="J16" s="122" t="s">
        <v>2302</v>
      </c>
    </row>
    <row r="17" spans="1:10">
      <c r="A17" s="42" t="s">
        <v>2301</v>
      </c>
      <c r="B17" s="122" t="str">
        <f t="shared" si="0"/>
        <v>Wagner, Max</v>
      </c>
      <c r="D17" s="122" t="s">
        <v>2300</v>
      </c>
      <c r="E17" s="122" t="str">
        <f t="shared" si="1"/>
        <v>Konopka, Robert</v>
      </c>
      <c r="F17" s="122" t="s">
        <v>2299</v>
      </c>
    </row>
    <row r="18" spans="1:10">
      <c r="A18" s="42" t="s">
        <v>2298</v>
      </c>
      <c r="B18" s="122" t="str">
        <f t="shared" si="0"/>
        <v>Konopka, Robert</v>
      </c>
      <c r="D18" s="122" t="s">
        <v>2297</v>
      </c>
      <c r="E18" s="122" t="str">
        <f t="shared" si="1"/>
        <v>Nichols, Don</v>
      </c>
      <c r="F18" s="122" t="s">
        <v>2296</v>
      </c>
      <c r="I18" s="122" t="s">
        <v>2295</v>
      </c>
      <c r="J18" s="122" t="s">
        <v>2294</v>
      </c>
    </row>
    <row r="19" spans="1:10">
      <c r="A19" s="42" t="s">
        <v>2293</v>
      </c>
      <c r="B19" s="122" t="str">
        <f t="shared" si="0"/>
        <v>Nichols, Don</v>
      </c>
      <c r="D19" s="122" t="s">
        <v>2292</v>
      </c>
      <c r="E19" s="122" t="str">
        <f t="shared" si="1"/>
        <v>Harvey, Harlon</v>
      </c>
      <c r="F19" s="122" t="s">
        <v>2291</v>
      </c>
      <c r="I19" s="122" t="s">
        <v>2290</v>
      </c>
      <c r="J19" s="122" t="s">
        <v>2289</v>
      </c>
    </row>
    <row r="20" spans="1:10">
      <c r="A20" s="42" t="s">
        <v>2288</v>
      </c>
      <c r="B20" s="122" t="str">
        <f t="shared" si="0"/>
        <v>Harvey, Harlon</v>
      </c>
      <c r="E20" s="122" t="str">
        <f t="shared" si="1"/>
        <v/>
      </c>
      <c r="F20" s="122" t="s">
        <v>2287</v>
      </c>
      <c r="I20" s="122" t="s">
        <v>2286</v>
      </c>
      <c r="J20" s="122" t="s">
        <v>2285</v>
      </c>
    </row>
    <row r="21" spans="1:10">
      <c r="E21" s="122" t="str">
        <f t="shared" si="1"/>
        <v/>
      </c>
      <c r="F21" s="122" t="s">
        <v>2284</v>
      </c>
    </row>
    <row r="22" spans="1:10">
      <c r="I22" s="122" t="s">
        <v>2283</v>
      </c>
      <c r="J22" s="122" t="s">
        <v>2282</v>
      </c>
    </row>
    <row r="23" spans="1:10">
      <c r="I23" s="122" t="s">
        <v>2281</v>
      </c>
      <c r="J23" s="122" t="s">
        <v>2280</v>
      </c>
    </row>
    <row r="25" spans="1:10">
      <c r="I25" s="122" t="s">
        <v>2279</v>
      </c>
      <c r="J25" s="122" t="s">
        <v>2278</v>
      </c>
    </row>
    <row r="26" spans="1:10">
      <c r="I26" s="122" t="s">
        <v>2277</v>
      </c>
      <c r="J26" s="122" t="s">
        <v>2276</v>
      </c>
    </row>
    <row r="27" spans="1:10">
      <c r="I27" s="122" t="s">
        <v>2275</v>
      </c>
      <c r="J27" s="122" t="s">
        <v>2274</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742"/>
  <sheetViews>
    <sheetView topLeftCell="G1" zoomScale="145" zoomScaleNormal="145" zoomScalePageLayoutView="160" workbookViewId="0">
      <selection activeCell="N10" activeCellId="3" sqref="K4 M4 L8 N10"/>
    </sheetView>
  </sheetViews>
  <sheetFormatPr defaultColWidth="9.140625" defaultRowHeight="15"/>
  <cols>
    <col min="1" max="1" width="24.140625" style="42" customWidth="1"/>
    <col min="2" max="2" width="23.140625" style="42" customWidth="1"/>
    <col min="3" max="3" width="9.140625" style="54" customWidth="1"/>
    <col min="4" max="4" width="9.7109375" style="39" bestFit="1" customWidth="1"/>
    <col min="5" max="5" width="12.140625" style="81" customWidth="1"/>
    <col min="6" max="6" width="10.28515625" style="39" customWidth="1"/>
    <col min="7" max="7" width="10.42578125" style="70" customWidth="1"/>
    <col min="8" max="8" width="10" style="39" bestFit="1" customWidth="1"/>
    <col min="9" max="16384" width="9.140625" style="122"/>
  </cols>
  <sheetData>
    <row r="1" spans="1:14">
      <c r="A1" s="175" t="s">
        <v>231</v>
      </c>
      <c r="B1" s="253" t="s">
        <v>229</v>
      </c>
      <c r="C1" s="27" t="s">
        <v>230</v>
      </c>
      <c r="D1" s="28" t="s">
        <v>234</v>
      </c>
      <c r="E1" s="31" t="s">
        <v>235</v>
      </c>
      <c r="F1" s="28" t="s">
        <v>238</v>
      </c>
      <c r="G1" s="252" t="s">
        <v>239</v>
      </c>
      <c r="H1" s="27" t="s">
        <v>240</v>
      </c>
    </row>
    <row r="2" spans="1:14">
      <c r="A2" s="42" t="s">
        <v>246</v>
      </c>
      <c r="B2" s="42" t="s">
        <v>2384</v>
      </c>
      <c r="C2" s="46" t="s">
        <v>251</v>
      </c>
      <c r="D2" s="39" t="s">
        <v>247</v>
      </c>
      <c r="E2" s="81">
        <v>40259</v>
      </c>
      <c r="F2" s="52"/>
      <c r="G2" s="53">
        <v>45710</v>
      </c>
      <c r="H2" s="54">
        <v>3</v>
      </c>
      <c r="K2" s="122">
        <v>345</v>
      </c>
      <c r="M2" s="122">
        <v>29</v>
      </c>
    </row>
    <row r="3" spans="1:14">
      <c r="A3" s="42" t="str">
        <f t="shared" ref="A3:A6" si="0">A2</f>
        <v>ADC</v>
      </c>
      <c r="B3" s="42" t="s">
        <v>1024</v>
      </c>
      <c r="C3" s="46" t="s">
        <v>285</v>
      </c>
      <c r="D3" s="39" t="s">
        <v>247</v>
      </c>
      <c r="E3" s="81">
        <v>34003</v>
      </c>
      <c r="F3" s="52"/>
      <c r="G3" s="53">
        <v>60760</v>
      </c>
      <c r="H3" s="54">
        <v>2</v>
      </c>
      <c r="K3" s="122">
        <v>234</v>
      </c>
      <c r="M3" s="122">
        <v>14</v>
      </c>
    </row>
    <row r="4" spans="1:14">
      <c r="A4" s="42" t="str">
        <f t="shared" si="0"/>
        <v>ADC</v>
      </c>
      <c r="B4" s="42" t="s">
        <v>627</v>
      </c>
      <c r="C4" s="46" t="s">
        <v>280</v>
      </c>
      <c r="D4" s="39" t="s">
        <v>261</v>
      </c>
      <c r="E4" s="81">
        <v>36094</v>
      </c>
      <c r="F4" s="52" t="s">
        <v>257</v>
      </c>
      <c r="G4" s="53">
        <v>47885</v>
      </c>
      <c r="H4" s="54">
        <v>1</v>
      </c>
      <c r="K4" s="122">
        <f>K2+K3</f>
        <v>579</v>
      </c>
      <c r="M4" s="122">
        <f>M2+M3</f>
        <v>43</v>
      </c>
    </row>
    <row r="5" spans="1:14">
      <c r="A5" s="42" t="str">
        <f t="shared" si="0"/>
        <v>ADC</v>
      </c>
      <c r="B5" s="42" t="s">
        <v>619</v>
      </c>
      <c r="C5" s="46" t="s">
        <v>245</v>
      </c>
      <c r="D5" s="39" t="s">
        <v>261</v>
      </c>
      <c r="E5" s="81">
        <v>35297</v>
      </c>
      <c r="F5" s="52" t="s">
        <v>283</v>
      </c>
      <c r="G5" s="53">
        <v>38105</v>
      </c>
      <c r="H5" s="54">
        <v>2</v>
      </c>
    </row>
    <row r="6" spans="1:14">
      <c r="A6" s="42" t="str">
        <f t="shared" si="0"/>
        <v>ADC</v>
      </c>
      <c r="B6" s="42" t="s">
        <v>430</v>
      </c>
      <c r="C6" s="46" t="s">
        <v>285</v>
      </c>
      <c r="D6" s="39" t="s">
        <v>261</v>
      </c>
      <c r="E6" s="81">
        <v>36084</v>
      </c>
      <c r="F6" s="52" t="s">
        <v>262</v>
      </c>
      <c r="G6" s="53">
        <v>45750</v>
      </c>
      <c r="H6" s="54">
        <v>5</v>
      </c>
      <c r="L6" s="122">
        <v>34</v>
      </c>
    </row>
    <row r="7" spans="1:14">
      <c r="A7" s="42" t="s">
        <v>272</v>
      </c>
      <c r="B7" s="42" t="s">
        <v>503</v>
      </c>
      <c r="C7" s="46" t="s">
        <v>285</v>
      </c>
      <c r="D7" s="39" t="s">
        <v>247</v>
      </c>
      <c r="E7" s="81">
        <v>35541</v>
      </c>
      <c r="F7" s="52"/>
      <c r="G7" s="53">
        <v>49530</v>
      </c>
      <c r="H7" s="54">
        <v>4</v>
      </c>
      <c r="L7" s="122">
        <v>12</v>
      </c>
    </row>
    <row r="8" spans="1:14">
      <c r="A8" s="42" t="str">
        <f t="shared" ref="A8:A23" si="1">A7</f>
        <v>Admin Training</v>
      </c>
      <c r="B8" s="42" t="s">
        <v>505</v>
      </c>
      <c r="C8" s="46" t="s">
        <v>285</v>
      </c>
      <c r="D8" s="39" t="s">
        <v>256</v>
      </c>
      <c r="E8" s="81">
        <v>38902</v>
      </c>
      <c r="F8" s="52" t="s">
        <v>257</v>
      </c>
      <c r="G8" s="53">
        <v>73560</v>
      </c>
      <c r="H8" s="54">
        <v>3</v>
      </c>
      <c r="L8" s="122">
        <f>L6+L7</f>
        <v>46</v>
      </c>
      <c r="N8" s="122">
        <v>56</v>
      </c>
    </row>
    <row r="9" spans="1:14">
      <c r="A9" s="42" t="str">
        <f t="shared" si="1"/>
        <v>Admin Training</v>
      </c>
      <c r="B9" s="42" t="s">
        <v>799</v>
      </c>
      <c r="C9" s="46" t="s">
        <v>271</v>
      </c>
      <c r="D9" s="39" t="s">
        <v>247</v>
      </c>
      <c r="E9" s="81">
        <v>36086</v>
      </c>
      <c r="F9" s="52"/>
      <c r="G9" s="53">
        <v>47520</v>
      </c>
      <c r="H9" s="54">
        <v>1</v>
      </c>
      <c r="N9" s="122">
        <v>23</v>
      </c>
    </row>
    <row r="10" spans="1:14">
      <c r="A10" s="42" t="str">
        <f t="shared" si="1"/>
        <v>Admin Training</v>
      </c>
      <c r="B10" s="42" t="s">
        <v>331</v>
      </c>
      <c r="C10" s="46" t="s">
        <v>285</v>
      </c>
      <c r="D10" s="39" t="s">
        <v>256</v>
      </c>
      <c r="E10" s="81">
        <v>37394</v>
      </c>
      <c r="F10" s="52" t="s">
        <v>257</v>
      </c>
      <c r="G10" s="53">
        <v>28970</v>
      </c>
      <c r="H10" s="54">
        <v>3</v>
      </c>
      <c r="N10" s="122">
        <f>N8+N9</f>
        <v>79</v>
      </c>
    </row>
    <row r="11" spans="1:14">
      <c r="A11" s="42" t="str">
        <f t="shared" si="1"/>
        <v>Admin Training</v>
      </c>
      <c r="B11" s="42" t="s">
        <v>890</v>
      </c>
      <c r="C11" s="46" t="s">
        <v>280</v>
      </c>
      <c r="D11" s="39" t="s">
        <v>247</v>
      </c>
      <c r="E11" s="81">
        <v>33402</v>
      </c>
      <c r="F11" s="52"/>
      <c r="G11" s="53">
        <v>79380</v>
      </c>
      <c r="H11" s="54">
        <v>1</v>
      </c>
    </row>
    <row r="12" spans="1:14">
      <c r="A12" s="42" t="str">
        <f t="shared" si="1"/>
        <v>Admin Training</v>
      </c>
      <c r="B12" s="42" t="s">
        <v>388</v>
      </c>
      <c r="C12" s="46" t="s">
        <v>285</v>
      </c>
      <c r="D12" s="39" t="s">
        <v>247</v>
      </c>
      <c r="E12" s="81">
        <v>33144</v>
      </c>
      <c r="F12" s="52"/>
      <c r="G12" s="53">
        <v>23340</v>
      </c>
      <c r="H12" s="54">
        <v>4</v>
      </c>
    </row>
    <row r="13" spans="1:14">
      <c r="A13" s="42" t="str">
        <f t="shared" si="1"/>
        <v>Admin Training</v>
      </c>
      <c r="B13" s="42" t="s">
        <v>549</v>
      </c>
      <c r="C13" s="46" t="s">
        <v>245</v>
      </c>
      <c r="D13" s="39" t="s">
        <v>247</v>
      </c>
      <c r="E13" s="81">
        <v>34031</v>
      </c>
      <c r="F13" s="52"/>
      <c r="G13" s="53">
        <v>64430</v>
      </c>
      <c r="H13" s="54">
        <v>4</v>
      </c>
    </row>
    <row r="14" spans="1:14">
      <c r="A14" s="42" t="str">
        <f t="shared" si="1"/>
        <v>Admin Training</v>
      </c>
      <c r="B14" s="42" t="s">
        <v>563</v>
      </c>
      <c r="C14" s="46" t="s">
        <v>271</v>
      </c>
      <c r="D14" s="39" t="s">
        <v>252</v>
      </c>
      <c r="E14" s="81">
        <v>33183</v>
      </c>
      <c r="F14" s="52"/>
      <c r="G14" s="53">
        <v>14712</v>
      </c>
      <c r="H14" s="54">
        <v>5</v>
      </c>
    </row>
    <row r="15" spans="1:14">
      <c r="A15" s="42" t="str">
        <f t="shared" si="1"/>
        <v>Admin Training</v>
      </c>
      <c r="B15" s="42" t="s">
        <v>439</v>
      </c>
      <c r="C15" s="46" t="s">
        <v>285</v>
      </c>
      <c r="D15" s="39" t="s">
        <v>256</v>
      </c>
      <c r="E15" s="81">
        <v>36195</v>
      </c>
      <c r="F15" s="52" t="s">
        <v>267</v>
      </c>
      <c r="G15" s="53">
        <v>46360</v>
      </c>
      <c r="H15" s="54">
        <v>5</v>
      </c>
    </row>
    <row r="16" spans="1:14">
      <c r="A16" s="42" t="str">
        <f t="shared" si="1"/>
        <v>Admin Training</v>
      </c>
      <c r="B16" s="42" t="s">
        <v>662</v>
      </c>
      <c r="C16" s="46" t="s">
        <v>271</v>
      </c>
      <c r="D16" s="39" t="s">
        <v>256</v>
      </c>
      <c r="E16" s="81">
        <v>36898</v>
      </c>
      <c r="F16" s="52" t="s">
        <v>257</v>
      </c>
      <c r="G16" s="53">
        <v>71820</v>
      </c>
      <c r="H16" s="54">
        <v>2</v>
      </c>
    </row>
    <row r="17" spans="1:8">
      <c r="A17" s="42" t="str">
        <f t="shared" si="1"/>
        <v>Admin Training</v>
      </c>
      <c r="B17" s="42" t="s">
        <v>588</v>
      </c>
      <c r="C17" s="46" t="s">
        <v>280</v>
      </c>
      <c r="D17" s="39" t="s">
        <v>256</v>
      </c>
      <c r="E17" s="81">
        <v>40596</v>
      </c>
      <c r="F17" s="52" t="s">
        <v>267</v>
      </c>
      <c r="G17" s="53">
        <v>68910</v>
      </c>
      <c r="H17" s="54">
        <v>5</v>
      </c>
    </row>
    <row r="18" spans="1:8">
      <c r="A18" s="42" t="str">
        <f t="shared" si="1"/>
        <v>Admin Training</v>
      </c>
      <c r="B18" s="42" t="s">
        <v>1004</v>
      </c>
      <c r="C18" s="46" t="s">
        <v>271</v>
      </c>
      <c r="D18" s="39" t="s">
        <v>256</v>
      </c>
      <c r="E18" s="81">
        <v>40447</v>
      </c>
      <c r="F18" s="52" t="s">
        <v>257</v>
      </c>
      <c r="G18" s="53">
        <v>33970</v>
      </c>
      <c r="H18" s="54">
        <v>4</v>
      </c>
    </row>
    <row r="19" spans="1:8">
      <c r="A19" s="42" t="str">
        <f t="shared" si="1"/>
        <v>Admin Training</v>
      </c>
      <c r="B19" s="42" t="s">
        <v>918</v>
      </c>
      <c r="C19" s="46" t="s">
        <v>245</v>
      </c>
      <c r="D19" s="39" t="s">
        <v>256</v>
      </c>
      <c r="E19" s="81">
        <v>39696</v>
      </c>
      <c r="F19" s="52" t="s">
        <v>257</v>
      </c>
      <c r="G19" s="53">
        <v>69320</v>
      </c>
      <c r="H19" s="54">
        <v>3</v>
      </c>
    </row>
    <row r="20" spans="1:8">
      <c r="A20" s="42" t="str">
        <f t="shared" si="1"/>
        <v>Admin Training</v>
      </c>
      <c r="B20" s="42" t="s">
        <v>603</v>
      </c>
      <c r="C20" s="46" t="s">
        <v>271</v>
      </c>
      <c r="D20" s="39" t="s">
        <v>256</v>
      </c>
      <c r="E20" s="81">
        <v>33852</v>
      </c>
      <c r="F20" s="52" t="s">
        <v>276</v>
      </c>
      <c r="G20" s="53">
        <v>86240</v>
      </c>
      <c r="H20" s="54">
        <v>1</v>
      </c>
    </row>
    <row r="21" spans="1:8">
      <c r="A21" s="42" t="str">
        <f t="shared" si="1"/>
        <v>Admin Training</v>
      </c>
      <c r="B21" s="42" t="s">
        <v>923</v>
      </c>
      <c r="C21" s="46" t="s">
        <v>285</v>
      </c>
      <c r="D21" s="39" t="s">
        <v>256</v>
      </c>
      <c r="E21" s="81">
        <v>37407</v>
      </c>
      <c r="F21" s="52" t="s">
        <v>257</v>
      </c>
      <c r="G21" s="53">
        <v>59140</v>
      </c>
      <c r="H21" s="54">
        <v>5</v>
      </c>
    </row>
    <row r="22" spans="1:8">
      <c r="A22" s="42" t="str">
        <f t="shared" si="1"/>
        <v>Admin Training</v>
      </c>
      <c r="B22" s="42" t="s">
        <v>1021</v>
      </c>
      <c r="C22" s="46" t="s">
        <v>271</v>
      </c>
      <c r="D22" s="39" t="s">
        <v>247</v>
      </c>
      <c r="E22" s="81">
        <v>33234</v>
      </c>
      <c r="F22" s="52"/>
      <c r="G22" s="53">
        <v>58650</v>
      </c>
      <c r="H22" s="54">
        <v>4</v>
      </c>
    </row>
    <row r="23" spans="1:8">
      <c r="A23" s="42" t="str">
        <f t="shared" si="1"/>
        <v>Admin Training</v>
      </c>
      <c r="B23" s="42" t="s">
        <v>294</v>
      </c>
      <c r="C23" s="46" t="s">
        <v>280</v>
      </c>
      <c r="D23" s="39" t="s">
        <v>252</v>
      </c>
      <c r="E23" s="81">
        <v>34165</v>
      </c>
      <c r="F23" s="52"/>
      <c r="G23" s="53">
        <v>30416</v>
      </c>
      <c r="H23" s="54">
        <v>1</v>
      </c>
    </row>
    <row r="24" spans="1:8">
      <c r="A24" s="42" t="s">
        <v>296</v>
      </c>
      <c r="B24" s="42" t="s">
        <v>471</v>
      </c>
      <c r="C24" s="46" t="s">
        <v>271</v>
      </c>
      <c r="D24" s="39" t="s">
        <v>256</v>
      </c>
      <c r="E24" s="81">
        <v>35169</v>
      </c>
      <c r="F24" s="52" t="s">
        <v>276</v>
      </c>
      <c r="G24" s="53">
        <v>72640</v>
      </c>
      <c r="H24" s="54">
        <v>3</v>
      </c>
    </row>
    <row r="25" spans="1:8">
      <c r="A25" s="42" t="str">
        <f t="shared" ref="A25:A33" si="2">A24</f>
        <v>Audit Services</v>
      </c>
      <c r="B25" s="42" t="s">
        <v>498</v>
      </c>
      <c r="C25" s="46" t="s">
        <v>271</v>
      </c>
      <c r="D25" s="39" t="s">
        <v>256</v>
      </c>
      <c r="E25" s="81">
        <v>33407</v>
      </c>
      <c r="F25" s="52" t="s">
        <v>257</v>
      </c>
      <c r="G25" s="53">
        <v>22900</v>
      </c>
      <c r="H25" s="54">
        <v>1</v>
      </c>
    </row>
    <row r="26" spans="1:8">
      <c r="A26" s="42" t="str">
        <f t="shared" si="2"/>
        <v>Audit Services</v>
      </c>
      <c r="B26" s="42" t="s">
        <v>376</v>
      </c>
      <c r="C26" s="46" t="s">
        <v>285</v>
      </c>
      <c r="D26" s="39" t="s">
        <v>256</v>
      </c>
      <c r="E26" s="81">
        <v>40209</v>
      </c>
      <c r="F26" s="52" t="s">
        <v>283</v>
      </c>
      <c r="G26" s="53">
        <v>45260</v>
      </c>
      <c r="H26" s="54">
        <v>4</v>
      </c>
    </row>
    <row r="27" spans="1:8">
      <c r="A27" s="42" t="str">
        <f t="shared" si="2"/>
        <v>Audit Services</v>
      </c>
      <c r="B27" s="42" t="s">
        <v>281</v>
      </c>
      <c r="C27" s="46" t="s">
        <v>271</v>
      </c>
      <c r="D27" s="39" t="s">
        <v>256</v>
      </c>
      <c r="E27" s="81">
        <v>35459</v>
      </c>
      <c r="F27" s="52" t="s">
        <v>283</v>
      </c>
      <c r="G27" s="53">
        <v>49360</v>
      </c>
      <c r="H27" s="54">
        <v>2</v>
      </c>
    </row>
    <row r="28" spans="1:8">
      <c r="A28" s="42" t="str">
        <f t="shared" si="2"/>
        <v>Audit Services</v>
      </c>
      <c r="B28" s="42" t="s">
        <v>576</v>
      </c>
      <c r="C28" s="46" t="s">
        <v>271</v>
      </c>
      <c r="D28" s="39" t="s">
        <v>261</v>
      </c>
      <c r="E28" s="81">
        <v>34960</v>
      </c>
      <c r="F28" s="52" t="s">
        <v>276</v>
      </c>
      <c r="G28" s="53">
        <v>23000</v>
      </c>
      <c r="H28" s="54">
        <v>4</v>
      </c>
    </row>
    <row r="29" spans="1:8">
      <c r="A29" s="42" t="str">
        <f t="shared" si="2"/>
        <v>Audit Services</v>
      </c>
      <c r="B29" s="42" t="s">
        <v>1016</v>
      </c>
      <c r="C29" s="46" t="s">
        <v>245</v>
      </c>
      <c r="D29" s="39" t="s">
        <v>261</v>
      </c>
      <c r="E29" s="81">
        <v>34755</v>
      </c>
      <c r="F29" s="52" t="s">
        <v>267</v>
      </c>
      <c r="G29" s="53">
        <v>15005</v>
      </c>
      <c r="H29" s="54">
        <v>4</v>
      </c>
    </row>
    <row r="30" spans="1:8">
      <c r="A30" s="42" t="str">
        <f t="shared" si="2"/>
        <v>Audit Services</v>
      </c>
      <c r="B30" s="42" t="s">
        <v>605</v>
      </c>
      <c r="C30" s="46" t="s">
        <v>285</v>
      </c>
      <c r="D30" s="39" t="s">
        <v>256</v>
      </c>
      <c r="E30" s="81">
        <v>33695</v>
      </c>
      <c r="F30" s="52" t="s">
        <v>262</v>
      </c>
      <c r="G30" s="53">
        <v>60560</v>
      </c>
      <c r="H30" s="54">
        <v>4</v>
      </c>
    </row>
    <row r="31" spans="1:8">
      <c r="A31" s="42" t="str">
        <f t="shared" si="2"/>
        <v>Audit Services</v>
      </c>
      <c r="B31" s="42" t="s">
        <v>260</v>
      </c>
      <c r="C31" s="46" t="s">
        <v>271</v>
      </c>
      <c r="D31" s="39" t="s">
        <v>256</v>
      </c>
      <c r="E31" s="81">
        <v>36025</v>
      </c>
      <c r="F31" s="52" t="s">
        <v>262</v>
      </c>
      <c r="G31" s="53">
        <v>64470</v>
      </c>
      <c r="H31" s="54">
        <v>5</v>
      </c>
    </row>
    <row r="32" spans="1:8">
      <c r="A32" s="42" t="str">
        <f t="shared" si="2"/>
        <v>Audit Services</v>
      </c>
      <c r="B32" s="42" t="s">
        <v>1019</v>
      </c>
      <c r="C32" s="46" t="s">
        <v>271</v>
      </c>
      <c r="D32" s="45" t="s">
        <v>256</v>
      </c>
      <c r="E32" s="105">
        <v>38142</v>
      </c>
      <c r="F32" s="52" t="s">
        <v>257</v>
      </c>
      <c r="G32" s="53">
        <v>49350</v>
      </c>
      <c r="H32" s="54">
        <v>4</v>
      </c>
    </row>
    <row r="33" spans="1:8">
      <c r="A33" s="42" t="str">
        <f t="shared" si="2"/>
        <v>Audit Services</v>
      </c>
      <c r="B33" s="42" t="s">
        <v>1023</v>
      </c>
      <c r="C33" s="46" t="s">
        <v>245</v>
      </c>
      <c r="D33" s="39" t="s">
        <v>256</v>
      </c>
      <c r="E33" s="81">
        <v>37883</v>
      </c>
      <c r="F33" s="52" t="s">
        <v>257</v>
      </c>
      <c r="G33" s="53">
        <v>86530</v>
      </c>
      <c r="H33" s="54">
        <v>1</v>
      </c>
    </row>
    <row r="34" spans="1:8">
      <c r="A34" s="42" t="s">
        <v>307</v>
      </c>
      <c r="B34" s="42" t="s">
        <v>708</v>
      </c>
      <c r="C34" s="46" t="s">
        <v>245</v>
      </c>
      <c r="D34" s="39" t="s">
        <v>261</v>
      </c>
      <c r="E34" s="81">
        <v>36695</v>
      </c>
      <c r="F34" s="52" t="s">
        <v>283</v>
      </c>
      <c r="G34" s="53">
        <v>29005</v>
      </c>
      <c r="H34" s="54">
        <v>1</v>
      </c>
    </row>
    <row r="35" spans="1:8">
      <c r="A35" s="42" t="str">
        <f t="shared" ref="A35:A37" si="3">A34</f>
        <v>Compliance</v>
      </c>
      <c r="B35" s="42" t="s">
        <v>309</v>
      </c>
      <c r="C35" s="46" t="s">
        <v>271</v>
      </c>
      <c r="D35" s="39" t="s">
        <v>261</v>
      </c>
      <c r="E35" s="81">
        <v>36604</v>
      </c>
      <c r="F35" s="52" t="s">
        <v>283</v>
      </c>
      <c r="G35" s="53">
        <v>46710</v>
      </c>
      <c r="H35" s="54">
        <v>3</v>
      </c>
    </row>
    <row r="36" spans="1:8">
      <c r="A36" s="42" t="str">
        <f t="shared" si="3"/>
        <v>Compliance</v>
      </c>
      <c r="B36" s="42" t="s">
        <v>404</v>
      </c>
      <c r="C36" s="46" t="s">
        <v>251</v>
      </c>
      <c r="D36" s="39" t="s">
        <v>256</v>
      </c>
      <c r="E36" s="81">
        <v>36116</v>
      </c>
      <c r="F36" s="52" t="s">
        <v>276</v>
      </c>
      <c r="G36" s="53">
        <v>49770</v>
      </c>
      <c r="H36" s="54">
        <v>1</v>
      </c>
    </row>
    <row r="37" spans="1:8">
      <c r="A37" s="42" t="str">
        <f t="shared" si="3"/>
        <v>Compliance</v>
      </c>
      <c r="B37" s="42" t="s">
        <v>835</v>
      </c>
      <c r="C37" s="46" t="s">
        <v>271</v>
      </c>
      <c r="D37" s="39" t="s">
        <v>256</v>
      </c>
      <c r="E37" s="81">
        <v>35329</v>
      </c>
      <c r="F37" s="52" t="s">
        <v>257</v>
      </c>
      <c r="G37" s="53">
        <v>66740</v>
      </c>
      <c r="H37" s="54">
        <v>2</v>
      </c>
    </row>
    <row r="38" spans="1:8">
      <c r="A38" s="42" t="s">
        <v>312</v>
      </c>
      <c r="B38" s="42" t="s">
        <v>855</v>
      </c>
      <c r="C38" s="46" t="s">
        <v>251</v>
      </c>
      <c r="D38" s="39" t="s">
        <v>256</v>
      </c>
      <c r="E38" s="81">
        <v>35903</v>
      </c>
      <c r="F38" s="52" t="s">
        <v>257</v>
      </c>
      <c r="G38" s="53">
        <v>68520</v>
      </c>
      <c r="H38" s="54">
        <v>5</v>
      </c>
    </row>
    <row r="39" spans="1:8">
      <c r="A39" s="42" t="str">
        <f t="shared" ref="A39:A70" si="4">A38</f>
        <v>Engineering/Maintenance</v>
      </c>
      <c r="B39" s="42" t="s">
        <v>860</v>
      </c>
      <c r="C39" s="46" t="s">
        <v>245</v>
      </c>
      <c r="D39" s="45" t="s">
        <v>261</v>
      </c>
      <c r="E39" s="105">
        <v>33290</v>
      </c>
      <c r="F39" s="52" t="s">
        <v>262</v>
      </c>
      <c r="G39" s="53">
        <v>26795</v>
      </c>
      <c r="H39" s="54">
        <v>4</v>
      </c>
    </row>
    <row r="40" spans="1:8">
      <c r="A40" s="42" t="str">
        <f t="shared" si="4"/>
        <v>Engineering/Maintenance</v>
      </c>
      <c r="B40" s="42" t="s">
        <v>710</v>
      </c>
      <c r="C40" s="46" t="s">
        <v>280</v>
      </c>
      <c r="D40" s="39" t="s">
        <v>256</v>
      </c>
      <c r="E40" s="81">
        <v>38733</v>
      </c>
      <c r="F40" s="52" t="s">
        <v>276</v>
      </c>
      <c r="G40" s="53">
        <v>68710</v>
      </c>
      <c r="H40" s="54">
        <v>4</v>
      </c>
    </row>
    <row r="41" spans="1:8">
      <c r="A41" s="42" t="str">
        <f t="shared" si="4"/>
        <v>Engineering/Maintenance</v>
      </c>
      <c r="B41" s="42" t="s">
        <v>474</v>
      </c>
      <c r="C41" s="46" t="s">
        <v>285</v>
      </c>
      <c r="D41" s="39" t="s">
        <v>247</v>
      </c>
      <c r="E41" s="81">
        <v>35921</v>
      </c>
      <c r="F41" s="52"/>
      <c r="G41" s="53">
        <v>63330</v>
      </c>
      <c r="H41" s="54">
        <v>4</v>
      </c>
    </row>
    <row r="42" spans="1:8">
      <c r="A42" s="42" t="str">
        <f t="shared" si="4"/>
        <v>Engineering/Maintenance</v>
      </c>
      <c r="B42" s="42" t="s">
        <v>475</v>
      </c>
      <c r="C42" s="46" t="s">
        <v>245</v>
      </c>
      <c r="D42" s="39" t="s">
        <v>256</v>
      </c>
      <c r="E42" s="81">
        <v>37495</v>
      </c>
      <c r="F42" s="52" t="s">
        <v>276</v>
      </c>
      <c r="G42" s="53">
        <v>60300</v>
      </c>
      <c r="H42" s="54">
        <v>2</v>
      </c>
    </row>
    <row r="43" spans="1:8">
      <c r="A43" s="42" t="str">
        <f t="shared" si="4"/>
        <v>Engineering/Maintenance</v>
      </c>
      <c r="B43" s="42" t="s">
        <v>313</v>
      </c>
      <c r="C43" s="46" t="s">
        <v>271</v>
      </c>
      <c r="D43" s="39" t="s">
        <v>252</v>
      </c>
      <c r="E43" s="81">
        <v>36067</v>
      </c>
      <c r="F43" s="52"/>
      <c r="G43" s="53">
        <v>37612</v>
      </c>
      <c r="H43" s="54">
        <v>4</v>
      </c>
    </row>
    <row r="44" spans="1:8">
      <c r="A44" s="42" t="str">
        <f t="shared" si="4"/>
        <v>Engineering/Maintenance</v>
      </c>
      <c r="B44" s="42" t="s">
        <v>476</v>
      </c>
      <c r="C44" s="46" t="s">
        <v>251</v>
      </c>
      <c r="D44" s="39" t="s">
        <v>256</v>
      </c>
      <c r="E44" s="81">
        <v>35311</v>
      </c>
      <c r="F44" s="52" t="s">
        <v>267</v>
      </c>
      <c r="G44" s="53">
        <v>39520</v>
      </c>
      <c r="H44" s="54">
        <v>5</v>
      </c>
    </row>
    <row r="45" spans="1:8">
      <c r="A45" s="42" t="str">
        <f t="shared" si="4"/>
        <v>Engineering/Maintenance</v>
      </c>
      <c r="B45" s="42" t="s">
        <v>866</v>
      </c>
      <c r="C45" s="46" t="s">
        <v>271</v>
      </c>
      <c r="D45" s="39" t="s">
        <v>252</v>
      </c>
      <c r="E45" s="81">
        <v>34345</v>
      </c>
      <c r="F45" s="52"/>
      <c r="G45" s="53">
        <v>36788</v>
      </c>
      <c r="H45" s="54">
        <v>4</v>
      </c>
    </row>
    <row r="46" spans="1:8">
      <c r="A46" s="42" t="str">
        <f t="shared" si="4"/>
        <v>Engineering/Maintenance</v>
      </c>
      <c r="B46" s="42" t="s">
        <v>491</v>
      </c>
      <c r="C46" s="46" t="s">
        <v>280</v>
      </c>
      <c r="D46" s="39" t="s">
        <v>252</v>
      </c>
      <c r="E46" s="81">
        <v>35381</v>
      </c>
      <c r="F46" s="52"/>
      <c r="G46" s="53">
        <v>35312</v>
      </c>
      <c r="H46" s="54">
        <v>3</v>
      </c>
    </row>
    <row r="47" spans="1:8">
      <c r="A47" s="42" t="str">
        <f t="shared" si="4"/>
        <v>Engineering/Maintenance</v>
      </c>
      <c r="B47" s="42" t="s">
        <v>421</v>
      </c>
      <c r="C47" s="46" t="s">
        <v>285</v>
      </c>
      <c r="D47" s="39" t="s">
        <v>256</v>
      </c>
      <c r="E47" s="81">
        <v>40624</v>
      </c>
      <c r="F47" s="52" t="s">
        <v>276</v>
      </c>
      <c r="G47" s="53">
        <v>86500</v>
      </c>
      <c r="H47" s="54">
        <v>1</v>
      </c>
    </row>
    <row r="48" spans="1:8">
      <c r="A48" s="42" t="str">
        <f t="shared" si="4"/>
        <v>Engineering/Maintenance</v>
      </c>
      <c r="B48" s="42" t="s">
        <v>752</v>
      </c>
      <c r="C48" s="46" t="s">
        <v>271</v>
      </c>
      <c r="D48" s="39" t="s">
        <v>247</v>
      </c>
      <c r="E48" s="81">
        <v>36038</v>
      </c>
      <c r="F48" s="52"/>
      <c r="G48" s="53">
        <v>30340</v>
      </c>
      <c r="H48" s="54">
        <v>3</v>
      </c>
    </row>
    <row r="49" spans="1:8">
      <c r="A49" s="42" t="str">
        <f t="shared" si="4"/>
        <v>Engineering/Maintenance</v>
      </c>
      <c r="B49" s="42" t="s">
        <v>872</v>
      </c>
      <c r="C49" s="46" t="s">
        <v>271</v>
      </c>
      <c r="D49" s="39" t="s">
        <v>247</v>
      </c>
      <c r="E49" s="81">
        <v>36455</v>
      </c>
      <c r="F49" s="52"/>
      <c r="G49" s="53">
        <v>23810</v>
      </c>
      <c r="H49" s="54">
        <v>4</v>
      </c>
    </row>
    <row r="50" spans="1:8">
      <c r="A50" s="42" t="str">
        <f t="shared" si="4"/>
        <v>Engineering/Maintenance</v>
      </c>
      <c r="B50" s="42" t="s">
        <v>393</v>
      </c>
      <c r="C50" s="46" t="s">
        <v>271</v>
      </c>
      <c r="D50" s="39" t="s">
        <v>256</v>
      </c>
      <c r="E50" s="81">
        <v>34483</v>
      </c>
      <c r="F50" s="52" t="s">
        <v>257</v>
      </c>
      <c r="G50" s="53">
        <v>81010</v>
      </c>
      <c r="H50" s="54">
        <v>4</v>
      </c>
    </row>
    <row r="51" spans="1:8">
      <c r="A51" s="42" t="str">
        <f t="shared" si="4"/>
        <v>Engineering/Maintenance</v>
      </c>
      <c r="B51" s="42" t="s">
        <v>942</v>
      </c>
      <c r="C51" s="46" t="s">
        <v>285</v>
      </c>
      <c r="D51" s="39" t="s">
        <v>247</v>
      </c>
      <c r="E51" s="81">
        <v>34053</v>
      </c>
      <c r="F51" s="52"/>
      <c r="G51" s="53">
        <v>79220</v>
      </c>
      <c r="H51" s="54">
        <v>4</v>
      </c>
    </row>
    <row r="52" spans="1:8">
      <c r="A52" s="42" t="str">
        <f t="shared" si="4"/>
        <v>Engineering/Maintenance</v>
      </c>
      <c r="B52" s="42" t="s">
        <v>412</v>
      </c>
      <c r="C52" s="46" t="s">
        <v>245</v>
      </c>
      <c r="D52" s="39" t="s">
        <v>247</v>
      </c>
      <c r="E52" s="81">
        <v>36977</v>
      </c>
      <c r="F52" s="52"/>
      <c r="G52" s="53">
        <v>68510</v>
      </c>
      <c r="H52" s="54">
        <v>5</v>
      </c>
    </row>
    <row r="53" spans="1:8">
      <c r="A53" s="42" t="str">
        <f t="shared" si="4"/>
        <v>Engineering/Maintenance</v>
      </c>
      <c r="B53" s="42" t="s">
        <v>876</v>
      </c>
      <c r="C53" s="46" t="s">
        <v>266</v>
      </c>
      <c r="D53" s="39" t="s">
        <v>256</v>
      </c>
      <c r="E53" s="81">
        <v>34702</v>
      </c>
      <c r="F53" s="52" t="s">
        <v>257</v>
      </c>
      <c r="G53" s="53">
        <v>87030</v>
      </c>
      <c r="H53" s="54">
        <v>3</v>
      </c>
    </row>
    <row r="54" spans="1:8">
      <c r="A54" s="42" t="str">
        <f t="shared" si="4"/>
        <v>Engineering/Maintenance</v>
      </c>
      <c r="B54" s="42" t="s">
        <v>948</v>
      </c>
      <c r="C54" s="46" t="s">
        <v>271</v>
      </c>
      <c r="D54" s="39" t="s">
        <v>261</v>
      </c>
      <c r="E54" s="103">
        <v>40421</v>
      </c>
      <c r="F54" s="52" t="s">
        <v>262</v>
      </c>
      <c r="G54" s="53">
        <v>49355</v>
      </c>
      <c r="H54" s="54">
        <v>5</v>
      </c>
    </row>
    <row r="55" spans="1:8">
      <c r="A55" s="42" t="str">
        <f t="shared" si="4"/>
        <v>Engineering/Maintenance</v>
      </c>
      <c r="B55" s="42" t="s">
        <v>637</v>
      </c>
      <c r="C55" s="46" t="s">
        <v>285</v>
      </c>
      <c r="D55" s="39" t="s">
        <v>256</v>
      </c>
      <c r="E55" s="81">
        <v>36407</v>
      </c>
      <c r="F55" s="52" t="s">
        <v>262</v>
      </c>
      <c r="G55" s="53">
        <v>45880</v>
      </c>
      <c r="H55" s="54">
        <v>5</v>
      </c>
    </row>
    <row r="56" spans="1:8">
      <c r="A56" s="42" t="str">
        <f t="shared" si="4"/>
        <v>Engineering/Maintenance</v>
      </c>
      <c r="B56" s="42" t="s">
        <v>299</v>
      </c>
      <c r="C56" s="46" t="s">
        <v>266</v>
      </c>
      <c r="D56" s="39" t="s">
        <v>252</v>
      </c>
      <c r="E56" s="81">
        <v>33305</v>
      </c>
      <c r="F56" s="52"/>
      <c r="G56" s="53">
        <v>36844</v>
      </c>
      <c r="H56" s="54">
        <v>4</v>
      </c>
    </row>
    <row r="57" spans="1:8">
      <c r="A57" s="42" t="str">
        <f t="shared" si="4"/>
        <v>Engineering/Maintenance</v>
      </c>
      <c r="B57" s="42" t="s">
        <v>879</v>
      </c>
      <c r="C57" s="46" t="s">
        <v>285</v>
      </c>
      <c r="D57" s="39" t="s">
        <v>252</v>
      </c>
      <c r="E57" s="81">
        <v>35982</v>
      </c>
      <c r="F57" s="52"/>
      <c r="G57" s="53">
        <v>8904</v>
      </c>
      <c r="H57" s="54">
        <v>3</v>
      </c>
    </row>
    <row r="58" spans="1:8">
      <c r="A58" s="42" t="str">
        <f t="shared" si="4"/>
        <v>Engineering/Maintenance</v>
      </c>
      <c r="B58" s="42" t="s">
        <v>517</v>
      </c>
      <c r="C58" s="46" t="s">
        <v>285</v>
      </c>
      <c r="D58" s="39" t="s">
        <v>256</v>
      </c>
      <c r="E58" s="81">
        <v>39171</v>
      </c>
      <c r="F58" s="52" t="s">
        <v>267</v>
      </c>
      <c r="G58" s="53">
        <v>25690</v>
      </c>
      <c r="H58" s="54">
        <v>2</v>
      </c>
    </row>
    <row r="59" spans="1:8">
      <c r="A59" s="42" t="str">
        <f t="shared" si="4"/>
        <v>Engineering/Maintenance</v>
      </c>
      <c r="B59" s="42" t="s">
        <v>426</v>
      </c>
      <c r="C59" s="46" t="s">
        <v>280</v>
      </c>
      <c r="D59" s="39" t="s">
        <v>256</v>
      </c>
      <c r="E59" s="81">
        <v>33923</v>
      </c>
      <c r="F59" s="52" t="s">
        <v>283</v>
      </c>
      <c r="G59" s="53">
        <v>46340</v>
      </c>
      <c r="H59" s="54">
        <v>5</v>
      </c>
    </row>
    <row r="60" spans="1:8">
      <c r="A60" s="42" t="str">
        <f t="shared" si="4"/>
        <v>Engineering/Maintenance</v>
      </c>
      <c r="B60" s="42" t="s">
        <v>522</v>
      </c>
      <c r="C60" s="46" t="s">
        <v>285</v>
      </c>
      <c r="D60" s="39" t="s">
        <v>256</v>
      </c>
      <c r="E60" s="81">
        <v>34996</v>
      </c>
      <c r="F60" s="52" t="s">
        <v>257</v>
      </c>
      <c r="G60" s="53">
        <v>67890</v>
      </c>
      <c r="H60" s="54">
        <v>5</v>
      </c>
    </row>
    <row r="61" spans="1:8">
      <c r="A61" s="42" t="str">
        <f t="shared" si="4"/>
        <v>Engineering/Maintenance</v>
      </c>
      <c r="B61" s="42" t="s">
        <v>523</v>
      </c>
      <c r="C61" s="46" t="s">
        <v>280</v>
      </c>
      <c r="D61" s="39" t="s">
        <v>247</v>
      </c>
      <c r="E61" s="81">
        <v>34478</v>
      </c>
      <c r="F61" s="52"/>
      <c r="G61" s="53">
        <v>56650</v>
      </c>
      <c r="H61" s="54">
        <v>1</v>
      </c>
    </row>
    <row r="62" spans="1:8">
      <c r="A62" s="42" t="str">
        <f t="shared" si="4"/>
        <v>Engineering/Maintenance</v>
      </c>
      <c r="B62" s="42" t="s">
        <v>883</v>
      </c>
      <c r="C62" s="46" t="s">
        <v>285</v>
      </c>
      <c r="D62" s="39" t="s">
        <v>252</v>
      </c>
      <c r="E62" s="81">
        <v>36263</v>
      </c>
      <c r="F62" s="52"/>
      <c r="G62" s="53">
        <v>38768</v>
      </c>
      <c r="H62" s="54">
        <v>4</v>
      </c>
    </row>
    <row r="63" spans="1:8">
      <c r="A63" s="42" t="str">
        <f t="shared" si="4"/>
        <v>Engineering/Maintenance</v>
      </c>
      <c r="B63" s="42" t="s">
        <v>963</v>
      </c>
      <c r="C63" s="46" t="s">
        <v>266</v>
      </c>
      <c r="D63" s="39" t="s">
        <v>247</v>
      </c>
      <c r="E63" s="81">
        <v>40523</v>
      </c>
      <c r="F63" s="52"/>
      <c r="G63" s="53">
        <v>46570</v>
      </c>
      <c r="H63" s="54">
        <v>4</v>
      </c>
    </row>
    <row r="64" spans="1:8">
      <c r="A64" s="42" t="str">
        <f t="shared" si="4"/>
        <v>Engineering/Maintenance</v>
      </c>
      <c r="B64" s="42" t="s">
        <v>649</v>
      </c>
      <c r="C64" s="46" t="s">
        <v>245</v>
      </c>
      <c r="D64" s="39" t="s">
        <v>256</v>
      </c>
      <c r="E64" s="81">
        <v>38809</v>
      </c>
      <c r="F64" s="52" t="s">
        <v>262</v>
      </c>
      <c r="G64" s="53">
        <v>76584</v>
      </c>
      <c r="H64" s="54">
        <v>1</v>
      </c>
    </row>
    <row r="65" spans="1:8">
      <c r="A65" s="42" t="str">
        <f t="shared" si="4"/>
        <v>Engineering/Maintenance</v>
      </c>
      <c r="B65" s="42" t="s">
        <v>431</v>
      </c>
      <c r="C65" s="46" t="s">
        <v>245</v>
      </c>
      <c r="D65" s="39" t="s">
        <v>252</v>
      </c>
      <c r="E65" s="81">
        <v>35034</v>
      </c>
      <c r="F65" s="52"/>
      <c r="G65" s="53">
        <v>23692</v>
      </c>
      <c r="H65" s="54">
        <v>4</v>
      </c>
    </row>
    <row r="66" spans="1:8">
      <c r="A66" s="42" t="str">
        <f t="shared" si="4"/>
        <v>Engineering/Maintenance</v>
      </c>
      <c r="B66" s="42" t="s">
        <v>538</v>
      </c>
      <c r="C66" s="46" t="s">
        <v>245</v>
      </c>
      <c r="D66" s="39" t="s">
        <v>256</v>
      </c>
      <c r="E66" s="81">
        <v>33536</v>
      </c>
      <c r="F66" s="52" t="s">
        <v>257</v>
      </c>
      <c r="G66" s="53">
        <v>81530</v>
      </c>
      <c r="H66" s="54">
        <v>5</v>
      </c>
    </row>
    <row r="67" spans="1:8">
      <c r="A67" s="42" t="str">
        <f t="shared" si="4"/>
        <v>Engineering/Maintenance</v>
      </c>
      <c r="B67" s="42" t="s">
        <v>335</v>
      </c>
      <c r="C67" s="46" t="s">
        <v>266</v>
      </c>
      <c r="D67" s="39" t="s">
        <v>247</v>
      </c>
      <c r="E67" s="81">
        <v>35160</v>
      </c>
      <c r="F67" s="52"/>
      <c r="G67" s="53">
        <v>50550</v>
      </c>
      <c r="H67" s="54">
        <v>2</v>
      </c>
    </row>
    <row r="68" spans="1:8">
      <c r="A68" s="42" t="str">
        <f t="shared" si="4"/>
        <v>Engineering/Maintenance</v>
      </c>
      <c r="B68" s="42" t="s">
        <v>1027</v>
      </c>
      <c r="C68" s="46" t="s">
        <v>245</v>
      </c>
      <c r="D68" s="39" t="s">
        <v>247</v>
      </c>
      <c r="E68" s="81">
        <v>37236</v>
      </c>
      <c r="F68" s="52"/>
      <c r="G68" s="53">
        <v>29540</v>
      </c>
      <c r="H68" s="54">
        <v>3</v>
      </c>
    </row>
    <row r="69" spans="1:8">
      <c r="A69" s="42" t="str">
        <f t="shared" si="4"/>
        <v>Engineering/Maintenance</v>
      </c>
      <c r="B69" s="42" t="s">
        <v>980</v>
      </c>
      <c r="C69" s="46" t="s">
        <v>245</v>
      </c>
      <c r="D69" s="39" t="s">
        <v>247</v>
      </c>
      <c r="E69" s="81">
        <v>33638</v>
      </c>
      <c r="F69" s="52"/>
      <c r="G69" s="53">
        <v>47590</v>
      </c>
      <c r="H69" s="54">
        <v>3</v>
      </c>
    </row>
    <row r="70" spans="1:8">
      <c r="A70" s="42" t="str">
        <f t="shared" si="4"/>
        <v>Engineering/Maintenance</v>
      </c>
      <c r="B70" s="42" t="s">
        <v>547</v>
      </c>
      <c r="C70" s="46" t="s">
        <v>245</v>
      </c>
      <c r="D70" s="39" t="s">
        <v>256</v>
      </c>
      <c r="E70" s="81">
        <v>35616</v>
      </c>
      <c r="F70" s="52" t="s">
        <v>283</v>
      </c>
      <c r="G70" s="53">
        <v>34060</v>
      </c>
      <c r="H70" s="54">
        <v>2</v>
      </c>
    </row>
    <row r="71" spans="1:8">
      <c r="A71" s="42" t="str">
        <f t="shared" ref="A71:A96" si="5">A70</f>
        <v>Engineering/Maintenance</v>
      </c>
      <c r="B71" s="42" t="s">
        <v>340</v>
      </c>
      <c r="C71" s="46" t="s">
        <v>285</v>
      </c>
      <c r="D71" s="39" t="s">
        <v>252</v>
      </c>
      <c r="E71" s="81">
        <v>35247</v>
      </c>
      <c r="F71" s="52"/>
      <c r="G71" s="53">
        <v>33752</v>
      </c>
      <c r="H71" s="54">
        <v>3</v>
      </c>
    </row>
    <row r="72" spans="1:8">
      <c r="A72" s="42" t="str">
        <f t="shared" si="5"/>
        <v>Engineering/Maintenance</v>
      </c>
      <c r="B72" s="42" t="s">
        <v>550</v>
      </c>
      <c r="C72" s="46" t="s">
        <v>271</v>
      </c>
      <c r="D72" s="39" t="s">
        <v>256</v>
      </c>
      <c r="E72" s="81">
        <v>33440</v>
      </c>
      <c r="F72" s="52" t="s">
        <v>257</v>
      </c>
      <c r="G72" s="53">
        <v>69400</v>
      </c>
      <c r="H72" s="54">
        <v>5</v>
      </c>
    </row>
    <row r="73" spans="1:8">
      <c r="A73" s="42" t="str">
        <f t="shared" si="5"/>
        <v>Engineering/Maintenance</v>
      </c>
      <c r="B73" s="42" t="s">
        <v>1028</v>
      </c>
      <c r="C73" s="46" t="s">
        <v>285</v>
      </c>
      <c r="D73" s="39" t="s">
        <v>261</v>
      </c>
      <c r="E73" s="81">
        <v>35826</v>
      </c>
      <c r="F73" s="52" t="s">
        <v>257</v>
      </c>
      <c r="G73" s="53">
        <v>31205</v>
      </c>
      <c r="H73" s="54">
        <v>2</v>
      </c>
    </row>
    <row r="74" spans="1:8">
      <c r="A74" s="42" t="str">
        <f t="shared" si="5"/>
        <v>Engineering/Maintenance</v>
      </c>
      <c r="B74" s="42" t="s">
        <v>824</v>
      </c>
      <c r="C74" s="46" t="s">
        <v>285</v>
      </c>
      <c r="D74" s="39" t="s">
        <v>247</v>
      </c>
      <c r="E74" s="81">
        <v>34161</v>
      </c>
      <c r="F74" s="52"/>
      <c r="G74" s="53">
        <v>64090</v>
      </c>
      <c r="H74" s="54">
        <v>2</v>
      </c>
    </row>
    <row r="75" spans="1:8">
      <c r="A75" s="42" t="str">
        <f t="shared" si="5"/>
        <v>Engineering/Maintenance</v>
      </c>
      <c r="B75" s="42" t="s">
        <v>347</v>
      </c>
      <c r="C75" s="46" t="s">
        <v>285</v>
      </c>
      <c r="D75" s="39" t="s">
        <v>261</v>
      </c>
      <c r="E75" s="108">
        <v>38173</v>
      </c>
      <c r="F75" s="52" t="s">
        <v>283</v>
      </c>
      <c r="G75" s="53">
        <v>32900</v>
      </c>
      <c r="H75" s="54">
        <v>2</v>
      </c>
    </row>
    <row r="76" spans="1:8">
      <c r="A76" s="42" t="str">
        <f t="shared" si="5"/>
        <v>Engineering/Maintenance</v>
      </c>
      <c r="B76" s="42" t="s">
        <v>389</v>
      </c>
      <c r="C76" s="46" t="s">
        <v>271</v>
      </c>
      <c r="D76" s="39" t="s">
        <v>247</v>
      </c>
      <c r="E76" s="81">
        <v>35119</v>
      </c>
      <c r="F76" s="52"/>
      <c r="G76" s="53">
        <v>64390</v>
      </c>
      <c r="H76" s="54">
        <v>2</v>
      </c>
    </row>
    <row r="77" spans="1:8">
      <c r="A77" s="42" t="str">
        <f t="shared" si="5"/>
        <v>Engineering/Maintenance</v>
      </c>
      <c r="B77" s="42" t="s">
        <v>442</v>
      </c>
      <c r="C77" s="46" t="s">
        <v>271</v>
      </c>
      <c r="D77" s="39" t="s">
        <v>261</v>
      </c>
      <c r="E77" s="81">
        <v>37249</v>
      </c>
      <c r="F77" s="52" t="s">
        <v>276</v>
      </c>
      <c r="G77" s="53">
        <v>12545</v>
      </c>
      <c r="H77" s="54">
        <v>4</v>
      </c>
    </row>
    <row r="78" spans="1:8">
      <c r="A78" s="42" t="str">
        <f t="shared" si="5"/>
        <v>Engineering/Maintenance</v>
      </c>
      <c r="B78" s="42" t="s">
        <v>996</v>
      </c>
      <c r="C78" s="46" t="s">
        <v>285</v>
      </c>
      <c r="D78" s="39" t="s">
        <v>247</v>
      </c>
      <c r="E78" s="81">
        <v>36176</v>
      </c>
      <c r="F78" s="52"/>
      <c r="G78" s="53">
        <v>32940</v>
      </c>
      <c r="H78" s="54">
        <v>5</v>
      </c>
    </row>
    <row r="79" spans="1:8">
      <c r="A79" s="42" t="str">
        <f t="shared" si="5"/>
        <v>Engineering/Maintenance</v>
      </c>
      <c r="B79" s="42" t="s">
        <v>567</v>
      </c>
      <c r="C79" s="46" t="s">
        <v>251</v>
      </c>
      <c r="D79" s="39" t="s">
        <v>261</v>
      </c>
      <c r="E79" s="81">
        <v>36365</v>
      </c>
      <c r="F79" s="52" t="s">
        <v>267</v>
      </c>
      <c r="G79" s="53">
        <v>19825</v>
      </c>
      <c r="H79" s="54">
        <v>2</v>
      </c>
    </row>
    <row r="80" spans="1:8">
      <c r="A80" s="42" t="str">
        <f t="shared" si="5"/>
        <v>Engineering/Maintenance</v>
      </c>
      <c r="B80" s="42" t="s">
        <v>571</v>
      </c>
      <c r="C80" s="46" t="s">
        <v>251</v>
      </c>
      <c r="D80" s="39" t="s">
        <v>261</v>
      </c>
      <c r="E80" s="81">
        <v>35688</v>
      </c>
      <c r="F80" s="52" t="s">
        <v>283</v>
      </c>
      <c r="G80" s="53">
        <v>42740</v>
      </c>
      <c r="H80" s="54">
        <v>2</v>
      </c>
    </row>
    <row r="81" spans="1:8">
      <c r="A81" s="42" t="str">
        <f t="shared" si="5"/>
        <v>Engineering/Maintenance</v>
      </c>
      <c r="B81" s="42" t="s">
        <v>696</v>
      </c>
      <c r="C81" s="46" t="s">
        <v>245</v>
      </c>
      <c r="D81" s="39" t="s">
        <v>256</v>
      </c>
      <c r="E81" s="81">
        <v>38328</v>
      </c>
      <c r="F81" s="52" t="s">
        <v>262</v>
      </c>
      <c r="G81" s="53">
        <v>48280</v>
      </c>
      <c r="H81" s="54">
        <v>4</v>
      </c>
    </row>
    <row r="82" spans="1:8">
      <c r="A82" s="42" t="str">
        <f t="shared" si="5"/>
        <v>Engineering/Maintenance</v>
      </c>
      <c r="B82" s="42" t="s">
        <v>284</v>
      </c>
      <c r="C82" s="46" t="s">
        <v>245</v>
      </c>
      <c r="D82" s="39" t="s">
        <v>256</v>
      </c>
      <c r="E82" s="81">
        <v>33978</v>
      </c>
      <c r="F82" s="52" t="s">
        <v>283</v>
      </c>
      <c r="G82" s="53">
        <v>46410</v>
      </c>
      <c r="H82" s="54">
        <v>2</v>
      </c>
    </row>
    <row r="83" spans="1:8">
      <c r="A83" s="42" t="str">
        <f t="shared" si="5"/>
        <v>Engineering/Maintenance</v>
      </c>
      <c r="B83" s="42" t="s">
        <v>584</v>
      </c>
      <c r="C83" s="46" t="s">
        <v>245</v>
      </c>
      <c r="D83" s="39" t="s">
        <v>247</v>
      </c>
      <c r="E83" s="81">
        <v>35146</v>
      </c>
      <c r="F83" s="52"/>
      <c r="G83" s="53">
        <v>73190</v>
      </c>
      <c r="H83" s="54">
        <v>1</v>
      </c>
    </row>
    <row r="84" spans="1:8">
      <c r="A84" s="42" t="str">
        <f t="shared" si="5"/>
        <v>Engineering/Maintenance</v>
      </c>
      <c r="B84" s="42" t="s">
        <v>762</v>
      </c>
      <c r="C84" s="46" t="s">
        <v>285</v>
      </c>
      <c r="D84" s="39" t="s">
        <v>256</v>
      </c>
      <c r="E84" s="81">
        <v>35821</v>
      </c>
      <c r="F84" s="52" t="s">
        <v>267</v>
      </c>
      <c r="G84" s="53">
        <v>22870</v>
      </c>
      <c r="H84" s="54">
        <v>3</v>
      </c>
    </row>
    <row r="85" spans="1:8">
      <c r="A85" s="42" t="str">
        <f t="shared" si="5"/>
        <v>Engineering/Maintenance</v>
      </c>
      <c r="B85" s="42" t="s">
        <v>589</v>
      </c>
      <c r="C85" s="46" t="s">
        <v>271</v>
      </c>
      <c r="D85" s="39" t="s">
        <v>256</v>
      </c>
      <c r="E85" s="81">
        <v>36360</v>
      </c>
      <c r="F85" s="52" t="s">
        <v>283</v>
      </c>
      <c r="G85" s="53">
        <v>67020</v>
      </c>
      <c r="H85" s="54">
        <v>1</v>
      </c>
    </row>
    <row r="86" spans="1:8">
      <c r="A86" s="42" t="str">
        <f t="shared" si="5"/>
        <v>Engineering/Maintenance</v>
      </c>
      <c r="B86" s="42" t="s">
        <v>591</v>
      </c>
      <c r="C86" s="46" t="s">
        <v>245</v>
      </c>
      <c r="D86" s="39" t="s">
        <v>261</v>
      </c>
      <c r="E86" s="81">
        <v>36423</v>
      </c>
      <c r="F86" s="52" t="s">
        <v>276</v>
      </c>
      <c r="G86" s="53">
        <v>47350</v>
      </c>
      <c r="H86" s="54">
        <v>1</v>
      </c>
    </row>
    <row r="87" spans="1:8">
      <c r="A87" s="42" t="str">
        <f t="shared" si="5"/>
        <v>Engineering/Maintenance</v>
      </c>
      <c r="B87" s="42" t="s">
        <v>408</v>
      </c>
      <c r="C87" s="46" t="s">
        <v>285</v>
      </c>
      <c r="D87" s="45" t="s">
        <v>252</v>
      </c>
      <c r="E87" s="105">
        <v>40126</v>
      </c>
      <c r="F87" s="52"/>
      <c r="G87" s="53">
        <v>10636</v>
      </c>
      <c r="H87" s="54">
        <v>4</v>
      </c>
    </row>
    <row r="88" spans="1:8">
      <c r="A88" s="42" t="str">
        <f t="shared" si="5"/>
        <v>Engineering/Maintenance</v>
      </c>
      <c r="B88" s="42" t="s">
        <v>742</v>
      </c>
      <c r="C88" s="46" t="s">
        <v>285</v>
      </c>
      <c r="D88" s="39" t="s">
        <v>256</v>
      </c>
      <c r="E88" s="81">
        <v>39657</v>
      </c>
      <c r="F88" s="52" t="s">
        <v>276</v>
      </c>
      <c r="G88" s="53">
        <v>80880</v>
      </c>
      <c r="H88" s="54">
        <v>1</v>
      </c>
    </row>
    <row r="89" spans="1:8">
      <c r="A89" s="42" t="str">
        <f t="shared" si="5"/>
        <v>Engineering/Maintenance</v>
      </c>
      <c r="B89" s="42" t="s">
        <v>844</v>
      </c>
      <c r="C89" s="46" t="s">
        <v>245</v>
      </c>
      <c r="D89" s="39" t="s">
        <v>256</v>
      </c>
      <c r="E89" s="81">
        <v>38146</v>
      </c>
      <c r="F89" s="52" t="s">
        <v>257</v>
      </c>
      <c r="G89" s="53">
        <v>47340</v>
      </c>
      <c r="H89" s="54">
        <v>2</v>
      </c>
    </row>
    <row r="90" spans="1:8">
      <c r="A90" s="42" t="str">
        <f t="shared" si="5"/>
        <v>Engineering/Maintenance</v>
      </c>
      <c r="B90" s="42" t="s">
        <v>608</v>
      </c>
      <c r="C90" s="46" t="s">
        <v>251</v>
      </c>
      <c r="D90" s="39" t="s">
        <v>256</v>
      </c>
      <c r="E90" s="81">
        <v>35451</v>
      </c>
      <c r="F90" s="52" t="s">
        <v>276</v>
      </c>
      <c r="G90" s="53">
        <v>62965</v>
      </c>
      <c r="H90" s="54">
        <v>1</v>
      </c>
    </row>
    <row r="91" spans="1:8">
      <c r="A91" s="42" t="str">
        <f t="shared" si="5"/>
        <v>Engineering/Maintenance</v>
      </c>
      <c r="B91" s="42" t="s">
        <v>847</v>
      </c>
      <c r="C91" s="46" t="s">
        <v>271</v>
      </c>
      <c r="D91" s="39" t="s">
        <v>256</v>
      </c>
      <c r="E91" s="81">
        <v>34971</v>
      </c>
      <c r="F91" s="52" t="s">
        <v>283</v>
      </c>
      <c r="G91" s="53">
        <v>67050</v>
      </c>
      <c r="H91" s="54">
        <v>4</v>
      </c>
    </row>
    <row r="92" spans="1:8">
      <c r="A92" s="42" t="str">
        <f t="shared" si="5"/>
        <v>Engineering/Maintenance</v>
      </c>
      <c r="B92" s="42" t="s">
        <v>366</v>
      </c>
      <c r="C92" s="46" t="s">
        <v>285</v>
      </c>
      <c r="D92" s="39" t="s">
        <v>247</v>
      </c>
      <c r="E92" s="81">
        <v>34408</v>
      </c>
      <c r="F92" s="52"/>
      <c r="G92" s="53">
        <v>71700</v>
      </c>
      <c r="H92" s="54">
        <v>2</v>
      </c>
    </row>
    <row r="93" spans="1:8">
      <c r="A93" s="42" t="str">
        <f t="shared" si="5"/>
        <v>Engineering/Maintenance</v>
      </c>
      <c r="B93" s="42" t="s">
        <v>367</v>
      </c>
      <c r="C93" s="46" t="s">
        <v>266</v>
      </c>
      <c r="D93" s="39" t="s">
        <v>256</v>
      </c>
      <c r="E93" s="81">
        <v>38423</v>
      </c>
      <c r="F93" s="52" t="s">
        <v>276</v>
      </c>
      <c r="G93" s="53">
        <v>61330</v>
      </c>
      <c r="H93" s="54">
        <v>2</v>
      </c>
    </row>
    <row r="94" spans="1:8">
      <c r="A94" s="42" t="str">
        <f t="shared" si="5"/>
        <v>Engineering/Maintenance</v>
      </c>
      <c r="B94" s="42" t="s">
        <v>851</v>
      </c>
      <c r="C94" s="46" t="s">
        <v>271</v>
      </c>
      <c r="D94" s="39" t="s">
        <v>256</v>
      </c>
      <c r="E94" s="81">
        <v>36136</v>
      </c>
      <c r="F94" s="52" t="s">
        <v>283</v>
      </c>
      <c r="G94" s="53">
        <v>45000</v>
      </c>
      <c r="H94" s="54">
        <v>4</v>
      </c>
    </row>
    <row r="95" spans="1:8">
      <c r="A95" s="42" t="str">
        <f t="shared" si="5"/>
        <v>Engineering/Maintenance</v>
      </c>
      <c r="B95" s="42" t="s">
        <v>293</v>
      </c>
      <c r="C95" s="46" t="s">
        <v>285</v>
      </c>
      <c r="D95" s="39" t="s">
        <v>247</v>
      </c>
      <c r="E95" s="81">
        <v>39728</v>
      </c>
      <c r="F95" s="52"/>
      <c r="G95" s="53">
        <v>86040</v>
      </c>
      <c r="H95" s="54">
        <v>5</v>
      </c>
    </row>
    <row r="96" spans="1:8">
      <c r="A96" s="42" t="str">
        <f t="shared" si="5"/>
        <v>Engineering/Maintenance</v>
      </c>
      <c r="B96" s="42" t="s">
        <v>852</v>
      </c>
      <c r="C96" s="46" t="s">
        <v>280</v>
      </c>
      <c r="D96" s="39" t="s">
        <v>247</v>
      </c>
      <c r="E96" s="81">
        <v>33949</v>
      </c>
      <c r="F96" s="52"/>
      <c r="G96" s="53">
        <v>81070</v>
      </c>
      <c r="H96" s="54">
        <v>5</v>
      </c>
    </row>
    <row r="97" spans="1:8">
      <c r="A97" s="42" t="s">
        <v>372</v>
      </c>
      <c r="B97" s="42" t="s">
        <v>469</v>
      </c>
      <c r="C97" s="46" t="s">
        <v>285</v>
      </c>
      <c r="D97" s="39" t="s">
        <v>256</v>
      </c>
      <c r="E97" s="81">
        <v>39679</v>
      </c>
      <c r="F97" s="52" t="s">
        <v>257</v>
      </c>
      <c r="G97" s="53">
        <v>22820</v>
      </c>
      <c r="H97" s="54">
        <v>5</v>
      </c>
    </row>
    <row r="98" spans="1:8">
      <c r="A98" s="42" t="str">
        <f t="shared" ref="A98:A104" si="6">A97</f>
        <v>Engineering/Operations</v>
      </c>
      <c r="B98" s="42" t="s">
        <v>864</v>
      </c>
      <c r="C98" s="46" t="s">
        <v>285</v>
      </c>
      <c r="D98" s="39" t="s">
        <v>252</v>
      </c>
      <c r="E98" s="81">
        <v>33620</v>
      </c>
      <c r="F98" s="52"/>
      <c r="G98" s="53">
        <v>14568</v>
      </c>
      <c r="H98" s="54">
        <v>3</v>
      </c>
    </row>
    <row r="99" spans="1:8">
      <c r="A99" s="42" t="str">
        <f t="shared" si="6"/>
        <v>Engineering/Operations</v>
      </c>
      <c r="B99" s="42" t="s">
        <v>754</v>
      </c>
      <c r="C99" s="46" t="s">
        <v>285</v>
      </c>
      <c r="D99" s="39" t="s">
        <v>256</v>
      </c>
      <c r="E99" s="81">
        <v>33098</v>
      </c>
      <c r="F99" s="52" t="s">
        <v>257</v>
      </c>
      <c r="G99" s="53">
        <v>48080</v>
      </c>
      <c r="H99" s="54">
        <v>2</v>
      </c>
    </row>
    <row r="100" spans="1:8">
      <c r="A100" s="42" t="str">
        <f t="shared" si="6"/>
        <v>Engineering/Operations</v>
      </c>
      <c r="B100" s="42" t="s">
        <v>2383</v>
      </c>
      <c r="C100" s="46" t="s">
        <v>266</v>
      </c>
      <c r="D100" s="39" t="s">
        <v>261</v>
      </c>
      <c r="E100" s="81">
        <v>35343</v>
      </c>
      <c r="F100" s="52" t="s">
        <v>257</v>
      </c>
      <c r="G100" s="53">
        <v>46645</v>
      </c>
      <c r="H100" s="54">
        <v>5</v>
      </c>
    </row>
    <row r="101" spans="1:8">
      <c r="A101" s="42" t="str">
        <f t="shared" si="6"/>
        <v>Engineering/Operations</v>
      </c>
      <c r="B101" s="42" t="s">
        <v>551</v>
      </c>
      <c r="C101" s="46" t="s">
        <v>285</v>
      </c>
      <c r="D101" s="39" t="s">
        <v>256</v>
      </c>
      <c r="E101" s="81">
        <v>37568</v>
      </c>
      <c r="F101" s="52" t="s">
        <v>262</v>
      </c>
      <c r="G101" s="53">
        <v>45100</v>
      </c>
      <c r="H101" s="54">
        <v>2</v>
      </c>
    </row>
    <row r="102" spans="1:8">
      <c r="A102" s="42" t="str">
        <f t="shared" si="6"/>
        <v>Engineering/Operations</v>
      </c>
      <c r="B102" s="42" t="s">
        <v>437</v>
      </c>
      <c r="C102" s="46" t="s">
        <v>245</v>
      </c>
      <c r="D102" s="39" t="s">
        <v>256</v>
      </c>
      <c r="E102" s="81">
        <v>38321</v>
      </c>
      <c r="F102" s="52" t="s">
        <v>262</v>
      </c>
      <c r="G102" s="53">
        <v>70760</v>
      </c>
      <c r="H102" s="54">
        <v>1</v>
      </c>
    </row>
    <row r="103" spans="1:8">
      <c r="A103" s="42" t="str">
        <f t="shared" si="6"/>
        <v>Engineering/Operations</v>
      </c>
      <c r="B103" s="42" t="s">
        <v>695</v>
      </c>
      <c r="C103" s="46" t="s">
        <v>266</v>
      </c>
      <c r="D103" s="39" t="s">
        <v>247</v>
      </c>
      <c r="E103" s="81">
        <v>35185</v>
      </c>
      <c r="F103" s="52"/>
      <c r="G103" s="53">
        <v>24410</v>
      </c>
      <c r="H103" s="54">
        <v>3</v>
      </c>
    </row>
    <row r="104" spans="1:8">
      <c r="A104" s="42" t="str">
        <f t="shared" si="6"/>
        <v>Engineering/Operations</v>
      </c>
      <c r="B104" s="42" t="s">
        <v>832</v>
      </c>
      <c r="C104" s="46" t="s">
        <v>271</v>
      </c>
      <c r="D104" s="39" t="s">
        <v>247</v>
      </c>
      <c r="E104" s="81">
        <v>38755</v>
      </c>
      <c r="F104" s="52"/>
      <c r="G104" s="53">
        <v>78860</v>
      </c>
      <c r="H104" s="54">
        <v>2</v>
      </c>
    </row>
    <row r="105" spans="1:8">
      <c r="A105" s="42" t="s">
        <v>381</v>
      </c>
      <c r="B105" s="42" t="s">
        <v>277</v>
      </c>
      <c r="C105" s="46" t="s">
        <v>280</v>
      </c>
      <c r="D105" s="39" t="s">
        <v>252</v>
      </c>
      <c r="E105" s="81">
        <v>36380</v>
      </c>
      <c r="F105" s="52"/>
      <c r="G105" s="53">
        <v>36052</v>
      </c>
      <c r="H105" s="54">
        <v>5</v>
      </c>
    </row>
    <row r="106" spans="1:8">
      <c r="A106" s="42" t="str">
        <f t="shared" ref="A106:A113" si="7">A105</f>
        <v>Environmental Health/Safety</v>
      </c>
      <c r="B106" s="42" t="s">
        <v>945</v>
      </c>
      <c r="C106" s="46" t="s">
        <v>271</v>
      </c>
      <c r="D106" s="39" t="s">
        <v>247</v>
      </c>
      <c r="E106" s="81">
        <v>34658</v>
      </c>
      <c r="F106" s="52"/>
      <c r="G106" s="53">
        <v>85980</v>
      </c>
      <c r="H106" s="54">
        <v>2</v>
      </c>
    </row>
    <row r="107" spans="1:8">
      <c r="A107" s="42" t="str">
        <f t="shared" si="7"/>
        <v>Environmental Health/Safety</v>
      </c>
      <c r="B107" s="42" t="s">
        <v>298</v>
      </c>
      <c r="C107" s="46" t="s">
        <v>245</v>
      </c>
      <c r="D107" s="39" t="s">
        <v>247</v>
      </c>
      <c r="E107" s="81">
        <v>35301</v>
      </c>
      <c r="F107" s="52"/>
      <c r="G107" s="53">
        <v>60070</v>
      </c>
      <c r="H107" s="54">
        <v>2</v>
      </c>
    </row>
    <row r="108" spans="1:8">
      <c r="A108" s="42" t="str">
        <f t="shared" si="7"/>
        <v>Environmental Health/Safety</v>
      </c>
      <c r="B108" s="42" t="s">
        <v>519</v>
      </c>
      <c r="C108" s="46" t="s">
        <v>245</v>
      </c>
      <c r="D108" s="39" t="s">
        <v>256</v>
      </c>
      <c r="E108" s="81">
        <v>37113</v>
      </c>
      <c r="F108" s="52" t="s">
        <v>267</v>
      </c>
      <c r="G108" s="53">
        <v>61150</v>
      </c>
      <c r="H108" s="54">
        <v>4</v>
      </c>
    </row>
    <row r="109" spans="1:8">
      <c r="A109" s="42" t="str">
        <f t="shared" si="7"/>
        <v>Environmental Health/Safety</v>
      </c>
      <c r="B109" s="42" t="s">
        <v>527</v>
      </c>
      <c r="C109" s="46" t="s">
        <v>271</v>
      </c>
      <c r="D109" s="39" t="s">
        <v>256</v>
      </c>
      <c r="E109" s="81">
        <v>33246</v>
      </c>
      <c r="F109" s="52" t="s">
        <v>257</v>
      </c>
      <c r="G109" s="53">
        <v>71730</v>
      </c>
      <c r="H109" s="54">
        <v>1</v>
      </c>
    </row>
    <row r="110" spans="1:8">
      <c r="A110" s="42" t="str">
        <f t="shared" si="7"/>
        <v>Environmental Health/Safety</v>
      </c>
      <c r="B110" s="42" t="s">
        <v>397</v>
      </c>
      <c r="C110" s="46" t="s">
        <v>271</v>
      </c>
      <c r="D110" s="39" t="s">
        <v>247</v>
      </c>
      <c r="E110" s="81">
        <v>36342</v>
      </c>
      <c r="F110" s="52"/>
      <c r="G110" s="53">
        <v>86970</v>
      </c>
      <c r="H110" s="54">
        <v>4</v>
      </c>
    </row>
    <row r="111" spans="1:8">
      <c r="A111" s="42" t="str">
        <f t="shared" si="7"/>
        <v>Environmental Health/Safety</v>
      </c>
      <c r="B111" s="42" t="s">
        <v>348</v>
      </c>
      <c r="C111" s="46" t="s">
        <v>251</v>
      </c>
      <c r="D111" s="39" t="s">
        <v>256</v>
      </c>
      <c r="E111" s="81">
        <v>39157</v>
      </c>
      <c r="F111" s="52" t="s">
        <v>283</v>
      </c>
      <c r="G111" s="53">
        <v>47610</v>
      </c>
      <c r="H111" s="54">
        <v>4</v>
      </c>
    </row>
    <row r="112" spans="1:8">
      <c r="A112" s="42" t="str">
        <f t="shared" si="7"/>
        <v>Environmental Health/Safety</v>
      </c>
      <c r="B112" s="42" t="s">
        <v>577</v>
      </c>
      <c r="C112" s="46" t="s">
        <v>251</v>
      </c>
      <c r="D112" s="39" t="s">
        <v>256</v>
      </c>
      <c r="E112" s="81">
        <v>36101</v>
      </c>
      <c r="F112" s="52" t="s">
        <v>257</v>
      </c>
      <c r="G112" s="53">
        <v>88240</v>
      </c>
      <c r="H112" s="54">
        <v>5</v>
      </c>
    </row>
    <row r="113" spans="1:8">
      <c r="A113" s="42" t="str">
        <f t="shared" si="7"/>
        <v>Environmental Health/Safety</v>
      </c>
      <c r="B113" s="42" t="s">
        <v>1000</v>
      </c>
      <c r="C113" s="46" t="s">
        <v>285</v>
      </c>
      <c r="D113" s="39" t="s">
        <v>256</v>
      </c>
      <c r="E113" s="81">
        <v>36332</v>
      </c>
      <c r="F113" s="52" t="s">
        <v>267</v>
      </c>
      <c r="G113" s="53">
        <v>37760</v>
      </c>
      <c r="H113" s="54">
        <v>2</v>
      </c>
    </row>
    <row r="114" spans="1:8">
      <c r="A114" s="42" t="s">
        <v>391</v>
      </c>
      <c r="B114" s="42" t="s">
        <v>468</v>
      </c>
      <c r="C114" s="46" t="s">
        <v>285</v>
      </c>
      <c r="D114" s="45" t="s">
        <v>261</v>
      </c>
      <c r="E114" s="105">
        <v>33474</v>
      </c>
      <c r="F114" s="52" t="s">
        <v>262</v>
      </c>
      <c r="G114" s="53">
        <v>30445</v>
      </c>
      <c r="H114" s="54">
        <v>1</v>
      </c>
    </row>
    <row r="115" spans="1:8">
      <c r="A115" s="42" t="str">
        <f t="shared" ref="A115:A132" si="8">A114</f>
        <v>Executive Education</v>
      </c>
      <c r="B115" s="42" t="s">
        <v>477</v>
      </c>
      <c r="C115" s="46" t="s">
        <v>251</v>
      </c>
      <c r="D115" s="39" t="s">
        <v>247</v>
      </c>
      <c r="E115" s="81">
        <v>35826</v>
      </c>
      <c r="F115" s="52"/>
      <c r="G115" s="53">
        <v>45030</v>
      </c>
      <c r="H115" s="54">
        <v>3</v>
      </c>
    </row>
    <row r="116" spans="1:8">
      <c r="A116" s="42" t="str">
        <f t="shared" si="8"/>
        <v>Executive Education</v>
      </c>
      <c r="B116" s="42" t="s">
        <v>481</v>
      </c>
      <c r="C116" s="46" t="s">
        <v>280</v>
      </c>
      <c r="D116" s="45" t="s">
        <v>247</v>
      </c>
      <c r="E116" s="105">
        <v>39147</v>
      </c>
      <c r="F116" s="52"/>
      <c r="G116" s="53">
        <v>42540</v>
      </c>
      <c r="H116" s="54">
        <v>5</v>
      </c>
    </row>
    <row r="117" spans="1:8">
      <c r="A117" s="42" t="str">
        <f t="shared" si="8"/>
        <v>Executive Education</v>
      </c>
      <c r="B117" s="42" t="s">
        <v>947</v>
      </c>
      <c r="C117" s="46" t="s">
        <v>266</v>
      </c>
      <c r="D117" s="39" t="s">
        <v>256</v>
      </c>
      <c r="E117" s="81">
        <v>35197</v>
      </c>
      <c r="F117" s="52" t="s">
        <v>276</v>
      </c>
      <c r="G117" s="53">
        <v>82120</v>
      </c>
      <c r="H117" s="54">
        <v>5</v>
      </c>
    </row>
    <row r="118" spans="1:8">
      <c r="A118" s="42" t="str">
        <f t="shared" si="8"/>
        <v>Executive Education</v>
      </c>
      <c r="B118" s="42" t="s">
        <v>877</v>
      </c>
      <c r="C118" s="46" t="s">
        <v>266</v>
      </c>
      <c r="D118" s="39" t="s">
        <v>256</v>
      </c>
      <c r="E118" s="81">
        <v>38807</v>
      </c>
      <c r="F118" s="52" t="s">
        <v>257</v>
      </c>
      <c r="G118" s="53">
        <v>47060</v>
      </c>
      <c r="H118" s="54">
        <v>4</v>
      </c>
    </row>
    <row r="119" spans="1:8">
      <c r="A119" s="42" t="str">
        <f t="shared" si="8"/>
        <v>Executive Education</v>
      </c>
      <c r="B119" s="42" t="s">
        <v>880</v>
      </c>
      <c r="C119" s="46" t="s">
        <v>280</v>
      </c>
      <c r="D119" s="39" t="s">
        <v>256</v>
      </c>
      <c r="E119" s="81">
        <v>35094</v>
      </c>
      <c r="F119" s="52" t="s">
        <v>262</v>
      </c>
      <c r="G119" s="53">
        <v>61148</v>
      </c>
      <c r="H119" s="54">
        <v>2</v>
      </c>
    </row>
    <row r="120" spans="1:8">
      <c r="A120" s="42" t="str">
        <f t="shared" si="8"/>
        <v>Executive Education</v>
      </c>
      <c r="B120" s="42" t="s">
        <v>641</v>
      </c>
      <c r="C120" s="46" t="s">
        <v>245</v>
      </c>
      <c r="D120" s="39" t="s">
        <v>256</v>
      </c>
      <c r="E120" s="81">
        <v>35569</v>
      </c>
      <c r="F120" s="52" t="s">
        <v>283</v>
      </c>
      <c r="G120" s="53">
        <v>37770</v>
      </c>
      <c r="H120" s="54">
        <v>5</v>
      </c>
    </row>
    <row r="121" spans="1:8">
      <c r="A121" s="42" t="str">
        <f t="shared" si="8"/>
        <v>Executive Education</v>
      </c>
      <c r="B121" s="42" t="s">
        <v>530</v>
      </c>
      <c r="C121" s="46" t="s">
        <v>245</v>
      </c>
      <c r="D121" s="39" t="s">
        <v>247</v>
      </c>
      <c r="E121" s="81">
        <v>36777</v>
      </c>
      <c r="F121" s="52"/>
      <c r="G121" s="53">
        <v>76690</v>
      </c>
      <c r="H121" s="54">
        <v>3</v>
      </c>
    </row>
    <row r="122" spans="1:8">
      <c r="A122" s="42" t="str">
        <f t="shared" si="8"/>
        <v>Executive Education</v>
      </c>
      <c r="B122" s="42" t="s">
        <v>644</v>
      </c>
      <c r="C122" s="46" t="s">
        <v>271</v>
      </c>
      <c r="D122" s="39" t="s">
        <v>256</v>
      </c>
      <c r="E122" s="81">
        <v>36077</v>
      </c>
      <c r="F122" s="52" t="s">
        <v>283</v>
      </c>
      <c r="G122" s="53">
        <v>50110</v>
      </c>
      <c r="H122" s="54">
        <v>1</v>
      </c>
    </row>
    <row r="123" spans="1:8">
      <c r="A123" s="42" t="str">
        <f t="shared" si="8"/>
        <v>Executive Education</v>
      </c>
      <c r="B123" s="42" t="s">
        <v>535</v>
      </c>
      <c r="C123" s="46" t="s">
        <v>280</v>
      </c>
      <c r="D123" s="39" t="s">
        <v>256</v>
      </c>
      <c r="E123" s="81">
        <v>33588</v>
      </c>
      <c r="F123" s="52" t="s">
        <v>283</v>
      </c>
      <c r="G123" s="53">
        <v>44620</v>
      </c>
      <c r="H123" s="54">
        <v>5</v>
      </c>
    </row>
    <row r="124" spans="1:8">
      <c r="A124" s="42" t="str">
        <f t="shared" si="8"/>
        <v>Executive Education</v>
      </c>
      <c r="B124" s="42" t="s">
        <v>973</v>
      </c>
      <c r="C124" s="46" t="s">
        <v>251</v>
      </c>
      <c r="D124" s="39" t="s">
        <v>252</v>
      </c>
      <c r="E124" s="81">
        <v>36084</v>
      </c>
      <c r="F124" s="52"/>
      <c r="G124" s="53">
        <v>21668</v>
      </c>
      <c r="H124" s="54">
        <v>4</v>
      </c>
    </row>
    <row r="125" spans="1:8">
      <c r="A125" s="42" t="str">
        <f t="shared" si="8"/>
        <v>Executive Education</v>
      </c>
      <c r="B125" s="42" t="s">
        <v>300</v>
      </c>
      <c r="C125" s="46" t="s">
        <v>285</v>
      </c>
      <c r="D125" s="39" t="s">
        <v>256</v>
      </c>
      <c r="E125" s="81">
        <v>34754</v>
      </c>
      <c r="F125" s="52" t="s">
        <v>257</v>
      </c>
      <c r="G125" s="53">
        <v>39000</v>
      </c>
      <c r="H125" s="54">
        <v>5</v>
      </c>
    </row>
    <row r="126" spans="1:8">
      <c r="A126" s="42" t="str">
        <f t="shared" si="8"/>
        <v>Executive Education</v>
      </c>
      <c r="B126" s="42" t="s">
        <v>559</v>
      </c>
      <c r="C126" s="46" t="s">
        <v>271</v>
      </c>
      <c r="D126" s="39" t="s">
        <v>256</v>
      </c>
      <c r="E126" s="81">
        <v>35219</v>
      </c>
      <c r="F126" s="52" t="s">
        <v>257</v>
      </c>
      <c r="G126" s="53">
        <v>47340</v>
      </c>
      <c r="H126" s="54">
        <v>2</v>
      </c>
    </row>
    <row r="127" spans="1:8">
      <c r="A127" s="42" t="str">
        <f t="shared" si="8"/>
        <v>Executive Education</v>
      </c>
      <c r="B127" s="42" t="s">
        <v>564</v>
      </c>
      <c r="C127" s="46" t="s">
        <v>285</v>
      </c>
      <c r="D127" s="39" t="s">
        <v>256</v>
      </c>
      <c r="E127" s="81">
        <v>37008</v>
      </c>
      <c r="F127" s="52" t="s">
        <v>257</v>
      </c>
      <c r="G127" s="53">
        <v>27180</v>
      </c>
      <c r="H127" s="54">
        <v>4</v>
      </c>
    </row>
    <row r="128" spans="1:8">
      <c r="A128" s="42" t="str">
        <f t="shared" si="8"/>
        <v>Executive Education</v>
      </c>
      <c r="B128" s="42" t="s">
        <v>735</v>
      </c>
      <c r="C128" s="46" t="s">
        <v>285</v>
      </c>
      <c r="D128" s="39" t="s">
        <v>247</v>
      </c>
      <c r="E128" s="103">
        <v>40292</v>
      </c>
      <c r="F128" s="52"/>
      <c r="G128" s="53">
        <v>61890</v>
      </c>
      <c r="H128" s="54">
        <v>2</v>
      </c>
    </row>
    <row r="129" spans="1:8">
      <c r="A129" s="42" t="str">
        <f t="shared" si="8"/>
        <v>Executive Education</v>
      </c>
      <c r="B129" s="42" t="s">
        <v>405</v>
      </c>
      <c r="C129" s="46" t="s">
        <v>285</v>
      </c>
      <c r="D129" s="39" t="s">
        <v>256</v>
      </c>
      <c r="E129" s="81">
        <v>36318</v>
      </c>
      <c r="F129" s="52" t="s">
        <v>283</v>
      </c>
      <c r="G129" s="53">
        <v>68750</v>
      </c>
      <c r="H129" s="54">
        <v>1</v>
      </c>
    </row>
    <row r="130" spans="1:8">
      <c r="A130" s="42" t="str">
        <f t="shared" si="8"/>
        <v>Executive Education</v>
      </c>
      <c r="B130" s="42" t="s">
        <v>831</v>
      </c>
      <c r="C130" s="46" t="s">
        <v>245</v>
      </c>
      <c r="D130" s="39" t="s">
        <v>261</v>
      </c>
      <c r="E130" s="81">
        <v>33709</v>
      </c>
      <c r="F130" s="52" t="s">
        <v>257</v>
      </c>
      <c r="G130" s="53">
        <v>34110</v>
      </c>
      <c r="H130" s="54">
        <v>4</v>
      </c>
    </row>
    <row r="131" spans="1:8">
      <c r="A131" s="42" t="str">
        <f t="shared" si="8"/>
        <v>Executive Education</v>
      </c>
      <c r="B131" s="42" t="s">
        <v>920</v>
      </c>
      <c r="C131" s="46" t="s">
        <v>285</v>
      </c>
      <c r="D131" s="39" t="s">
        <v>247</v>
      </c>
      <c r="E131" s="81">
        <v>35349</v>
      </c>
      <c r="F131" s="52"/>
      <c r="G131" s="53">
        <v>52940</v>
      </c>
      <c r="H131" s="54">
        <v>4</v>
      </c>
    </row>
    <row r="132" spans="1:8">
      <c r="A132" s="42" t="str">
        <f t="shared" si="8"/>
        <v>Executive Education</v>
      </c>
      <c r="B132" s="42" t="s">
        <v>449</v>
      </c>
      <c r="C132" s="46" t="s">
        <v>271</v>
      </c>
      <c r="D132" s="39" t="s">
        <v>256</v>
      </c>
      <c r="E132" s="81">
        <v>36414</v>
      </c>
      <c r="F132" s="52" t="s">
        <v>276</v>
      </c>
      <c r="G132" s="53">
        <v>39680</v>
      </c>
      <c r="H132" s="54">
        <v>5</v>
      </c>
    </row>
    <row r="133" spans="1:8">
      <c r="A133" s="42" t="s">
        <v>411</v>
      </c>
      <c r="B133" s="42" t="s">
        <v>487</v>
      </c>
      <c r="C133" s="46" t="s">
        <v>251</v>
      </c>
      <c r="D133" s="39" t="s">
        <v>256</v>
      </c>
      <c r="E133" s="81">
        <v>34474</v>
      </c>
      <c r="F133" s="52" t="s">
        <v>262</v>
      </c>
      <c r="G133" s="53">
        <v>74670</v>
      </c>
      <c r="H133" s="54">
        <v>5</v>
      </c>
    </row>
    <row r="134" spans="1:8">
      <c r="A134" s="42" t="str">
        <f t="shared" ref="A134:A137" si="9">A133</f>
        <v>International Clinical Safety</v>
      </c>
      <c r="B134" s="42" t="s">
        <v>489</v>
      </c>
      <c r="C134" s="46" t="s">
        <v>245</v>
      </c>
      <c r="D134" s="39" t="s">
        <v>256</v>
      </c>
      <c r="E134" s="81">
        <v>36463</v>
      </c>
      <c r="F134" s="52" t="s">
        <v>257</v>
      </c>
      <c r="G134" s="53">
        <v>44220</v>
      </c>
      <c r="H134" s="54">
        <v>3</v>
      </c>
    </row>
    <row r="135" spans="1:8">
      <c r="A135" s="42" t="str">
        <f t="shared" si="9"/>
        <v>International Clinical Safety</v>
      </c>
      <c r="B135" s="42" t="s">
        <v>826</v>
      </c>
      <c r="C135" s="46" t="s">
        <v>285</v>
      </c>
      <c r="D135" s="39" t="s">
        <v>247</v>
      </c>
      <c r="E135" s="81">
        <v>36375</v>
      </c>
      <c r="F135" s="52"/>
      <c r="G135" s="53">
        <v>71300</v>
      </c>
      <c r="H135" s="54">
        <v>5</v>
      </c>
    </row>
    <row r="136" spans="1:8">
      <c r="A136" s="42" t="str">
        <f t="shared" si="9"/>
        <v>International Clinical Safety</v>
      </c>
      <c r="B136" s="42" t="s">
        <v>596</v>
      </c>
      <c r="C136" s="46" t="s">
        <v>285</v>
      </c>
      <c r="D136" s="39" t="s">
        <v>252</v>
      </c>
      <c r="E136" s="81">
        <v>36557</v>
      </c>
      <c r="F136" s="52"/>
      <c r="G136" s="53">
        <v>15552</v>
      </c>
      <c r="H136" s="54">
        <v>4</v>
      </c>
    </row>
    <row r="137" spans="1:8">
      <c r="A137" s="42" t="str">
        <f t="shared" si="9"/>
        <v>International Clinical Safety</v>
      </c>
      <c r="B137" s="42" t="s">
        <v>669</v>
      </c>
      <c r="C137" s="46" t="s">
        <v>285</v>
      </c>
      <c r="D137" s="39" t="s">
        <v>256</v>
      </c>
      <c r="E137" s="81">
        <v>37176</v>
      </c>
      <c r="F137" s="52" t="s">
        <v>267</v>
      </c>
      <c r="G137" s="53">
        <v>62790</v>
      </c>
      <c r="H137" s="54">
        <v>2</v>
      </c>
    </row>
    <row r="138" spans="1:8">
      <c r="A138" s="42" t="s">
        <v>417</v>
      </c>
      <c r="B138" s="42" t="s">
        <v>392</v>
      </c>
      <c r="C138" s="46" t="s">
        <v>271</v>
      </c>
      <c r="D138" s="39" t="s">
        <v>256</v>
      </c>
      <c r="E138" s="81">
        <v>38790</v>
      </c>
      <c r="F138" s="52" t="s">
        <v>262</v>
      </c>
      <c r="G138" s="53">
        <v>62688</v>
      </c>
      <c r="H138" s="54">
        <v>3</v>
      </c>
    </row>
    <row r="139" spans="1:8">
      <c r="A139" s="42" t="str">
        <f t="shared" ref="A139:A175" si="10">A138</f>
        <v>Logistics</v>
      </c>
      <c r="B139" s="42" t="s">
        <v>936</v>
      </c>
      <c r="C139" s="46" t="s">
        <v>271</v>
      </c>
      <c r="D139" s="39" t="s">
        <v>247</v>
      </c>
      <c r="E139" s="81">
        <v>33401</v>
      </c>
      <c r="F139" s="52"/>
      <c r="G139" s="53">
        <v>34680</v>
      </c>
      <c r="H139" s="54">
        <v>5</v>
      </c>
    </row>
    <row r="140" spans="1:8">
      <c r="A140" s="42" t="str">
        <f t="shared" si="10"/>
        <v>Logistics</v>
      </c>
      <c r="B140" s="42" t="s">
        <v>479</v>
      </c>
      <c r="C140" s="46" t="s">
        <v>245</v>
      </c>
      <c r="D140" s="39" t="s">
        <v>256</v>
      </c>
      <c r="E140" s="81">
        <v>35514</v>
      </c>
      <c r="F140" s="52" t="s">
        <v>267</v>
      </c>
      <c r="G140" s="53">
        <v>26510</v>
      </c>
      <c r="H140" s="54">
        <v>1</v>
      </c>
    </row>
    <row r="141" spans="1:8">
      <c r="A141" s="42" t="str">
        <f t="shared" si="10"/>
        <v>Logistics</v>
      </c>
      <c r="B141" s="42" t="s">
        <v>480</v>
      </c>
      <c r="C141" s="46" t="s">
        <v>251</v>
      </c>
      <c r="D141" s="39" t="s">
        <v>256</v>
      </c>
      <c r="E141" s="81">
        <v>35356</v>
      </c>
      <c r="F141" s="52" t="s">
        <v>262</v>
      </c>
      <c r="G141" s="53">
        <v>63030</v>
      </c>
      <c r="H141" s="54">
        <v>1</v>
      </c>
    </row>
    <row r="142" spans="1:8">
      <c r="A142" s="42" t="str">
        <f t="shared" si="10"/>
        <v>Logistics</v>
      </c>
      <c r="B142" s="42" t="s">
        <v>633</v>
      </c>
      <c r="C142" s="46" t="s">
        <v>285</v>
      </c>
      <c r="D142" s="39" t="s">
        <v>256</v>
      </c>
      <c r="E142" s="81">
        <v>37960</v>
      </c>
      <c r="F142" s="52" t="s">
        <v>257</v>
      </c>
      <c r="G142" s="53">
        <v>66890</v>
      </c>
      <c r="H142" s="54">
        <v>5</v>
      </c>
    </row>
    <row r="143" spans="1:8">
      <c r="A143" s="42" t="str">
        <f t="shared" si="10"/>
        <v>Logistics</v>
      </c>
      <c r="B143" s="42" t="s">
        <v>713</v>
      </c>
      <c r="C143" s="46" t="s">
        <v>285</v>
      </c>
      <c r="D143" s="39" t="s">
        <v>256</v>
      </c>
      <c r="E143" s="81">
        <v>37331</v>
      </c>
      <c r="F143" s="52" t="s">
        <v>283</v>
      </c>
      <c r="G143" s="53">
        <v>62750</v>
      </c>
      <c r="H143" s="54">
        <v>3</v>
      </c>
    </row>
    <row r="144" spans="1:8">
      <c r="A144" s="42" t="str">
        <f t="shared" si="10"/>
        <v>Logistics</v>
      </c>
      <c r="B144" s="42" t="s">
        <v>499</v>
      </c>
      <c r="C144" s="46" t="s">
        <v>251</v>
      </c>
      <c r="D144" s="39" t="s">
        <v>261</v>
      </c>
      <c r="E144" s="81">
        <v>34154</v>
      </c>
      <c r="F144" s="52" t="s">
        <v>257</v>
      </c>
      <c r="G144" s="53">
        <v>49545</v>
      </c>
      <c r="H144" s="54">
        <v>2</v>
      </c>
    </row>
    <row r="145" spans="1:8">
      <c r="A145" s="42" t="str">
        <f t="shared" si="10"/>
        <v>Logistics</v>
      </c>
      <c r="B145" s="42" t="s">
        <v>500</v>
      </c>
      <c r="C145" s="46" t="s">
        <v>285</v>
      </c>
      <c r="D145" s="39" t="s">
        <v>247</v>
      </c>
      <c r="E145" s="81">
        <v>36297</v>
      </c>
      <c r="F145" s="52"/>
      <c r="G145" s="53">
        <v>57990</v>
      </c>
      <c r="H145" s="54">
        <v>5</v>
      </c>
    </row>
    <row r="146" spans="1:8">
      <c r="A146" s="42" t="str">
        <f t="shared" si="10"/>
        <v>Logistics</v>
      </c>
      <c r="B146" s="42" t="s">
        <v>753</v>
      </c>
      <c r="C146" s="46" t="s">
        <v>271</v>
      </c>
      <c r="D146" s="39" t="s">
        <v>256</v>
      </c>
      <c r="E146" s="81">
        <v>36707</v>
      </c>
      <c r="F146" s="52" t="s">
        <v>276</v>
      </c>
      <c r="G146" s="53">
        <v>38870</v>
      </c>
      <c r="H146" s="54">
        <v>2</v>
      </c>
    </row>
    <row r="147" spans="1:8">
      <c r="A147" s="42" t="str">
        <f t="shared" si="10"/>
        <v>Logistics</v>
      </c>
      <c r="B147" s="42" t="s">
        <v>244</v>
      </c>
      <c r="C147" s="46" t="s">
        <v>245</v>
      </c>
      <c r="D147" s="39" t="s">
        <v>256</v>
      </c>
      <c r="E147" s="81">
        <v>36535</v>
      </c>
      <c r="F147" s="52" t="s">
        <v>257</v>
      </c>
      <c r="G147" s="53">
        <v>76192</v>
      </c>
      <c r="H147" s="54">
        <v>4</v>
      </c>
    </row>
    <row r="148" spans="1:8">
      <c r="A148" s="42" t="str">
        <f t="shared" si="10"/>
        <v>Logistics</v>
      </c>
      <c r="B148" s="42" t="s">
        <v>514</v>
      </c>
      <c r="C148" s="46" t="s">
        <v>266</v>
      </c>
      <c r="D148" s="39" t="s">
        <v>256</v>
      </c>
      <c r="E148" s="81">
        <v>35801</v>
      </c>
      <c r="F148" s="52" t="s">
        <v>257</v>
      </c>
      <c r="G148" s="53">
        <v>78570</v>
      </c>
      <c r="H148" s="54">
        <v>1</v>
      </c>
    </row>
    <row r="149" spans="1:8">
      <c r="A149" s="42" t="str">
        <f t="shared" si="10"/>
        <v>Logistics</v>
      </c>
      <c r="B149" s="42" t="s">
        <v>878</v>
      </c>
      <c r="C149" s="46" t="s">
        <v>271</v>
      </c>
      <c r="D149" s="39" t="s">
        <v>256</v>
      </c>
      <c r="E149" s="81">
        <v>33904</v>
      </c>
      <c r="F149" s="52" t="s">
        <v>262</v>
      </c>
      <c r="G149" s="53">
        <v>87980</v>
      </c>
      <c r="H149" s="54">
        <v>1</v>
      </c>
    </row>
    <row r="150" spans="1:8">
      <c r="A150" s="42" t="str">
        <f t="shared" si="10"/>
        <v>Logistics</v>
      </c>
      <c r="B150" s="42" t="s">
        <v>793</v>
      </c>
      <c r="C150" s="46" t="s">
        <v>271</v>
      </c>
      <c r="D150" s="39" t="s">
        <v>247</v>
      </c>
      <c r="E150" s="81">
        <v>36214</v>
      </c>
      <c r="F150" s="52"/>
      <c r="G150" s="53">
        <v>53310</v>
      </c>
      <c r="H150" s="54">
        <v>5</v>
      </c>
    </row>
    <row r="151" spans="1:8">
      <c r="A151" s="42" t="str">
        <f t="shared" si="10"/>
        <v>Logistics</v>
      </c>
      <c r="B151" s="42" t="s">
        <v>950</v>
      </c>
      <c r="C151" s="46" t="s">
        <v>245</v>
      </c>
      <c r="D151" s="39" t="s">
        <v>256</v>
      </c>
      <c r="E151" s="81">
        <v>35856</v>
      </c>
      <c r="F151" s="52" t="s">
        <v>276</v>
      </c>
      <c r="G151" s="53">
        <v>86830</v>
      </c>
      <c r="H151" s="54">
        <v>3</v>
      </c>
    </row>
    <row r="152" spans="1:8">
      <c r="A152" s="42" t="str">
        <f t="shared" si="10"/>
        <v>Logistics</v>
      </c>
      <c r="B152" s="42" t="s">
        <v>327</v>
      </c>
      <c r="C152" s="46" t="s">
        <v>245</v>
      </c>
      <c r="D152" s="39" t="s">
        <v>256</v>
      </c>
      <c r="E152" s="81">
        <v>34177</v>
      </c>
      <c r="F152" s="52" t="s">
        <v>283</v>
      </c>
      <c r="G152" s="53">
        <v>65250</v>
      </c>
      <c r="H152" s="54">
        <v>2</v>
      </c>
    </row>
    <row r="153" spans="1:8">
      <c r="A153" s="42" t="str">
        <f t="shared" si="10"/>
        <v>Logistics</v>
      </c>
      <c r="B153" s="42" t="s">
        <v>816</v>
      </c>
      <c r="C153" s="46" t="s">
        <v>271</v>
      </c>
      <c r="D153" s="39" t="s">
        <v>261</v>
      </c>
      <c r="E153" s="81">
        <v>37775</v>
      </c>
      <c r="F153" s="52" t="s">
        <v>262</v>
      </c>
      <c r="G153" s="53">
        <v>28525</v>
      </c>
      <c r="H153" s="54">
        <v>4</v>
      </c>
    </row>
    <row r="154" spans="1:8">
      <c r="A154" s="42" t="str">
        <f t="shared" si="10"/>
        <v>Logistics</v>
      </c>
      <c r="B154" s="42" t="s">
        <v>539</v>
      </c>
      <c r="C154" s="46" t="s">
        <v>251</v>
      </c>
      <c r="D154" s="39" t="s">
        <v>247</v>
      </c>
      <c r="E154" s="81">
        <v>40333</v>
      </c>
      <c r="F154" s="52"/>
      <c r="G154" s="53">
        <v>74020</v>
      </c>
      <c r="H154" s="54">
        <v>2</v>
      </c>
    </row>
    <row r="155" spans="1:8">
      <c r="A155" s="42" t="str">
        <f t="shared" si="10"/>
        <v>Logistics</v>
      </c>
      <c r="B155" s="42" t="s">
        <v>981</v>
      </c>
      <c r="C155" s="46" t="s">
        <v>280</v>
      </c>
      <c r="D155" s="39" t="s">
        <v>256</v>
      </c>
      <c r="E155" s="81">
        <v>33551</v>
      </c>
      <c r="F155" s="52" t="s">
        <v>262</v>
      </c>
      <c r="G155" s="53">
        <v>41350</v>
      </c>
      <c r="H155" s="54">
        <v>2</v>
      </c>
    </row>
    <row r="156" spans="1:8">
      <c r="A156" s="42" t="str">
        <f t="shared" si="10"/>
        <v>Logistics</v>
      </c>
      <c r="B156" s="42" t="s">
        <v>339</v>
      </c>
      <c r="C156" s="46" t="s">
        <v>285</v>
      </c>
      <c r="D156" s="39" t="s">
        <v>256</v>
      </c>
      <c r="E156" s="81">
        <v>37684</v>
      </c>
      <c r="F156" s="52" t="s">
        <v>283</v>
      </c>
      <c r="G156" s="53">
        <v>42800</v>
      </c>
      <c r="H156" s="54">
        <v>5</v>
      </c>
    </row>
    <row r="157" spans="1:8">
      <c r="A157" s="42" t="str">
        <f t="shared" si="10"/>
        <v>Logistics</v>
      </c>
      <c r="B157" s="42" t="s">
        <v>691</v>
      </c>
      <c r="C157" s="46" t="s">
        <v>285</v>
      </c>
      <c r="D157" s="39" t="s">
        <v>252</v>
      </c>
      <c r="E157" s="81">
        <v>33751</v>
      </c>
      <c r="F157" s="52"/>
      <c r="G157" s="53">
        <v>22344</v>
      </c>
      <c r="H157" s="54">
        <v>4</v>
      </c>
    </row>
    <row r="158" spans="1:8">
      <c r="A158" s="42" t="str">
        <f t="shared" si="10"/>
        <v>Logistics</v>
      </c>
      <c r="B158" s="42" t="s">
        <v>555</v>
      </c>
      <c r="C158" s="46" t="s">
        <v>245</v>
      </c>
      <c r="D158" s="39" t="s">
        <v>256</v>
      </c>
      <c r="E158" s="81">
        <v>40470</v>
      </c>
      <c r="F158" s="52" t="s">
        <v>283</v>
      </c>
      <c r="G158" s="53">
        <v>42620</v>
      </c>
      <c r="H158" s="54">
        <v>3</v>
      </c>
    </row>
    <row r="159" spans="1:8">
      <c r="A159" s="42" t="str">
        <f t="shared" si="10"/>
        <v>Logistics</v>
      </c>
      <c r="B159" s="42" t="s">
        <v>561</v>
      </c>
      <c r="C159" s="46" t="s">
        <v>280</v>
      </c>
      <c r="D159" s="39" t="s">
        <v>261</v>
      </c>
      <c r="E159" s="81">
        <v>39768</v>
      </c>
      <c r="F159" s="52" t="s">
        <v>257</v>
      </c>
      <c r="G159" s="53">
        <v>39515</v>
      </c>
      <c r="H159" s="54">
        <v>5</v>
      </c>
    </row>
    <row r="160" spans="1:8">
      <c r="A160" s="42" t="str">
        <f t="shared" si="10"/>
        <v>Logistics</v>
      </c>
      <c r="B160" s="42" t="s">
        <v>342</v>
      </c>
      <c r="C160" s="46" t="s">
        <v>245</v>
      </c>
      <c r="D160" s="39" t="s">
        <v>256</v>
      </c>
      <c r="E160" s="81">
        <v>36081</v>
      </c>
      <c r="F160" s="52" t="s">
        <v>283</v>
      </c>
      <c r="G160" s="53">
        <v>67407</v>
      </c>
      <c r="H160" s="54">
        <v>5</v>
      </c>
    </row>
    <row r="161" spans="1:8">
      <c r="A161" s="42" t="str">
        <f t="shared" si="10"/>
        <v>Logistics</v>
      </c>
      <c r="B161" s="42" t="s">
        <v>990</v>
      </c>
      <c r="C161" s="46" t="s">
        <v>245</v>
      </c>
      <c r="D161" s="39" t="s">
        <v>256</v>
      </c>
      <c r="E161" s="81">
        <v>33348</v>
      </c>
      <c r="F161" s="52" t="s">
        <v>276</v>
      </c>
      <c r="G161" s="53">
        <v>49810</v>
      </c>
      <c r="H161" s="54">
        <v>2</v>
      </c>
    </row>
    <row r="162" spans="1:8">
      <c r="A162" s="42" t="str">
        <f t="shared" si="10"/>
        <v>Logistics</v>
      </c>
      <c r="B162" s="42" t="s">
        <v>345</v>
      </c>
      <c r="C162" s="46" t="s">
        <v>285</v>
      </c>
      <c r="D162" s="39" t="s">
        <v>256</v>
      </c>
      <c r="E162" s="81">
        <v>36245</v>
      </c>
      <c r="F162" s="52" t="s">
        <v>257</v>
      </c>
      <c r="G162" s="53">
        <v>58410</v>
      </c>
      <c r="H162" s="54">
        <v>5</v>
      </c>
    </row>
    <row r="163" spans="1:8">
      <c r="A163" s="42" t="str">
        <f t="shared" si="10"/>
        <v>Logistics</v>
      </c>
      <c r="B163" s="42" t="s">
        <v>994</v>
      </c>
      <c r="C163" s="46" t="s">
        <v>285</v>
      </c>
      <c r="D163" s="39" t="s">
        <v>256</v>
      </c>
      <c r="E163" s="81">
        <v>34737</v>
      </c>
      <c r="F163" s="52" t="s">
        <v>257</v>
      </c>
      <c r="G163" s="53">
        <v>88850</v>
      </c>
      <c r="H163" s="54">
        <v>3</v>
      </c>
    </row>
    <row r="164" spans="1:8">
      <c r="A164" s="42" t="str">
        <f t="shared" si="10"/>
        <v>Logistics</v>
      </c>
      <c r="B164" s="42" t="s">
        <v>909</v>
      </c>
      <c r="C164" s="46" t="s">
        <v>271</v>
      </c>
      <c r="D164" s="39" t="s">
        <v>256</v>
      </c>
      <c r="E164" s="81">
        <v>40270</v>
      </c>
      <c r="F164" s="52" t="s">
        <v>283</v>
      </c>
      <c r="G164" s="53">
        <v>35300</v>
      </c>
      <c r="H164" s="54">
        <v>5</v>
      </c>
    </row>
    <row r="165" spans="1:8">
      <c r="A165" s="42" t="str">
        <f t="shared" si="10"/>
        <v>Logistics</v>
      </c>
      <c r="B165" s="42" t="s">
        <v>282</v>
      </c>
      <c r="C165" s="46" t="s">
        <v>245</v>
      </c>
      <c r="D165" s="39" t="s">
        <v>256</v>
      </c>
      <c r="E165" s="81">
        <v>33575</v>
      </c>
      <c r="F165" s="52" t="s">
        <v>262</v>
      </c>
      <c r="G165" s="53">
        <v>61400</v>
      </c>
      <c r="H165" s="54">
        <v>5</v>
      </c>
    </row>
    <row r="166" spans="1:8">
      <c r="A166" s="42" t="str">
        <f t="shared" si="10"/>
        <v>Logistics</v>
      </c>
      <c r="B166" s="42" t="s">
        <v>350</v>
      </c>
      <c r="C166" s="46" t="s">
        <v>266</v>
      </c>
      <c r="D166" s="39" t="s">
        <v>247</v>
      </c>
      <c r="E166" s="81">
        <v>34054</v>
      </c>
      <c r="F166" s="52"/>
      <c r="G166" s="53">
        <v>29000</v>
      </c>
      <c r="H166" s="54">
        <v>5</v>
      </c>
    </row>
    <row r="167" spans="1:8">
      <c r="A167" s="42" t="str">
        <f t="shared" si="10"/>
        <v>Logistics</v>
      </c>
      <c r="B167" s="42" t="s">
        <v>622</v>
      </c>
      <c r="C167" s="46" t="s">
        <v>245</v>
      </c>
      <c r="D167" s="39" t="s">
        <v>261</v>
      </c>
      <c r="E167" s="103">
        <v>40505</v>
      </c>
      <c r="F167" s="52" t="s">
        <v>283</v>
      </c>
      <c r="G167" s="53">
        <v>46230</v>
      </c>
      <c r="H167" s="54">
        <v>2</v>
      </c>
    </row>
    <row r="168" spans="1:8">
      <c r="A168" s="42" t="str">
        <f t="shared" si="10"/>
        <v>Logistics</v>
      </c>
      <c r="B168" s="42" t="s">
        <v>1007</v>
      </c>
      <c r="C168" s="46" t="s">
        <v>266</v>
      </c>
      <c r="D168" s="39" t="s">
        <v>247</v>
      </c>
      <c r="E168" s="81">
        <v>39189</v>
      </c>
      <c r="F168" s="52"/>
      <c r="G168" s="53">
        <v>63850</v>
      </c>
      <c r="H168" s="54">
        <v>2</v>
      </c>
    </row>
    <row r="169" spans="1:8">
      <c r="A169" s="42" t="str">
        <f t="shared" si="10"/>
        <v>Logistics</v>
      </c>
      <c r="B169" s="42" t="s">
        <v>1011</v>
      </c>
      <c r="C169" s="46" t="s">
        <v>245</v>
      </c>
      <c r="D169" s="39" t="s">
        <v>256</v>
      </c>
      <c r="E169" s="81">
        <v>35989</v>
      </c>
      <c r="F169" s="52" t="s">
        <v>262</v>
      </c>
      <c r="G169" s="53">
        <v>71010</v>
      </c>
      <c r="H169" s="54">
        <v>5</v>
      </c>
    </row>
    <row r="170" spans="1:8">
      <c r="A170" s="42" t="str">
        <f t="shared" si="10"/>
        <v>Logistics</v>
      </c>
      <c r="B170" s="42" t="s">
        <v>600</v>
      </c>
      <c r="C170" s="46" t="s">
        <v>271</v>
      </c>
      <c r="D170" s="39" t="s">
        <v>256</v>
      </c>
      <c r="E170" s="81">
        <v>40078</v>
      </c>
      <c r="F170" s="52" t="s">
        <v>283</v>
      </c>
      <c r="G170" s="53">
        <v>23190</v>
      </c>
      <c r="H170" s="54">
        <v>5</v>
      </c>
    </row>
    <row r="171" spans="1:8">
      <c r="A171" s="42" t="str">
        <f t="shared" si="10"/>
        <v>Logistics</v>
      </c>
      <c r="B171" s="42" t="s">
        <v>917</v>
      </c>
      <c r="C171" s="46" t="s">
        <v>245</v>
      </c>
      <c r="D171" s="39" t="s">
        <v>261</v>
      </c>
      <c r="E171" s="81">
        <v>34166</v>
      </c>
      <c r="F171" s="52" t="s">
        <v>257</v>
      </c>
      <c r="G171" s="53">
        <v>26890</v>
      </c>
      <c r="H171" s="54">
        <v>3</v>
      </c>
    </row>
    <row r="172" spans="1:8">
      <c r="A172" s="42" t="str">
        <f t="shared" si="10"/>
        <v>Logistics</v>
      </c>
      <c r="B172" s="42" t="s">
        <v>670</v>
      </c>
      <c r="C172" s="46" t="s">
        <v>271</v>
      </c>
      <c r="D172" s="39" t="s">
        <v>256</v>
      </c>
      <c r="E172" s="81">
        <v>33071</v>
      </c>
      <c r="F172" s="52" t="s">
        <v>283</v>
      </c>
      <c r="G172" s="53">
        <v>69060</v>
      </c>
      <c r="H172" s="54">
        <v>1</v>
      </c>
    </row>
    <row r="173" spans="1:8">
      <c r="A173" s="42" t="str">
        <f t="shared" si="10"/>
        <v>Logistics</v>
      </c>
      <c r="B173" s="42" t="s">
        <v>841</v>
      </c>
      <c r="C173" s="46" t="s">
        <v>271</v>
      </c>
      <c r="D173" s="39" t="s">
        <v>256</v>
      </c>
      <c r="E173" s="81">
        <v>36249</v>
      </c>
      <c r="F173" s="52" t="s">
        <v>257</v>
      </c>
      <c r="G173" s="53">
        <v>49860</v>
      </c>
      <c r="H173" s="54">
        <v>2</v>
      </c>
    </row>
    <row r="174" spans="1:8">
      <c r="A174" s="42" t="str">
        <f t="shared" si="10"/>
        <v>Logistics</v>
      </c>
      <c r="B174" s="42" t="s">
        <v>362</v>
      </c>
      <c r="C174" s="46" t="s">
        <v>245</v>
      </c>
      <c r="D174" s="39" t="s">
        <v>256</v>
      </c>
      <c r="E174" s="81">
        <v>34541</v>
      </c>
      <c r="F174" s="52" t="s">
        <v>276</v>
      </c>
      <c r="G174" s="53">
        <v>34480</v>
      </c>
      <c r="H174" s="54">
        <v>3</v>
      </c>
    </row>
    <row r="175" spans="1:8">
      <c r="A175" s="42" t="str">
        <f t="shared" si="10"/>
        <v>Logistics</v>
      </c>
      <c r="B175" s="42" t="s">
        <v>698</v>
      </c>
      <c r="C175" s="46" t="s">
        <v>280</v>
      </c>
      <c r="D175" s="39" t="s">
        <v>256</v>
      </c>
      <c r="E175" s="81">
        <v>39390</v>
      </c>
      <c r="F175" s="52" t="s">
        <v>267</v>
      </c>
      <c r="G175" s="53">
        <v>71490</v>
      </c>
      <c r="H175" s="54">
        <v>5</v>
      </c>
    </row>
    <row r="176" spans="1:8">
      <c r="A176" s="42" t="s">
        <v>456</v>
      </c>
      <c r="B176" s="42" t="s">
        <v>684</v>
      </c>
      <c r="C176" s="46" t="s">
        <v>285</v>
      </c>
      <c r="D176" s="39" t="s">
        <v>256</v>
      </c>
      <c r="E176" s="81">
        <v>34286</v>
      </c>
      <c r="F176" s="52" t="s">
        <v>283</v>
      </c>
      <c r="G176" s="53">
        <v>87220</v>
      </c>
      <c r="H176" s="54">
        <v>1</v>
      </c>
    </row>
    <row r="177" spans="1:8">
      <c r="A177" s="42" t="str">
        <f t="shared" ref="A177:A183" si="11">A176</f>
        <v>Major Mfg Projects</v>
      </c>
      <c r="B177" s="42" t="s">
        <v>509</v>
      </c>
      <c r="C177" s="46" t="s">
        <v>271</v>
      </c>
      <c r="D177" s="39" t="s">
        <v>247</v>
      </c>
      <c r="E177" s="108">
        <v>37099</v>
      </c>
      <c r="F177" s="52"/>
      <c r="G177" s="53">
        <v>28270</v>
      </c>
      <c r="H177" s="54">
        <v>5</v>
      </c>
    </row>
    <row r="178" spans="1:8">
      <c r="A178" s="42" t="str">
        <f t="shared" si="11"/>
        <v>Major Mfg Projects</v>
      </c>
      <c r="B178" s="42" t="s">
        <v>278</v>
      </c>
      <c r="C178" s="46" t="s">
        <v>280</v>
      </c>
      <c r="D178" s="39" t="s">
        <v>252</v>
      </c>
      <c r="E178" s="81">
        <v>35576</v>
      </c>
      <c r="F178" s="52"/>
      <c r="G178" s="53">
        <v>28768</v>
      </c>
      <c r="H178" s="54">
        <v>3</v>
      </c>
    </row>
    <row r="179" spans="1:8">
      <c r="A179" s="42" t="str">
        <f t="shared" si="11"/>
        <v>Major Mfg Projects</v>
      </c>
      <c r="B179" s="42" t="s">
        <v>324</v>
      </c>
      <c r="C179" s="46" t="s">
        <v>285</v>
      </c>
      <c r="D179" s="39" t="s">
        <v>247</v>
      </c>
      <c r="E179" s="81">
        <v>35379</v>
      </c>
      <c r="F179" s="52"/>
      <c r="G179" s="53">
        <v>66010</v>
      </c>
      <c r="H179" s="54">
        <v>2</v>
      </c>
    </row>
    <row r="180" spans="1:8">
      <c r="A180" s="42" t="str">
        <f t="shared" si="11"/>
        <v>Major Mfg Projects</v>
      </c>
      <c r="B180" s="42" t="s">
        <v>722</v>
      </c>
      <c r="C180" s="46" t="s">
        <v>285</v>
      </c>
      <c r="D180" s="39" t="s">
        <v>252</v>
      </c>
      <c r="E180" s="81">
        <v>36487</v>
      </c>
      <c r="F180" s="52"/>
      <c r="G180" s="53">
        <v>33056</v>
      </c>
      <c r="H180" s="54">
        <v>5</v>
      </c>
    </row>
    <row r="181" spans="1:8">
      <c r="A181" s="42" t="str">
        <f t="shared" si="11"/>
        <v>Major Mfg Projects</v>
      </c>
      <c r="B181" s="42" t="s">
        <v>385</v>
      </c>
      <c r="C181" s="46" t="s">
        <v>285</v>
      </c>
      <c r="D181" s="39" t="s">
        <v>256</v>
      </c>
      <c r="E181" s="81">
        <v>33895</v>
      </c>
      <c r="F181" s="52" t="s">
        <v>283</v>
      </c>
      <c r="G181" s="53">
        <v>71670</v>
      </c>
      <c r="H181" s="54">
        <v>4</v>
      </c>
    </row>
    <row r="182" spans="1:8">
      <c r="A182" s="42" t="str">
        <f t="shared" si="11"/>
        <v>Major Mfg Projects</v>
      </c>
      <c r="B182" s="42" t="s">
        <v>727</v>
      </c>
      <c r="C182" s="46" t="s">
        <v>285</v>
      </c>
      <c r="D182" s="39" t="s">
        <v>247</v>
      </c>
      <c r="E182" s="81">
        <v>39545</v>
      </c>
      <c r="F182" s="52"/>
      <c r="G182" s="53">
        <v>84170</v>
      </c>
      <c r="H182" s="54">
        <v>2</v>
      </c>
    </row>
    <row r="183" spans="1:8">
      <c r="A183" s="42" t="str">
        <f t="shared" si="11"/>
        <v>Major Mfg Projects</v>
      </c>
      <c r="B183" s="42" t="s">
        <v>827</v>
      </c>
      <c r="C183" s="46" t="s">
        <v>285</v>
      </c>
      <c r="D183" s="39" t="s">
        <v>256</v>
      </c>
      <c r="E183" s="81">
        <v>40384</v>
      </c>
      <c r="F183" s="52" t="s">
        <v>257</v>
      </c>
      <c r="G183" s="53">
        <v>46680</v>
      </c>
      <c r="H183" s="54">
        <v>1</v>
      </c>
    </row>
    <row r="184" spans="1:8">
      <c r="A184" s="42" t="s">
        <v>465</v>
      </c>
      <c r="B184" s="42" t="s">
        <v>858</v>
      </c>
      <c r="C184" s="46" t="s">
        <v>251</v>
      </c>
      <c r="D184" s="39" t="s">
        <v>256</v>
      </c>
      <c r="E184" s="81">
        <v>37625</v>
      </c>
      <c r="F184" s="52" t="s">
        <v>283</v>
      </c>
      <c r="G184" s="53">
        <v>82490</v>
      </c>
      <c r="H184" s="54">
        <v>5</v>
      </c>
    </row>
    <row r="185" spans="1:8">
      <c r="A185" s="42" t="str">
        <f t="shared" ref="A185:A216" si="12">A184</f>
        <v>Manufacturing</v>
      </c>
      <c r="B185" s="42" t="s">
        <v>859</v>
      </c>
      <c r="C185" s="46" t="s">
        <v>271</v>
      </c>
      <c r="D185" s="39" t="s">
        <v>252</v>
      </c>
      <c r="E185" s="81">
        <v>36305</v>
      </c>
      <c r="F185" s="52"/>
      <c r="G185" s="53">
        <v>9424</v>
      </c>
      <c r="H185" s="54">
        <v>4</v>
      </c>
    </row>
    <row r="186" spans="1:8">
      <c r="A186" s="42" t="str">
        <f t="shared" si="12"/>
        <v>Manufacturing</v>
      </c>
      <c r="B186" s="42" t="s">
        <v>704</v>
      </c>
      <c r="C186" s="46" t="s">
        <v>266</v>
      </c>
      <c r="D186" s="39" t="s">
        <v>256</v>
      </c>
      <c r="E186" s="81">
        <v>39153</v>
      </c>
      <c r="F186" s="52" t="s">
        <v>283</v>
      </c>
      <c r="G186" s="53">
        <v>43600</v>
      </c>
      <c r="H186" s="54">
        <v>5</v>
      </c>
    </row>
    <row r="187" spans="1:8">
      <c r="A187" s="42" t="str">
        <f t="shared" si="12"/>
        <v>Manufacturing</v>
      </c>
      <c r="B187" s="42" t="s">
        <v>706</v>
      </c>
      <c r="C187" s="46" t="s">
        <v>285</v>
      </c>
      <c r="D187" s="39" t="s">
        <v>247</v>
      </c>
      <c r="E187" s="81">
        <v>40470</v>
      </c>
      <c r="F187" s="52"/>
      <c r="G187" s="53">
        <v>37840</v>
      </c>
      <c r="H187" s="54">
        <v>1</v>
      </c>
    </row>
    <row r="188" spans="1:8">
      <c r="A188" s="42" t="str">
        <f t="shared" si="12"/>
        <v>Manufacturing</v>
      </c>
      <c r="B188" s="42" t="s">
        <v>677</v>
      </c>
      <c r="C188" s="46" t="s">
        <v>271</v>
      </c>
      <c r="D188" s="39" t="s">
        <v>256</v>
      </c>
      <c r="E188" s="81">
        <v>33878</v>
      </c>
      <c r="F188" s="52" t="s">
        <v>276</v>
      </c>
      <c r="G188" s="53">
        <v>75370</v>
      </c>
      <c r="H188" s="54">
        <v>2</v>
      </c>
    </row>
    <row r="189" spans="1:8">
      <c r="A189" s="42" t="str">
        <f t="shared" si="12"/>
        <v>Manufacturing</v>
      </c>
      <c r="B189" s="42" t="s">
        <v>861</v>
      </c>
      <c r="C189" s="46" t="s">
        <v>251</v>
      </c>
      <c r="D189" s="39" t="s">
        <v>256</v>
      </c>
      <c r="E189" s="81">
        <v>39455</v>
      </c>
      <c r="F189" s="52" t="s">
        <v>283</v>
      </c>
      <c r="G189" s="53">
        <v>59420</v>
      </c>
      <c r="H189" s="54">
        <v>4</v>
      </c>
    </row>
    <row r="190" spans="1:8">
      <c r="A190" s="42" t="str">
        <f t="shared" si="12"/>
        <v>Manufacturing</v>
      </c>
      <c r="B190" s="42" t="s">
        <v>863</v>
      </c>
      <c r="C190" s="46" t="s">
        <v>285</v>
      </c>
      <c r="D190" s="39" t="s">
        <v>256</v>
      </c>
      <c r="E190" s="81">
        <v>36506</v>
      </c>
      <c r="F190" s="52" t="s">
        <v>283</v>
      </c>
      <c r="G190" s="53">
        <v>32100</v>
      </c>
      <c r="H190" s="54">
        <v>1</v>
      </c>
    </row>
    <row r="191" spans="1:8">
      <c r="A191" s="42" t="str">
        <f t="shared" si="12"/>
        <v>Manufacturing</v>
      </c>
      <c r="B191" s="42" t="s">
        <v>931</v>
      </c>
      <c r="C191" s="46" t="s">
        <v>266</v>
      </c>
      <c r="D191" s="39" t="s">
        <v>247</v>
      </c>
      <c r="E191" s="81">
        <v>34149</v>
      </c>
      <c r="F191" s="52"/>
      <c r="G191" s="53">
        <v>45770</v>
      </c>
      <c r="H191" s="54">
        <v>5</v>
      </c>
    </row>
    <row r="192" spans="1:8">
      <c r="A192" s="42" t="str">
        <f t="shared" si="12"/>
        <v>Manufacturing</v>
      </c>
      <c r="B192" s="42" t="s">
        <v>749</v>
      </c>
      <c r="C192" s="46" t="s">
        <v>280</v>
      </c>
      <c r="D192" s="39" t="s">
        <v>247</v>
      </c>
      <c r="E192" s="103">
        <v>40563</v>
      </c>
      <c r="F192" s="52"/>
      <c r="G192" s="53">
        <v>55510</v>
      </c>
      <c r="H192" s="54">
        <v>3</v>
      </c>
    </row>
    <row r="193" spans="1:8">
      <c r="A193" s="42" t="str">
        <f t="shared" si="12"/>
        <v>Manufacturing</v>
      </c>
      <c r="B193" s="42" t="s">
        <v>709</v>
      </c>
      <c r="C193" s="46" t="s">
        <v>266</v>
      </c>
      <c r="D193" s="39" t="s">
        <v>256</v>
      </c>
      <c r="E193" s="81">
        <v>39404</v>
      </c>
      <c r="F193" s="52" t="s">
        <v>267</v>
      </c>
      <c r="G193" s="53">
        <v>50990</v>
      </c>
      <c r="H193" s="54">
        <v>4</v>
      </c>
    </row>
    <row r="194" spans="1:8">
      <c r="A194" s="42" t="str">
        <f t="shared" si="12"/>
        <v>Manufacturing</v>
      </c>
      <c r="B194" s="42" t="s">
        <v>933</v>
      </c>
      <c r="C194" s="46" t="s">
        <v>285</v>
      </c>
      <c r="D194" s="39" t="s">
        <v>256</v>
      </c>
      <c r="E194" s="81">
        <v>35938</v>
      </c>
      <c r="F194" s="52" t="s">
        <v>267</v>
      </c>
      <c r="G194" s="53">
        <v>55450</v>
      </c>
      <c r="H194" s="54">
        <v>5</v>
      </c>
    </row>
    <row r="195" spans="1:8">
      <c r="A195" s="42" t="str">
        <f t="shared" si="12"/>
        <v>Manufacturing</v>
      </c>
      <c r="B195" s="42" t="s">
        <v>473</v>
      </c>
      <c r="C195" s="46" t="s">
        <v>285</v>
      </c>
      <c r="D195" s="39" t="s">
        <v>261</v>
      </c>
      <c r="E195" s="81">
        <v>37470</v>
      </c>
      <c r="F195" s="52" t="s">
        <v>257</v>
      </c>
      <c r="G195" s="53">
        <v>33810</v>
      </c>
      <c r="H195" s="54">
        <v>5</v>
      </c>
    </row>
    <row r="196" spans="1:8">
      <c r="A196" s="42" t="str">
        <f t="shared" si="12"/>
        <v>Manufacturing</v>
      </c>
      <c r="B196" s="42" t="s">
        <v>295</v>
      </c>
      <c r="C196" s="46" t="s">
        <v>245</v>
      </c>
      <c r="D196" s="39" t="s">
        <v>256</v>
      </c>
      <c r="E196" s="81">
        <v>39441</v>
      </c>
      <c r="F196" s="52" t="s">
        <v>262</v>
      </c>
      <c r="G196" s="53">
        <v>68860</v>
      </c>
      <c r="H196" s="54">
        <v>2</v>
      </c>
    </row>
    <row r="197" spans="1:8">
      <c r="A197" s="42" t="str">
        <f t="shared" si="12"/>
        <v>Manufacturing</v>
      </c>
      <c r="B197" s="42" t="s">
        <v>935</v>
      </c>
      <c r="C197" s="46" t="s">
        <v>285</v>
      </c>
      <c r="D197" s="39" t="s">
        <v>261</v>
      </c>
      <c r="E197" s="81">
        <v>37166</v>
      </c>
      <c r="F197" s="52" t="s">
        <v>262</v>
      </c>
      <c r="G197" s="53">
        <v>47295</v>
      </c>
      <c r="H197" s="54">
        <v>4</v>
      </c>
    </row>
    <row r="198" spans="1:8">
      <c r="A198" s="42" t="str">
        <f t="shared" si="12"/>
        <v>Manufacturing</v>
      </c>
      <c r="B198" s="42" t="s">
        <v>1030</v>
      </c>
      <c r="C198" s="46" t="s">
        <v>245</v>
      </c>
      <c r="D198" s="39" t="s">
        <v>256</v>
      </c>
      <c r="E198" s="81">
        <v>35086</v>
      </c>
      <c r="F198" s="52" t="s">
        <v>267</v>
      </c>
      <c r="G198" s="53">
        <v>77350</v>
      </c>
      <c r="H198" s="54">
        <v>5</v>
      </c>
    </row>
    <row r="199" spans="1:8">
      <c r="A199" s="42" t="str">
        <f t="shared" si="12"/>
        <v>Manufacturing</v>
      </c>
      <c r="B199" s="42" t="s">
        <v>270</v>
      </c>
      <c r="C199" s="46" t="s">
        <v>245</v>
      </c>
      <c r="D199" s="39" t="s">
        <v>256</v>
      </c>
      <c r="E199" s="81">
        <v>38135</v>
      </c>
      <c r="F199" s="52" t="s">
        <v>267</v>
      </c>
      <c r="G199" s="53">
        <v>65560</v>
      </c>
      <c r="H199" s="54">
        <v>1</v>
      </c>
    </row>
    <row r="200" spans="1:8">
      <c r="A200" s="42" t="str">
        <f t="shared" si="12"/>
        <v>Manufacturing</v>
      </c>
      <c r="B200" s="42" t="s">
        <v>629</v>
      </c>
      <c r="C200" s="46" t="s">
        <v>280</v>
      </c>
      <c r="D200" s="39" t="s">
        <v>261</v>
      </c>
      <c r="E200" s="81">
        <v>35564</v>
      </c>
      <c r="F200" s="52" t="s">
        <v>257</v>
      </c>
      <c r="G200" s="53">
        <v>11025</v>
      </c>
      <c r="H200" s="54">
        <v>1</v>
      </c>
    </row>
    <row r="201" spans="1:8">
      <c r="A201" s="42" t="str">
        <f t="shared" si="12"/>
        <v>Manufacturing</v>
      </c>
      <c r="B201" s="42" t="s">
        <v>483</v>
      </c>
      <c r="C201" s="46" t="s">
        <v>271</v>
      </c>
      <c r="D201" s="39" t="s">
        <v>256</v>
      </c>
      <c r="E201" s="81">
        <v>37509</v>
      </c>
      <c r="F201" s="52" t="s">
        <v>283</v>
      </c>
      <c r="G201" s="53">
        <v>69080</v>
      </c>
      <c r="H201" s="54">
        <v>3</v>
      </c>
    </row>
    <row r="202" spans="1:8">
      <c r="A202" s="42" t="str">
        <f t="shared" si="12"/>
        <v>Manufacturing</v>
      </c>
      <c r="B202" s="42" t="s">
        <v>867</v>
      </c>
      <c r="C202" s="46" t="s">
        <v>280</v>
      </c>
      <c r="D202" s="39" t="s">
        <v>247</v>
      </c>
      <c r="E202" s="81">
        <v>35682</v>
      </c>
      <c r="F202" s="52"/>
      <c r="G202" s="53">
        <v>63850</v>
      </c>
      <c r="H202" s="54">
        <v>2</v>
      </c>
    </row>
    <row r="203" spans="1:8">
      <c r="A203" s="42" t="str">
        <f t="shared" si="12"/>
        <v>Manufacturing</v>
      </c>
      <c r="B203" s="42" t="s">
        <v>486</v>
      </c>
      <c r="C203" s="46" t="s">
        <v>245</v>
      </c>
      <c r="D203" s="39" t="s">
        <v>247</v>
      </c>
      <c r="E203" s="81">
        <v>38438</v>
      </c>
      <c r="F203" s="52"/>
      <c r="G203" s="53">
        <v>32880</v>
      </c>
      <c r="H203" s="54">
        <v>3</v>
      </c>
    </row>
    <row r="204" spans="1:8">
      <c r="A204" s="42" t="str">
        <f t="shared" si="12"/>
        <v>Manufacturing</v>
      </c>
      <c r="B204" s="42" t="s">
        <v>779</v>
      </c>
      <c r="C204" s="46" t="s">
        <v>271</v>
      </c>
      <c r="D204" s="39" t="s">
        <v>256</v>
      </c>
      <c r="E204" s="81">
        <v>37009</v>
      </c>
      <c r="F204" s="52" t="s">
        <v>283</v>
      </c>
      <c r="G204" s="53">
        <v>78710</v>
      </c>
      <c r="H204" s="54">
        <v>2</v>
      </c>
    </row>
    <row r="205" spans="1:8">
      <c r="A205" s="42" t="str">
        <f t="shared" si="12"/>
        <v>Manufacturing</v>
      </c>
      <c r="B205" s="42" t="s">
        <v>419</v>
      </c>
      <c r="C205" s="46" t="s">
        <v>245</v>
      </c>
      <c r="D205" s="39" t="s">
        <v>252</v>
      </c>
      <c r="E205" s="81">
        <v>33256</v>
      </c>
      <c r="F205" s="52"/>
      <c r="G205" s="53">
        <v>30468</v>
      </c>
      <c r="H205" s="54">
        <v>2</v>
      </c>
    </row>
    <row r="206" spans="1:8">
      <c r="A206" s="42" t="str">
        <f t="shared" si="12"/>
        <v>Manufacturing</v>
      </c>
      <c r="B206" s="42" t="s">
        <v>488</v>
      </c>
      <c r="C206" s="46" t="s">
        <v>285</v>
      </c>
      <c r="D206" s="39" t="s">
        <v>247</v>
      </c>
      <c r="E206" s="81">
        <v>34534</v>
      </c>
      <c r="F206" s="52"/>
      <c r="G206" s="53">
        <v>45105</v>
      </c>
      <c r="H206" s="54">
        <v>1</v>
      </c>
    </row>
    <row r="207" spans="1:8">
      <c r="A207" s="42" t="str">
        <f t="shared" si="12"/>
        <v>Manufacturing</v>
      </c>
      <c r="B207" s="42" t="s">
        <v>780</v>
      </c>
      <c r="C207" s="46" t="s">
        <v>251</v>
      </c>
      <c r="D207" s="39" t="s">
        <v>256</v>
      </c>
      <c r="E207" s="81">
        <v>36297</v>
      </c>
      <c r="F207" s="52" t="s">
        <v>257</v>
      </c>
      <c r="G207" s="53">
        <v>46030</v>
      </c>
      <c r="H207" s="54">
        <v>2</v>
      </c>
    </row>
    <row r="208" spans="1:8">
      <c r="A208" s="42" t="str">
        <f t="shared" si="12"/>
        <v>Manufacturing</v>
      </c>
      <c r="B208" s="42" t="s">
        <v>457</v>
      </c>
      <c r="C208" s="46" t="s">
        <v>266</v>
      </c>
      <c r="D208" s="39" t="s">
        <v>256</v>
      </c>
      <c r="E208" s="81">
        <v>33113</v>
      </c>
      <c r="F208" s="52" t="s">
        <v>257</v>
      </c>
      <c r="G208" s="53">
        <v>32600</v>
      </c>
      <c r="H208" s="54">
        <v>5</v>
      </c>
    </row>
    <row r="209" spans="1:8">
      <c r="A209" s="42" t="str">
        <f t="shared" si="12"/>
        <v>Manufacturing</v>
      </c>
      <c r="B209" s="42" t="s">
        <v>490</v>
      </c>
      <c r="C209" s="46" t="s">
        <v>251</v>
      </c>
      <c r="D209" s="39" t="s">
        <v>256</v>
      </c>
      <c r="E209" s="81">
        <v>36567</v>
      </c>
      <c r="F209" s="52" t="s">
        <v>276</v>
      </c>
      <c r="G209" s="53">
        <v>45450</v>
      </c>
      <c r="H209" s="54">
        <v>5</v>
      </c>
    </row>
    <row r="210" spans="1:8">
      <c r="A210" s="42" t="str">
        <f t="shared" si="12"/>
        <v>Manufacturing</v>
      </c>
      <c r="B210" s="42" t="s">
        <v>492</v>
      </c>
      <c r="C210" s="46" t="s">
        <v>285</v>
      </c>
      <c r="D210" s="39" t="s">
        <v>247</v>
      </c>
      <c r="E210" s="81">
        <v>40235</v>
      </c>
      <c r="F210" s="52"/>
      <c r="G210" s="53">
        <v>80729</v>
      </c>
      <c r="H210" s="54">
        <v>3</v>
      </c>
    </row>
    <row r="211" spans="1:8">
      <c r="A211" s="42" t="str">
        <f t="shared" si="12"/>
        <v>Manufacturing</v>
      </c>
      <c r="B211" s="42" t="s">
        <v>940</v>
      </c>
      <c r="C211" s="46" t="s">
        <v>251</v>
      </c>
      <c r="D211" s="39" t="s">
        <v>252</v>
      </c>
      <c r="E211" s="81">
        <v>36519</v>
      </c>
      <c r="F211" s="52" t="s">
        <v>283</v>
      </c>
      <c r="G211" s="53">
        <v>61860</v>
      </c>
      <c r="H211" s="54">
        <v>5</v>
      </c>
    </row>
    <row r="212" spans="1:8">
      <c r="A212" s="42" t="str">
        <f t="shared" si="12"/>
        <v>Manufacturing</v>
      </c>
      <c r="B212" s="42" t="s">
        <v>494</v>
      </c>
      <c r="C212" s="46" t="s">
        <v>271</v>
      </c>
      <c r="D212" s="39" t="s">
        <v>247</v>
      </c>
      <c r="E212" s="81">
        <v>33506</v>
      </c>
      <c r="F212" s="52"/>
      <c r="G212" s="53">
        <v>61134</v>
      </c>
      <c r="H212" s="54">
        <v>4</v>
      </c>
    </row>
    <row r="213" spans="1:8">
      <c r="A213" s="42" t="str">
        <f t="shared" si="12"/>
        <v>Manufacturing</v>
      </c>
      <c r="B213" s="42" t="s">
        <v>496</v>
      </c>
      <c r="C213" s="46" t="s">
        <v>245</v>
      </c>
      <c r="D213" s="39" t="s">
        <v>261</v>
      </c>
      <c r="E213" s="81">
        <v>36357</v>
      </c>
      <c r="F213" s="52" t="s">
        <v>276</v>
      </c>
      <c r="G213" s="53">
        <v>42905</v>
      </c>
      <c r="H213" s="54">
        <v>1</v>
      </c>
    </row>
    <row r="214" spans="1:8">
      <c r="A214" s="42" t="str">
        <f t="shared" si="12"/>
        <v>Manufacturing</v>
      </c>
      <c r="B214" s="42" t="s">
        <v>1026</v>
      </c>
      <c r="C214" s="46" t="s">
        <v>285</v>
      </c>
      <c r="D214" s="39" t="s">
        <v>256</v>
      </c>
      <c r="E214" s="81">
        <v>34785</v>
      </c>
      <c r="F214" s="52" t="s">
        <v>257</v>
      </c>
      <c r="G214" s="53">
        <v>24300</v>
      </c>
      <c r="H214" s="54">
        <v>3</v>
      </c>
    </row>
    <row r="215" spans="1:8">
      <c r="A215" s="42" t="str">
        <f t="shared" si="12"/>
        <v>Manufacturing</v>
      </c>
      <c r="B215" s="42" t="s">
        <v>502</v>
      </c>
      <c r="C215" s="46" t="s">
        <v>285</v>
      </c>
      <c r="D215" s="39" t="s">
        <v>256</v>
      </c>
      <c r="E215" s="81">
        <v>37785</v>
      </c>
      <c r="F215" s="52" t="s">
        <v>283</v>
      </c>
      <c r="G215" s="53">
        <v>87280</v>
      </c>
      <c r="H215" s="54">
        <v>4</v>
      </c>
    </row>
    <row r="216" spans="1:8">
      <c r="A216" s="42" t="str">
        <f t="shared" si="12"/>
        <v>Manufacturing</v>
      </c>
      <c r="B216" s="42" t="s">
        <v>873</v>
      </c>
      <c r="C216" s="46" t="s">
        <v>245</v>
      </c>
      <c r="D216" s="39" t="s">
        <v>247</v>
      </c>
      <c r="E216" s="81">
        <v>33811</v>
      </c>
      <c r="F216" s="52"/>
      <c r="G216" s="53">
        <v>32650</v>
      </c>
      <c r="H216" s="54">
        <v>1</v>
      </c>
    </row>
    <row r="217" spans="1:8">
      <c r="A217" s="42" t="str">
        <f t="shared" ref="A217:A248" si="13">A216</f>
        <v>Manufacturing</v>
      </c>
      <c r="B217" s="42" t="s">
        <v>504</v>
      </c>
      <c r="C217" s="46" t="s">
        <v>245</v>
      </c>
      <c r="D217" s="39" t="s">
        <v>256</v>
      </c>
      <c r="E217" s="81">
        <v>33613</v>
      </c>
      <c r="F217" s="52" t="s">
        <v>267</v>
      </c>
      <c r="G217" s="53">
        <v>82500</v>
      </c>
      <c r="H217" s="54">
        <v>5</v>
      </c>
    </row>
    <row r="218" spans="1:8">
      <c r="A218" s="42" t="str">
        <f t="shared" si="13"/>
        <v>Manufacturing</v>
      </c>
      <c r="B218" s="42" t="s">
        <v>874</v>
      </c>
      <c r="C218" s="46" t="s">
        <v>285</v>
      </c>
      <c r="D218" s="39" t="s">
        <v>256</v>
      </c>
      <c r="E218" s="81">
        <v>35829</v>
      </c>
      <c r="F218" s="52" t="s">
        <v>257</v>
      </c>
      <c r="G218" s="53">
        <v>61030</v>
      </c>
      <c r="H218" s="54">
        <v>3</v>
      </c>
    </row>
    <row r="219" spans="1:8">
      <c r="A219" s="42" t="str">
        <f t="shared" si="13"/>
        <v>Manufacturing</v>
      </c>
      <c r="B219" s="42" t="s">
        <v>714</v>
      </c>
      <c r="C219" s="46" t="s">
        <v>285</v>
      </c>
      <c r="D219" s="39" t="s">
        <v>256</v>
      </c>
      <c r="E219" s="81">
        <v>38664</v>
      </c>
      <c r="F219" s="52" t="s">
        <v>257</v>
      </c>
      <c r="G219" s="53">
        <v>61060</v>
      </c>
      <c r="H219" s="54">
        <v>5</v>
      </c>
    </row>
    <row r="220" spans="1:8">
      <c r="A220" s="42" t="str">
        <f t="shared" si="13"/>
        <v>Manufacturing</v>
      </c>
      <c r="B220" s="42" t="s">
        <v>510</v>
      </c>
      <c r="C220" s="46" t="s">
        <v>245</v>
      </c>
      <c r="D220" s="39" t="s">
        <v>256</v>
      </c>
      <c r="E220" s="81">
        <v>40370</v>
      </c>
      <c r="F220" s="52" t="s">
        <v>257</v>
      </c>
      <c r="G220" s="53">
        <v>66840</v>
      </c>
      <c r="H220" s="54">
        <v>4</v>
      </c>
    </row>
    <row r="221" spans="1:8">
      <c r="A221" s="42" t="str">
        <f t="shared" si="13"/>
        <v>Manufacturing</v>
      </c>
      <c r="B221" s="42" t="s">
        <v>511</v>
      </c>
      <c r="C221" s="46" t="s">
        <v>271</v>
      </c>
      <c r="D221" s="39" t="s">
        <v>256</v>
      </c>
      <c r="E221" s="81">
        <v>36956</v>
      </c>
      <c r="F221" s="52" t="s">
        <v>276</v>
      </c>
      <c r="G221" s="53">
        <v>49930</v>
      </c>
      <c r="H221" s="54">
        <v>1</v>
      </c>
    </row>
    <row r="222" spans="1:8">
      <c r="A222" s="42" t="str">
        <f t="shared" si="13"/>
        <v>Manufacturing</v>
      </c>
      <c r="B222" s="42" t="s">
        <v>512</v>
      </c>
      <c r="C222" s="46" t="s">
        <v>271</v>
      </c>
      <c r="D222" s="39" t="s">
        <v>247</v>
      </c>
      <c r="E222" s="81">
        <v>33981</v>
      </c>
      <c r="F222" s="52"/>
      <c r="G222" s="53">
        <v>83020</v>
      </c>
      <c r="H222" s="54">
        <v>4</v>
      </c>
    </row>
    <row r="223" spans="1:8">
      <c r="A223" s="42" t="str">
        <f t="shared" si="13"/>
        <v>Manufacturing</v>
      </c>
      <c r="B223" s="42" t="s">
        <v>321</v>
      </c>
      <c r="C223" s="46" t="s">
        <v>285</v>
      </c>
      <c r="D223" s="45" t="s">
        <v>256</v>
      </c>
      <c r="E223" s="105">
        <v>39704</v>
      </c>
      <c r="F223" s="52" t="s">
        <v>276</v>
      </c>
      <c r="G223" s="53">
        <v>58290</v>
      </c>
      <c r="H223" s="54">
        <v>5</v>
      </c>
    </row>
    <row r="224" spans="1:8">
      <c r="A224" s="42" t="str">
        <f t="shared" si="13"/>
        <v>Manufacturing</v>
      </c>
      <c r="B224" s="42" t="s">
        <v>395</v>
      </c>
      <c r="C224" s="46" t="s">
        <v>280</v>
      </c>
      <c r="D224" s="39" t="s">
        <v>252</v>
      </c>
      <c r="E224" s="81">
        <v>36028</v>
      </c>
      <c r="F224" s="52"/>
      <c r="G224" s="53">
        <v>16688</v>
      </c>
      <c r="H224" s="54">
        <v>3</v>
      </c>
    </row>
    <row r="225" spans="1:8">
      <c r="A225" s="42" t="str">
        <f t="shared" si="13"/>
        <v>Manufacturing</v>
      </c>
      <c r="B225" s="42" t="s">
        <v>516</v>
      </c>
      <c r="C225" s="46" t="s">
        <v>271</v>
      </c>
      <c r="D225" s="39" t="s">
        <v>247</v>
      </c>
      <c r="E225" s="81">
        <v>39783</v>
      </c>
      <c r="F225" s="52"/>
      <c r="G225" s="53">
        <v>54000</v>
      </c>
      <c r="H225" s="54">
        <v>3</v>
      </c>
    </row>
    <row r="226" spans="1:8">
      <c r="A226" s="42" t="str">
        <f t="shared" si="13"/>
        <v>Manufacturing</v>
      </c>
      <c r="B226" s="42" t="s">
        <v>323</v>
      </c>
      <c r="C226" s="46" t="s">
        <v>285</v>
      </c>
      <c r="D226" s="39" t="s">
        <v>247</v>
      </c>
      <c r="E226" s="81">
        <v>39822</v>
      </c>
      <c r="F226" s="52"/>
      <c r="G226" s="53">
        <v>60040</v>
      </c>
      <c r="H226" s="54">
        <v>5</v>
      </c>
    </row>
    <row r="227" spans="1:8">
      <c r="A227" s="42" t="str">
        <f t="shared" si="13"/>
        <v>Manufacturing</v>
      </c>
      <c r="B227" s="42" t="s">
        <v>716</v>
      </c>
      <c r="C227" s="46" t="s">
        <v>271</v>
      </c>
      <c r="D227" s="39" t="s">
        <v>256</v>
      </c>
      <c r="E227" s="81">
        <v>35996</v>
      </c>
      <c r="F227" s="52" t="s">
        <v>257</v>
      </c>
      <c r="G227" s="53">
        <v>40340</v>
      </c>
      <c r="H227" s="54">
        <v>2</v>
      </c>
    </row>
    <row r="228" spans="1:8">
      <c r="A228" s="42" t="str">
        <f t="shared" si="13"/>
        <v>Manufacturing</v>
      </c>
      <c r="B228" s="42" t="s">
        <v>794</v>
      </c>
      <c r="C228" s="46" t="s">
        <v>271</v>
      </c>
      <c r="D228" s="39" t="s">
        <v>256</v>
      </c>
      <c r="E228" s="81">
        <v>34111</v>
      </c>
      <c r="F228" s="52" t="s">
        <v>283</v>
      </c>
      <c r="G228" s="53">
        <v>73030</v>
      </c>
      <c r="H228" s="54">
        <v>5</v>
      </c>
    </row>
    <row r="229" spans="1:8">
      <c r="A229" s="42" t="str">
        <f t="shared" si="13"/>
        <v>Manufacturing</v>
      </c>
      <c r="B229" s="42" t="s">
        <v>717</v>
      </c>
      <c r="C229" s="46" t="s">
        <v>245</v>
      </c>
      <c r="D229" s="39" t="s">
        <v>247</v>
      </c>
      <c r="E229" s="81">
        <v>38507</v>
      </c>
      <c r="F229" s="52"/>
      <c r="G229" s="53">
        <v>40940</v>
      </c>
      <c r="H229" s="54">
        <v>2</v>
      </c>
    </row>
    <row r="230" spans="1:8">
      <c r="A230" s="42" t="str">
        <f t="shared" si="13"/>
        <v>Manufacturing</v>
      </c>
      <c r="B230" s="42" t="s">
        <v>685</v>
      </c>
      <c r="C230" s="46" t="s">
        <v>285</v>
      </c>
      <c r="D230" s="39" t="s">
        <v>256</v>
      </c>
      <c r="E230" s="81">
        <v>38227</v>
      </c>
      <c r="F230" s="52" t="s">
        <v>283</v>
      </c>
      <c r="G230" s="53">
        <v>86200</v>
      </c>
      <c r="H230" s="54">
        <v>3</v>
      </c>
    </row>
    <row r="231" spans="1:8">
      <c r="A231" s="42" t="str">
        <f t="shared" si="13"/>
        <v>Manufacturing</v>
      </c>
      <c r="B231" s="42" t="s">
        <v>518</v>
      </c>
      <c r="C231" s="46" t="s">
        <v>285</v>
      </c>
      <c r="D231" s="39" t="s">
        <v>247</v>
      </c>
      <c r="E231" s="81">
        <v>34723</v>
      </c>
      <c r="F231" s="52"/>
      <c r="G231" s="53">
        <v>64263</v>
      </c>
      <c r="H231" s="54">
        <v>3</v>
      </c>
    </row>
    <row r="232" spans="1:8">
      <c r="A232" s="42" t="str">
        <f t="shared" si="13"/>
        <v>Manufacturing</v>
      </c>
      <c r="B232" s="42" t="s">
        <v>396</v>
      </c>
      <c r="C232" s="46" t="s">
        <v>271</v>
      </c>
      <c r="D232" s="39" t="s">
        <v>256</v>
      </c>
      <c r="E232" s="81">
        <v>36392</v>
      </c>
      <c r="F232" s="52" t="s">
        <v>283</v>
      </c>
      <c r="G232" s="53">
        <v>51410</v>
      </c>
      <c r="H232" s="54">
        <v>4</v>
      </c>
    </row>
    <row r="233" spans="1:8">
      <c r="A233" s="42" t="str">
        <f t="shared" si="13"/>
        <v>Manufacturing</v>
      </c>
      <c r="B233" s="42" t="s">
        <v>756</v>
      </c>
      <c r="C233" s="46" t="s">
        <v>245</v>
      </c>
      <c r="D233" s="39" t="s">
        <v>256</v>
      </c>
      <c r="E233" s="81">
        <v>36330</v>
      </c>
      <c r="F233" s="52" t="s">
        <v>276</v>
      </c>
      <c r="G233" s="53">
        <v>61850</v>
      </c>
      <c r="H233" s="54">
        <v>2</v>
      </c>
    </row>
    <row r="234" spans="1:8">
      <c r="A234" s="42" t="str">
        <f t="shared" si="13"/>
        <v>Manufacturing</v>
      </c>
      <c r="B234" s="42" t="s">
        <v>952</v>
      </c>
      <c r="C234" s="46" t="s">
        <v>285</v>
      </c>
      <c r="D234" s="39" t="s">
        <v>261</v>
      </c>
      <c r="E234" s="81">
        <v>36503</v>
      </c>
      <c r="F234" s="52" t="s">
        <v>267</v>
      </c>
      <c r="G234" s="53">
        <v>41615</v>
      </c>
      <c r="H234" s="54">
        <v>1</v>
      </c>
    </row>
    <row r="235" spans="1:8">
      <c r="A235" s="42" t="str">
        <f t="shared" si="13"/>
        <v>Manufacturing</v>
      </c>
      <c r="B235" s="42" t="s">
        <v>521</v>
      </c>
      <c r="C235" s="46" t="s">
        <v>285</v>
      </c>
      <c r="D235" s="39" t="s">
        <v>247</v>
      </c>
      <c r="E235" s="81">
        <v>33424</v>
      </c>
      <c r="F235" s="52"/>
      <c r="G235" s="53">
        <v>22320</v>
      </c>
      <c r="H235" s="54">
        <v>2</v>
      </c>
    </row>
    <row r="236" spans="1:8">
      <c r="A236" s="42" t="str">
        <f t="shared" si="13"/>
        <v>Manufacturing</v>
      </c>
      <c r="B236" s="42" t="s">
        <v>955</v>
      </c>
      <c r="C236" s="46" t="s">
        <v>285</v>
      </c>
      <c r="D236" s="39" t="s">
        <v>261</v>
      </c>
      <c r="E236" s="81">
        <v>33671</v>
      </c>
      <c r="F236" s="52" t="s">
        <v>257</v>
      </c>
      <c r="G236" s="53">
        <v>46380</v>
      </c>
      <c r="H236" s="54">
        <v>3</v>
      </c>
    </row>
    <row r="237" spans="1:8">
      <c r="A237" s="42" t="str">
        <f t="shared" si="13"/>
        <v>Manufacturing</v>
      </c>
      <c r="B237" s="42" t="s">
        <v>325</v>
      </c>
      <c r="C237" s="46" t="s">
        <v>285</v>
      </c>
      <c r="D237" s="39" t="s">
        <v>256</v>
      </c>
      <c r="E237" s="81">
        <v>35052</v>
      </c>
      <c r="F237" s="52" t="s">
        <v>267</v>
      </c>
      <c r="G237" s="53">
        <v>64780</v>
      </c>
      <c r="H237" s="54">
        <v>5</v>
      </c>
    </row>
    <row r="238" spans="1:8">
      <c r="A238" s="42" t="str">
        <f t="shared" si="13"/>
        <v>Manufacturing</v>
      </c>
      <c r="B238" s="42" t="s">
        <v>957</v>
      </c>
      <c r="C238" s="46" t="s">
        <v>280</v>
      </c>
      <c r="D238" s="39" t="s">
        <v>256</v>
      </c>
      <c r="E238" s="81">
        <v>36182</v>
      </c>
      <c r="F238" s="52" t="s">
        <v>283</v>
      </c>
      <c r="G238" s="53">
        <v>68300</v>
      </c>
      <c r="H238" s="54">
        <v>5</v>
      </c>
    </row>
    <row r="239" spans="1:8">
      <c r="A239" s="42" t="str">
        <f t="shared" si="13"/>
        <v>Manufacturing</v>
      </c>
      <c r="B239" s="42" t="s">
        <v>958</v>
      </c>
      <c r="C239" s="46" t="s">
        <v>245</v>
      </c>
      <c r="D239" s="39" t="s">
        <v>247</v>
      </c>
      <c r="E239" s="81">
        <v>35505</v>
      </c>
      <c r="F239" s="52"/>
      <c r="G239" s="53">
        <v>74740</v>
      </c>
      <c r="H239" s="54">
        <v>5</v>
      </c>
    </row>
    <row r="240" spans="1:8">
      <c r="A240" s="42" t="str">
        <f t="shared" si="13"/>
        <v>Manufacturing</v>
      </c>
      <c r="B240" s="42" t="s">
        <v>413</v>
      </c>
      <c r="C240" s="46" t="s">
        <v>285</v>
      </c>
      <c r="D240" s="39" t="s">
        <v>256</v>
      </c>
      <c r="E240" s="81">
        <v>33179</v>
      </c>
      <c r="F240" s="52" t="s">
        <v>283</v>
      </c>
      <c r="G240" s="53">
        <v>43110</v>
      </c>
      <c r="H240" s="54">
        <v>2</v>
      </c>
    </row>
    <row r="241" spans="1:8">
      <c r="A241" s="42" t="str">
        <f t="shared" si="13"/>
        <v>Manufacturing</v>
      </c>
      <c r="B241" s="42" t="s">
        <v>428</v>
      </c>
      <c r="C241" s="46" t="s">
        <v>285</v>
      </c>
      <c r="D241" s="39" t="s">
        <v>256</v>
      </c>
      <c r="E241" s="81">
        <v>36549</v>
      </c>
      <c r="F241" s="52" t="s">
        <v>283</v>
      </c>
      <c r="G241" s="53">
        <v>35460</v>
      </c>
      <c r="H241" s="54">
        <v>1</v>
      </c>
    </row>
    <row r="242" spans="1:8">
      <c r="A242" s="42" t="str">
        <f t="shared" si="13"/>
        <v>Manufacturing</v>
      </c>
      <c r="B242" s="42" t="s">
        <v>882</v>
      </c>
      <c r="C242" s="46" t="s">
        <v>271</v>
      </c>
      <c r="D242" s="39" t="s">
        <v>256</v>
      </c>
      <c r="E242" s="81">
        <v>35253</v>
      </c>
      <c r="F242" s="52" t="s">
        <v>257</v>
      </c>
      <c r="G242" s="53">
        <v>63780</v>
      </c>
      <c r="H242" s="54">
        <v>5</v>
      </c>
    </row>
    <row r="243" spans="1:8">
      <c r="A243" s="42" t="str">
        <f t="shared" si="13"/>
        <v>Manufacturing</v>
      </c>
      <c r="B243" s="42" t="s">
        <v>620</v>
      </c>
      <c r="C243" s="46" t="s">
        <v>285</v>
      </c>
      <c r="D243" s="39" t="s">
        <v>252</v>
      </c>
      <c r="E243" s="81">
        <v>36602</v>
      </c>
      <c r="F243" s="52"/>
      <c r="G243" s="53">
        <v>30080</v>
      </c>
      <c r="H243" s="54">
        <v>3</v>
      </c>
    </row>
    <row r="244" spans="1:8">
      <c r="A244" s="42" t="str">
        <f t="shared" si="13"/>
        <v>Manufacturing</v>
      </c>
      <c r="B244" s="42" t="s">
        <v>758</v>
      </c>
      <c r="C244" s="46" t="s">
        <v>285</v>
      </c>
      <c r="D244" s="39" t="s">
        <v>261</v>
      </c>
      <c r="E244" s="81">
        <v>39417</v>
      </c>
      <c r="F244" s="52" t="s">
        <v>267</v>
      </c>
      <c r="G244" s="53">
        <v>46095</v>
      </c>
      <c r="H244" s="54">
        <v>3</v>
      </c>
    </row>
    <row r="245" spans="1:8">
      <c r="A245" s="42" t="str">
        <f t="shared" si="13"/>
        <v>Manufacturing</v>
      </c>
      <c r="B245" s="42" t="s">
        <v>384</v>
      </c>
      <c r="C245" s="46" t="s">
        <v>280</v>
      </c>
      <c r="D245" s="39" t="s">
        <v>247</v>
      </c>
      <c r="E245" s="81">
        <v>35848</v>
      </c>
      <c r="F245" s="52"/>
      <c r="G245" s="53">
        <v>85480</v>
      </c>
      <c r="H245" s="54">
        <v>5</v>
      </c>
    </row>
    <row r="246" spans="1:8">
      <c r="A246" s="42" t="str">
        <f t="shared" si="13"/>
        <v>Manufacturing</v>
      </c>
      <c r="B246" s="42" t="s">
        <v>807</v>
      </c>
      <c r="C246" s="46" t="s">
        <v>285</v>
      </c>
      <c r="D246" s="39" t="s">
        <v>256</v>
      </c>
      <c r="E246" s="81">
        <v>33720</v>
      </c>
      <c r="F246" s="52" t="s">
        <v>283</v>
      </c>
      <c r="G246" s="53">
        <v>58910</v>
      </c>
      <c r="H246" s="54">
        <v>1</v>
      </c>
    </row>
    <row r="247" spans="1:8">
      <c r="A247" s="42" t="str">
        <f t="shared" si="13"/>
        <v>Manufacturing</v>
      </c>
      <c r="B247" s="42" t="s">
        <v>529</v>
      </c>
      <c r="C247" s="46" t="s">
        <v>271</v>
      </c>
      <c r="D247" s="39" t="s">
        <v>247</v>
      </c>
      <c r="E247" s="81">
        <v>37899</v>
      </c>
      <c r="F247" s="52"/>
      <c r="G247" s="53">
        <v>64220</v>
      </c>
      <c r="H247" s="54">
        <v>5</v>
      </c>
    </row>
    <row r="248" spans="1:8">
      <c r="A248" s="42" t="str">
        <f t="shared" si="13"/>
        <v>Manufacturing</v>
      </c>
      <c r="B248" s="42" t="s">
        <v>723</v>
      </c>
      <c r="C248" s="46" t="s">
        <v>271</v>
      </c>
      <c r="D248" s="39" t="s">
        <v>256</v>
      </c>
      <c r="E248" s="81">
        <v>33685</v>
      </c>
      <c r="F248" s="52" t="s">
        <v>257</v>
      </c>
      <c r="G248" s="53">
        <v>65571</v>
      </c>
      <c r="H248" s="54">
        <v>3</v>
      </c>
    </row>
    <row r="249" spans="1:8">
      <c r="A249" s="42" t="str">
        <f t="shared" ref="A249:A280" si="14">A248</f>
        <v>Manufacturing</v>
      </c>
      <c r="B249" s="42" t="s">
        <v>724</v>
      </c>
      <c r="C249" s="46" t="s">
        <v>245</v>
      </c>
      <c r="D249" s="39" t="s">
        <v>256</v>
      </c>
      <c r="E249" s="81">
        <v>33578</v>
      </c>
      <c r="F249" s="52" t="s">
        <v>257</v>
      </c>
      <c r="G249" s="53">
        <v>43580</v>
      </c>
      <c r="H249" s="54">
        <v>5</v>
      </c>
    </row>
    <row r="250" spans="1:8">
      <c r="A250" s="42" t="str">
        <f t="shared" si="14"/>
        <v>Manufacturing</v>
      </c>
      <c r="B250" s="42" t="s">
        <v>531</v>
      </c>
      <c r="C250" s="46" t="s">
        <v>285</v>
      </c>
      <c r="D250" s="39" t="s">
        <v>261</v>
      </c>
      <c r="E250" s="81">
        <v>34140</v>
      </c>
      <c r="F250" s="52" t="s">
        <v>276</v>
      </c>
      <c r="G250" s="53">
        <v>11230</v>
      </c>
      <c r="H250" s="54">
        <v>4</v>
      </c>
    </row>
    <row r="251" spans="1:8">
      <c r="A251" s="42" t="str">
        <f t="shared" si="14"/>
        <v>Manufacturing</v>
      </c>
      <c r="B251" s="42" t="s">
        <v>887</v>
      </c>
      <c r="C251" s="46" t="s">
        <v>271</v>
      </c>
      <c r="D251" s="39" t="s">
        <v>256</v>
      </c>
      <c r="E251" s="81">
        <v>33746</v>
      </c>
      <c r="F251" s="52" t="s">
        <v>262</v>
      </c>
      <c r="G251" s="53">
        <v>31830</v>
      </c>
      <c r="H251" s="54">
        <v>3</v>
      </c>
    </row>
    <row r="252" spans="1:8">
      <c r="A252" s="42" t="str">
        <f t="shared" si="14"/>
        <v>Manufacturing</v>
      </c>
      <c r="B252" s="42" t="s">
        <v>889</v>
      </c>
      <c r="C252" s="46" t="s">
        <v>271</v>
      </c>
      <c r="D252" s="39" t="s">
        <v>247</v>
      </c>
      <c r="E252" s="81">
        <v>37453</v>
      </c>
      <c r="F252" s="52"/>
      <c r="G252" s="53">
        <v>49090</v>
      </c>
      <c r="H252" s="54">
        <v>4</v>
      </c>
    </row>
    <row r="253" spans="1:8">
      <c r="A253" s="42" t="str">
        <f t="shared" si="14"/>
        <v>Manufacturing</v>
      </c>
      <c r="B253" s="42" t="s">
        <v>968</v>
      </c>
      <c r="C253" s="46" t="s">
        <v>271</v>
      </c>
      <c r="D253" s="39" t="s">
        <v>247</v>
      </c>
      <c r="E253" s="81">
        <v>37526</v>
      </c>
      <c r="F253" s="52"/>
      <c r="G253" s="53">
        <v>61580</v>
      </c>
      <c r="H253" s="54">
        <v>3</v>
      </c>
    </row>
    <row r="254" spans="1:8">
      <c r="A254" s="42" t="str">
        <f t="shared" si="14"/>
        <v>Manufacturing</v>
      </c>
      <c r="B254" s="42" t="s">
        <v>811</v>
      </c>
      <c r="C254" s="46" t="s">
        <v>245</v>
      </c>
      <c r="D254" s="39" t="s">
        <v>261</v>
      </c>
      <c r="E254" s="81">
        <v>36531</v>
      </c>
      <c r="F254" s="52" t="s">
        <v>267</v>
      </c>
      <c r="G254" s="53">
        <v>20990</v>
      </c>
      <c r="H254" s="54">
        <v>4</v>
      </c>
    </row>
    <row r="255" spans="1:8">
      <c r="A255" s="42" t="str">
        <f t="shared" si="14"/>
        <v>Manufacturing</v>
      </c>
      <c r="B255" s="42" t="s">
        <v>533</v>
      </c>
      <c r="C255" s="46" t="s">
        <v>271</v>
      </c>
      <c r="D255" s="39" t="s">
        <v>247</v>
      </c>
      <c r="E255" s="81">
        <v>36406</v>
      </c>
      <c r="F255" s="52"/>
      <c r="G255" s="53">
        <v>60800</v>
      </c>
      <c r="H255" s="54">
        <v>4</v>
      </c>
    </row>
    <row r="256" spans="1:8">
      <c r="A256" s="42" t="str">
        <f t="shared" si="14"/>
        <v>Manufacturing</v>
      </c>
      <c r="B256" s="42" t="s">
        <v>646</v>
      </c>
      <c r="C256" s="46" t="s">
        <v>285</v>
      </c>
      <c r="D256" s="39" t="s">
        <v>256</v>
      </c>
      <c r="E256" s="81">
        <v>35137</v>
      </c>
      <c r="F256" s="52" t="s">
        <v>283</v>
      </c>
      <c r="G256" s="53">
        <v>33590</v>
      </c>
      <c r="H256" s="54">
        <v>5</v>
      </c>
    </row>
    <row r="257" spans="1:8">
      <c r="A257" s="42" t="str">
        <f t="shared" si="14"/>
        <v>Manufacturing</v>
      </c>
      <c r="B257" s="42" t="s">
        <v>650</v>
      </c>
      <c r="C257" s="46" t="s">
        <v>251</v>
      </c>
      <c r="D257" s="39" t="s">
        <v>256</v>
      </c>
      <c r="E257" s="81">
        <v>36672</v>
      </c>
      <c r="F257" s="52" t="s">
        <v>262</v>
      </c>
      <c r="G257" s="53">
        <v>65320</v>
      </c>
      <c r="H257" s="54">
        <v>5</v>
      </c>
    </row>
    <row r="258" spans="1:8">
      <c r="A258" s="42" t="str">
        <f t="shared" si="14"/>
        <v>Manufacturing</v>
      </c>
      <c r="B258" s="42" t="s">
        <v>974</v>
      </c>
      <c r="C258" s="46" t="s">
        <v>285</v>
      </c>
      <c r="D258" s="39" t="s">
        <v>256</v>
      </c>
      <c r="E258" s="81">
        <v>40399</v>
      </c>
      <c r="F258" s="52" t="s">
        <v>267</v>
      </c>
      <c r="G258" s="53">
        <v>32640</v>
      </c>
      <c r="H258" s="54">
        <v>4</v>
      </c>
    </row>
    <row r="259" spans="1:8">
      <c r="A259" s="42" t="str">
        <f t="shared" si="14"/>
        <v>Manufacturing</v>
      </c>
      <c r="B259" s="42" t="s">
        <v>975</v>
      </c>
      <c r="C259" s="46" t="s">
        <v>285</v>
      </c>
      <c r="D259" s="39" t="s">
        <v>256</v>
      </c>
      <c r="E259" s="81">
        <v>39972</v>
      </c>
      <c r="F259" s="52" t="s">
        <v>257</v>
      </c>
      <c r="G259" s="53">
        <v>78170</v>
      </c>
      <c r="H259" s="54">
        <v>5</v>
      </c>
    </row>
    <row r="260" spans="1:8">
      <c r="A260" s="42" t="str">
        <f t="shared" si="14"/>
        <v>Manufacturing</v>
      </c>
      <c r="B260" s="42" t="s">
        <v>651</v>
      </c>
      <c r="C260" s="46" t="s">
        <v>245</v>
      </c>
      <c r="D260" s="39" t="s">
        <v>247</v>
      </c>
      <c r="E260" s="81">
        <v>37326</v>
      </c>
      <c r="F260" s="52"/>
      <c r="G260" s="53">
        <v>52770</v>
      </c>
      <c r="H260" s="54">
        <v>2</v>
      </c>
    </row>
    <row r="261" spans="1:8">
      <c r="A261" s="42" t="str">
        <f t="shared" si="14"/>
        <v>Manufacturing</v>
      </c>
      <c r="B261" s="42" t="s">
        <v>387</v>
      </c>
      <c r="C261" s="46" t="s">
        <v>285</v>
      </c>
      <c r="D261" s="39" t="s">
        <v>261</v>
      </c>
      <c r="E261" s="81">
        <v>35961</v>
      </c>
      <c r="F261" s="52" t="s">
        <v>257</v>
      </c>
      <c r="G261" s="53">
        <v>20500</v>
      </c>
      <c r="H261" s="54">
        <v>3</v>
      </c>
    </row>
    <row r="262" spans="1:8">
      <c r="A262" s="42" t="str">
        <f t="shared" si="14"/>
        <v>Manufacturing</v>
      </c>
      <c r="B262" s="42" t="s">
        <v>896</v>
      </c>
      <c r="C262" s="46" t="s">
        <v>285</v>
      </c>
      <c r="D262" s="39" t="s">
        <v>256</v>
      </c>
      <c r="E262" s="81">
        <v>36012</v>
      </c>
      <c r="F262" s="52" t="s">
        <v>262</v>
      </c>
      <c r="G262" s="53">
        <v>78950</v>
      </c>
      <c r="H262" s="54">
        <v>1</v>
      </c>
    </row>
    <row r="263" spans="1:8">
      <c r="A263" s="42" t="str">
        <f t="shared" si="14"/>
        <v>Manufacturing</v>
      </c>
      <c r="B263" s="42" t="s">
        <v>336</v>
      </c>
      <c r="C263" s="46" t="s">
        <v>285</v>
      </c>
      <c r="D263" s="39" t="s">
        <v>261</v>
      </c>
      <c r="E263" s="81">
        <v>36217</v>
      </c>
      <c r="F263" s="52" t="s">
        <v>283</v>
      </c>
      <c r="G263" s="53">
        <v>22475</v>
      </c>
      <c r="H263" s="54">
        <v>4</v>
      </c>
    </row>
    <row r="264" spans="1:8">
      <c r="A264" s="42" t="str">
        <f t="shared" si="14"/>
        <v>Manufacturing</v>
      </c>
      <c r="B264" s="42" t="s">
        <v>819</v>
      </c>
      <c r="C264" s="46" t="s">
        <v>271</v>
      </c>
      <c r="D264" s="39" t="s">
        <v>256</v>
      </c>
      <c r="E264" s="81">
        <v>33117</v>
      </c>
      <c r="F264" s="52" t="s">
        <v>267</v>
      </c>
      <c r="G264" s="53">
        <v>35360</v>
      </c>
      <c r="H264" s="54">
        <v>5</v>
      </c>
    </row>
    <row r="265" spans="1:8">
      <c r="A265" s="42" t="str">
        <f t="shared" si="14"/>
        <v>Manufacturing</v>
      </c>
      <c r="B265" s="42" t="s">
        <v>541</v>
      </c>
      <c r="C265" s="46" t="s">
        <v>280</v>
      </c>
      <c r="D265" s="39" t="s">
        <v>261</v>
      </c>
      <c r="E265" s="81">
        <v>33319</v>
      </c>
      <c r="F265" s="52" t="s">
        <v>267</v>
      </c>
      <c r="G265" s="53">
        <v>13090</v>
      </c>
      <c r="H265" s="54">
        <v>4</v>
      </c>
    </row>
    <row r="266" spans="1:8">
      <c r="A266" s="42" t="str">
        <f t="shared" si="14"/>
        <v>Manufacturing</v>
      </c>
      <c r="B266" s="42" t="s">
        <v>821</v>
      </c>
      <c r="C266" s="46" t="s">
        <v>285</v>
      </c>
      <c r="D266" s="39" t="s">
        <v>256</v>
      </c>
      <c r="E266" s="81">
        <v>40501</v>
      </c>
      <c r="F266" s="52" t="s">
        <v>267</v>
      </c>
      <c r="G266" s="53">
        <v>77820</v>
      </c>
      <c r="H266" s="54">
        <v>3</v>
      </c>
    </row>
    <row r="267" spans="1:8">
      <c r="A267" s="42" t="str">
        <f t="shared" si="14"/>
        <v>Manufacturing</v>
      </c>
      <c r="B267" s="42" t="s">
        <v>655</v>
      </c>
      <c r="C267" s="46" t="s">
        <v>271</v>
      </c>
      <c r="D267" s="39" t="s">
        <v>256</v>
      </c>
      <c r="E267" s="81">
        <v>35373</v>
      </c>
      <c r="F267" s="52" t="s">
        <v>283</v>
      </c>
      <c r="G267" s="53">
        <v>66440</v>
      </c>
      <c r="H267" s="54">
        <v>3</v>
      </c>
    </row>
    <row r="268" spans="1:8">
      <c r="A268" s="42" t="str">
        <f t="shared" si="14"/>
        <v>Manufacturing</v>
      </c>
      <c r="B268" s="42" t="s">
        <v>689</v>
      </c>
      <c r="C268" s="46" t="s">
        <v>271</v>
      </c>
      <c r="D268" s="39" t="s">
        <v>256</v>
      </c>
      <c r="E268" s="81">
        <v>38353</v>
      </c>
      <c r="F268" s="52" t="s">
        <v>283</v>
      </c>
      <c r="G268" s="53">
        <v>83710</v>
      </c>
      <c r="H268" s="54">
        <v>3</v>
      </c>
    </row>
    <row r="269" spans="1:8">
      <c r="A269" s="42" t="str">
        <f t="shared" si="14"/>
        <v>Manufacturing</v>
      </c>
      <c r="B269" s="42" t="s">
        <v>544</v>
      </c>
      <c r="C269" s="46" t="s">
        <v>245</v>
      </c>
      <c r="D269" s="39" t="s">
        <v>256</v>
      </c>
      <c r="E269" s="81">
        <v>33279</v>
      </c>
      <c r="F269" s="52" t="s">
        <v>257</v>
      </c>
      <c r="G269" s="53">
        <v>24200</v>
      </c>
      <c r="H269" s="54">
        <v>5</v>
      </c>
    </row>
    <row r="270" spans="1:8">
      <c r="A270" s="42" t="str">
        <f t="shared" si="14"/>
        <v>Manufacturing</v>
      </c>
      <c r="B270" s="42" t="s">
        <v>728</v>
      </c>
      <c r="C270" s="46" t="s">
        <v>266</v>
      </c>
      <c r="D270" s="39" t="s">
        <v>256</v>
      </c>
      <c r="E270" s="81">
        <v>36122</v>
      </c>
      <c r="F270" s="52" t="s">
        <v>262</v>
      </c>
      <c r="G270" s="53">
        <v>22660</v>
      </c>
      <c r="H270" s="54">
        <v>2</v>
      </c>
    </row>
    <row r="271" spans="1:8">
      <c r="A271" s="42" t="str">
        <f t="shared" si="14"/>
        <v>Manufacturing</v>
      </c>
      <c r="B271" s="42" t="s">
        <v>690</v>
      </c>
      <c r="C271" s="46" t="s">
        <v>266</v>
      </c>
      <c r="D271" s="39" t="s">
        <v>256</v>
      </c>
      <c r="E271" s="81">
        <v>35254</v>
      </c>
      <c r="F271" s="52" t="s">
        <v>257</v>
      </c>
      <c r="G271" s="53">
        <v>48800</v>
      </c>
      <c r="H271" s="54">
        <v>4</v>
      </c>
    </row>
    <row r="272" spans="1:8">
      <c r="A272" s="42" t="str">
        <f t="shared" si="14"/>
        <v>Manufacturing</v>
      </c>
      <c r="B272" s="42" t="s">
        <v>986</v>
      </c>
      <c r="C272" s="46" t="s">
        <v>271</v>
      </c>
      <c r="D272" s="39" t="s">
        <v>256</v>
      </c>
      <c r="E272" s="81">
        <v>37848</v>
      </c>
      <c r="F272" s="52" t="s">
        <v>262</v>
      </c>
      <c r="G272" s="53">
        <v>76910</v>
      </c>
      <c r="H272" s="54">
        <v>2</v>
      </c>
    </row>
    <row r="273" spans="1:8">
      <c r="A273" s="42" t="str">
        <f t="shared" si="14"/>
        <v>Manufacturing</v>
      </c>
      <c r="B273" s="42" t="s">
        <v>900</v>
      </c>
      <c r="C273" s="46" t="s">
        <v>271</v>
      </c>
      <c r="D273" s="39" t="s">
        <v>256</v>
      </c>
      <c r="E273" s="81">
        <v>40274</v>
      </c>
      <c r="F273" s="52" t="s">
        <v>262</v>
      </c>
      <c r="G273" s="53">
        <v>38730</v>
      </c>
      <c r="H273" s="54">
        <v>1</v>
      </c>
    </row>
    <row r="274" spans="1:8">
      <c r="A274" s="42" t="str">
        <f t="shared" si="14"/>
        <v>Manufacturing</v>
      </c>
      <c r="B274" s="42" t="s">
        <v>692</v>
      </c>
      <c r="C274" s="46" t="s">
        <v>251</v>
      </c>
      <c r="D274" s="39" t="s">
        <v>256</v>
      </c>
      <c r="E274" s="81">
        <v>36536</v>
      </c>
      <c r="F274" s="52" t="s">
        <v>257</v>
      </c>
      <c r="G274" s="53">
        <v>62400</v>
      </c>
      <c r="H274" s="54">
        <v>4</v>
      </c>
    </row>
    <row r="275" spans="1:8">
      <c r="A275" s="42" t="str">
        <f t="shared" si="14"/>
        <v>Manufacturing</v>
      </c>
      <c r="B275" s="42" t="s">
        <v>560</v>
      </c>
      <c r="C275" s="46" t="s">
        <v>271</v>
      </c>
      <c r="D275" s="39" t="s">
        <v>256</v>
      </c>
      <c r="E275" s="81">
        <v>40637</v>
      </c>
      <c r="F275" s="52" t="s">
        <v>257</v>
      </c>
      <c r="G275" s="53">
        <v>86640</v>
      </c>
      <c r="H275" s="54">
        <v>3</v>
      </c>
    </row>
    <row r="276" spans="1:8">
      <c r="A276" s="42" t="str">
        <f t="shared" si="14"/>
        <v>Manufacturing</v>
      </c>
      <c r="B276" s="42" t="s">
        <v>402</v>
      </c>
      <c r="C276" s="46" t="s">
        <v>271</v>
      </c>
      <c r="D276" s="39" t="s">
        <v>247</v>
      </c>
      <c r="E276" s="81">
        <v>36479</v>
      </c>
      <c r="F276" s="52"/>
      <c r="G276" s="53">
        <v>54840</v>
      </c>
      <c r="H276" s="54">
        <v>4</v>
      </c>
    </row>
    <row r="277" spans="1:8">
      <c r="A277" s="42" t="str">
        <f t="shared" si="14"/>
        <v>Manufacturing</v>
      </c>
      <c r="B277" s="42" t="s">
        <v>2382</v>
      </c>
      <c r="C277" s="46" t="s">
        <v>245</v>
      </c>
      <c r="D277" s="39" t="s">
        <v>247</v>
      </c>
      <c r="E277" s="81">
        <v>33245</v>
      </c>
      <c r="F277" s="52"/>
      <c r="G277" s="53">
        <v>80050</v>
      </c>
      <c r="H277" s="54">
        <v>2</v>
      </c>
    </row>
    <row r="278" spans="1:8">
      <c r="A278" s="42" t="str">
        <f t="shared" si="14"/>
        <v>Manufacturing</v>
      </c>
      <c r="B278" s="42" t="s">
        <v>2381</v>
      </c>
      <c r="C278" s="46" t="s">
        <v>285</v>
      </c>
      <c r="D278" s="39" t="s">
        <v>252</v>
      </c>
      <c r="E278" s="81">
        <v>37946</v>
      </c>
      <c r="F278" s="52" t="s">
        <v>257</v>
      </c>
      <c r="G278" s="53">
        <v>85130</v>
      </c>
      <c r="H278" s="54">
        <v>5</v>
      </c>
    </row>
    <row r="279" spans="1:8">
      <c r="A279" s="42" t="str">
        <f t="shared" si="14"/>
        <v>Manufacturing</v>
      </c>
      <c r="B279" s="42" t="s">
        <v>907</v>
      </c>
      <c r="C279" s="46" t="s">
        <v>285</v>
      </c>
      <c r="D279" s="39" t="s">
        <v>256</v>
      </c>
      <c r="E279" s="81">
        <v>35487</v>
      </c>
      <c r="F279" s="52" t="s">
        <v>257</v>
      </c>
      <c r="G279" s="53">
        <v>80120</v>
      </c>
      <c r="H279" s="54">
        <v>4</v>
      </c>
    </row>
    <row r="280" spans="1:8">
      <c r="A280" s="42" t="str">
        <f t="shared" si="14"/>
        <v>Manufacturing</v>
      </c>
      <c r="B280" s="42" t="s">
        <v>992</v>
      </c>
      <c r="C280" s="46" t="s">
        <v>280</v>
      </c>
      <c r="D280" s="39" t="s">
        <v>256</v>
      </c>
      <c r="E280" s="81">
        <v>35307</v>
      </c>
      <c r="F280" s="52" t="s">
        <v>257</v>
      </c>
      <c r="G280" s="53">
        <v>31690</v>
      </c>
      <c r="H280" s="54">
        <v>4</v>
      </c>
    </row>
    <row r="281" spans="1:8">
      <c r="A281" s="42" t="str">
        <f t="shared" ref="A281:A312" si="15">A280</f>
        <v>Manufacturing</v>
      </c>
      <c r="B281" s="42" t="s">
        <v>301</v>
      </c>
      <c r="C281" s="46" t="s">
        <v>271</v>
      </c>
      <c r="D281" s="39" t="s">
        <v>256</v>
      </c>
      <c r="E281" s="81">
        <v>39745</v>
      </c>
      <c r="F281" s="52" t="s">
        <v>283</v>
      </c>
      <c r="G281" s="53">
        <v>29330</v>
      </c>
      <c r="H281" s="54">
        <v>5</v>
      </c>
    </row>
    <row r="282" spans="1:8">
      <c r="A282" s="42" t="str">
        <f t="shared" si="15"/>
        <v>Manufacturing</v>
      </c>
      <c r="B282" s="42" t="s">
        <v>346</v>
      </c>
      <c r="C282" s="46" t="s">
        <v>285</v>
      </c>
      <c r="D282" s="39" t="s">
        <v>247</v>
      </c>
      <c r="E282" s="81">
        <v>36070</v>
      </c>
      <c r="F282" s="52"/>
      <c r="G282" s="53">
        <v>59050</v>
      </c>
      <c r="H282" s="54">
        <v>4</v>
      </c>
    </row>
    <row r="283" spans="1:8">
      <c r="A283" s="42" t="str">
        <f t="shared" si="15"/>
        <v>Manufacturing</v>
      </c>
      <c r="B283" s="42" t="s">
        <v>694</v>
      </c>
      <c r="C283" s="46" t="s">
        <v>271</v>
      </c>
      <c r="D283" s="39" t="s">
        <v>256</v>
      </c>
      <c r="E283" s="81">
        <v>36967</v>
      </c>
      <c r="F283" s="52" t="s">
        <v>257</v>
      </c>
      <c r="G283" s="53">
        <v>63060</v>
      </c>
      <c r="H283" s="54">
        <v>4</v>
      </c>
    </row>
    <row r="284" spans="1:8">
      <c r="A284" s="42" t="str">
        <f t="shared" si="15"/>
        <v>Manufacturing</v>
      </c>
      <c r="B284" s="42" t="s">
        <v>733</v>
      </c>
      <c r="C284" s="46" t="s">
        <v>251</v>
      </c>
      <c r="D284" s="39" t="s">
        <v>256</v>
      </c>
      <c r="E284" s="81">
        <v>35412</v>
      </c>
      <c r="F284" s="52" t="s">
        <v>262</v>
      </c>
      <c r="G284" s="53">
        <v>77950</v>
      </c>
      <c r="H284" s="54">
        <v>4</v>
      </c>
    </row>
    <row r="285" spans="1:8">
      <c r="A285" s="42" t="str">
        <f t="shared" si="15"/>
        <v>Manufacturing</v>
      </c>
      <c r="B285" s="42" t="s">
        <v>734</v>
      </c>
      <c r="C285" s="46" t="s">
        <v>285</v>
      </c>
      <c r="D285" s="39" t="s">
        <v>261</v>
      </c>
      <c r="E285" s="81">
        <v>36360</v>
      </c>
      <c r="F285" s="52" t="s">
        <v>283</v>
      </c>
      <c r="G285" s="53">
        <v>11065</v>
      </c>
      <c r="H285" s="54">
        <v>1</v>
      </c>
    </row>
    <row r="286" spans="1:8">
      <c r="A286" s="42" t="str">
        <f t="shared" si="15"/>
        <v>Manufacturing</v>
      </c>
      <c r="B286" s="42" t="s">
        <v>566</v>
      </c>
      <c r="C286" s="46" t="s">
        <v>271</v>
      </c>
      <c r="D286" s="39" t="s">
        <v>247</v>
      </c>
      <c r="E286" s="81">
        <v>35776</v>
      </c>
      <c r="F286" s="52"/>
      <c r="G286" s="53">
        <v>77930</v>
      </c>
      <c r="H286" s="54">
        <v>5</v>
      </c>
    </row>
    <row r="287" spans="1:8">
      <c r="A287" s="42" t="str">
        <f t="shared" si="15"/>
        <v>Manufacturing</v>
      </c>
      <c r="B287" s="42" t="s">
        <v>660</v>
      </c>
      <c r="C287" s="46" t="s">
        <v>285</v>
      </c>
      <c r="D287" s="39" t="s">
        <v>247</v>
      </c>
      <c r="E287" s="81">
        <v>34671</v>
      </c>
      <c r="F287" s="52"/>
      <c r="G287" s="53">
        <v>80690</v>
      </c>
      <c r="H287" s="54">
        <v>3</v>
      </c>
    </row>
    <row r="288" spans="1:8">
      <c r="A288" s="42" t="str">
        <f t="shared" si="15"/>
        <v>Manufacturing</v>
      </c>
      <c r="B288" s="42" t="s">
        <v>910</v>
      </c>
      <c r="C288" s="46" t="s">
        <v>271</v>
      </c>
      <c r="D288" s="39" t="s">
        <v>247</v>
      </c>
      <c r="E288" s="81">
        <v>40054</v>
      </c>
      <c r="F288" s="52"/>
      <c r="G288" s="53">
        <v>56920</v>
      </c>
      <c r="H288" s="54">
        <v>4</v>
      </c>
    </row>
    <row r="289" spans="1:8">
      <c r="A289" s="42" t="str">
        <f t="shared" si="15"/>
        <v>Manufacturing</v>
      </c>
      <c r="B289" s="42" t="s">
        <v>310</v>
      </c>
      <c r="C289" s="46" t="s">
        <v>285</v>
      </c>
      <c r="D289" s="39" t="s">
        <v>256</v>
      </c>
      <c r="E289" s="81">
        <v>35356</v>
      </c>
      <c r="F289" s="52" t="s">
        <v>262</v>
      </c>
      <c r="G289" s="53">
        <v>45480</v>
      </c>
      <c r="H289" s="54">
        <v>4</v>
      </c>
    </row>
    <row r="290" spans="1:8">
      <c r="A290" s="42" t="str">
        <f t="shared" si="15"/>
        <v>Manufacturing</v>
      </c>
      <c r="B290" s="42" t="s">
        <v>349</v>
      </c>
      <c r="C290" s="46" t="s">
        <v>251</v>
      </c>
      <c r="D290" s="39" t="s">
        <v>256</v>
      </c>
      <c r="E290" s="81">
        <v>37810</v>
      </c>
      <c r="F290" s="52" t="s">
        <v>283</v>
      </c>
      <c r="G290" s="53">
        <v>48010</v>
      </c>
      <c r="H290" s="54">
        <v>3</v>
      </c>
    </row>
    <row r="291" spans="1:8">
      <c r="A291" s="42" t="str">
        <f t="shared" si="15"/>
        <v>Manufacturing</v>
      </c>
      <c r="B291" s="42" t="s">
        <v>828</v>
      </c>
      <c r="C291" s="46" t="s">
        <v>285</v>
      </c>
      <c r="D291" s="39" t="s">
        <v>256</v>
      </c>
      <c r="E291" s="81">
        <v>35605</v>
      </c>
      <c r="F291" s="52" t="s">
        <v>283</v>
      </c>
      <c r="G291" s="53">
        <v>56870</v>
      </c>
      <c r="H291" s="54">
        <v>1</v>
      </c>
    </row>
    <row r="292" spans="1:8">
      <c r="A292" s="42" t="str">
        <f t="shared" si="15"/>
        <v>Manufacturing</v>
      </c>
      <c r="B292" s="42" t="s">
        <v>664</v>
      </c>
      <c r="C292" s="46" t="s">
        <v>285</v>
      </c>
      <c r="D292" s="39" t="s">
        <v>256</v>
      </c>
      <c r="E292" s="81">
        <v>34021</v>
      </c>
      <c r="F292" s="52" t="s">
        <v>283</v>
      </c>
      <c r="G292" s="53">
        <v>45110</v>
      </c>
      <c r="H292" s="54">
        <v>2</v>
      </c>
    </row>
    <row r="293" spans="1:8">
      <c r="A293" s="42" t="str">
        <f t="shared" si="15"/>
        <v>Manufacturing</v>
      </c>
      <c r="B293" s="42" t="s">
        <v>665</v>
      </c>
      <c r="C293" s="46" t="s">
        <v>245</v>
      </c>
      <c r="D293" s="39" t="s">
        <v>247</v>
      </c>
      <c r="E293" s="81">
        <v>35939</v>
      </c>
      <c r="F293" s="52"/>
      <c r="G293" s="53">
        <v>25120</v>
      </c>
      <c r="H293" s="54">
        <v>5</v>
      </c>
    </row>
    <row r="294" spans="1:8">
      <c r="A294" s="42" t="str">
        <f t="shared" si="15"/>
        <v>Manufacturing</v>
      </c>
      <c r="B294" s="42" t="s">
        <v>583</v>
      </c>
      <c r="C294" s="46" t="s">
        <v>271</v>
      </c>
      <c r="D294" s="39" t="s">
        <v>247</v>
      </c>
      <c r="E294" s="81">
        <v>37820</v>
      </c>
      <c r="F294" s="52"/>
      <c r="G294" s="53">
        <v>75420</v>
      </c>
      <c r="H294" s="54">
        <v>1</v>
      </c>
    </row>
    <row r="295" spans="1:8">
      <c r="A295" s="42" t="str">
        <f t="shared" si="15"/>
        <v>Manufacturing</v>
      </c>
      <c r="B295" s="42" t="s">
        <v>585</v>
      </c>
      <c r="C295" s="46" t="s">
        <v>285</v>
      </c>
      <c r="D295" s="39" t="s">
        <v>247</v>
      </c>
      <c r="E295" s="81">
        <v>33167</v>
      </c>
      <c r="F295" s="52"/>
      <c r="G295" s="53">
        <v>23020</v>
      </c>
      <c r="H295" s="54">
        <v>4</v>
      </c>
    </row>
    <row r="296" spans="1:8">
      <c r="A296" s="42" t="str">
        <f t="shared" si="15"/>
        <v>Manufacturing</v>
      </c>
      <c r="B296" s="42" t="s">
        <v>1001</v>
      </c>
      <c r="C296" s="46" t="s">
        <v>285</v>
      </c>
      <c r="D296" s="39" t="s">
        <v>247</v>
      </c>
      <c r="E296" s="81">
        <v>35959</v>
      </c>
      <c r="F296" s="52"/>
      <c r="G296" s="53">
        <v>64470</v>
      </c>
      <c r="H296" s="54">
        <v>3</v>
      </c>
    </row>
    <row r="297" spans="1:8">
      <c r="A297" s="42" t="str">
        <f t="shared" si="15"/>
        <v>Manufacturing</v>
      </c>
      <c r="B297" s="42" t="s">
        <v>407</v>
      </c>
      <c r="C297" s="46" t="s">
        <v>285</v>
      </c>
      <c r="D297" s="39" t="s">
        <v>252</v>
      </c>
      <c r="E297" s="81">
        <v>37730</v>
      </c>
      <c r="F297" s="52"/>
      <c r="G297" s="53">
        <v>8892</v>
      </c>
      <c r="H297" s="54">
        <v>1</v>
      </c>
    </row>
    <row r="298" spans="1:8">
      <c r="A298" s="42" t="str">
        <f t="shared" si="15"/>
        <v>Manufacturing</v>
      </c>
      <c r="B298" s="42" t="s">
        <v>666</v>
      </c>
      <c r="C298" s="46" t="s">
        <v>251</v>
      </c>
      <c r="D298" s="39" t="s">
        <v>256</v>
      </c>
      <c r="E298" s="81">
        <v>36260</v>
      </c>
      <c r="F298" s="52" t="s">
        <v>257</v>
      </c>
      <c r="G298" s="53">
        <v>75150</v>
      </c>
      <c r="H298" s="54">
        <v>1</v>
      </c>
    </row>
    <row r="299" spans="1:8">
      <c r="A299" s="42" t="str">
        <f t="shared" si="15"/>
        <v>Manufacturing</v>
      </c>
      <c r="B299" s="42" t="s">
        <v>1002</v>
      </c>
      <c r="C299" s="46" t="s">
        <v>280</v>
      </c>
      <c r="D299" s="39" t="s">
        <v>252</v>
      </c>
      <c r="E299" s="81">
        <v>38144</v>
      </c>
      <c r="F299" s="52"/>
      <c r="G299" s="53">
        <v>33512</v>
      </c>
      <c r="H299" s="54">
        <v>4</v>
      </c>
    </row>
    <row r="300" spans="1:8">
      <c r="A300" s="42" t="str">
        <f t="shared" si="15"/>
        <v>Manufacturing</v>
      </c>
      <c r="B300" s="42" t="s">
        <v>462</v>
      </c>
      <c r="C300" s="46" t="s">
        <v>251</v>
      </c>
      <c r="D300" s="39" t="s">
        <v>247</v>
      </c>
      <c r="E300" s="103">
        <v>40449</v>
      </c>
      <c r="F300" s="52"/>
      <c r="G300" s="53">
        <v>88840</v>
      </c>
      <c r="H300" s="54">
        <v>5</v>
      </c>
    </row>
    <row r="301" spans="1:8">
      <c r="A301" s="42" t="str">
        <f t="shared" si="15"/>
        <v>Manufacturing</v>
      </c>
      <c r="B301" s="42" t="s">
        <v>286</v>
      </c>
      <c r="C301" s="46" t="s">
        <v>285</v>
      </c>
      <c r="D301" s="39" t="s">
        <v>256</v>
      </c>
      <c r="E301" s="81">
        <v>39147</v>
      </c>
      <c r="F301" s="52" t="s">
        <v>283</v>
      </c>
      <c r="G301" s="53">
        <v>43680</v>
      </c>
      <c r="H301" s="54">
        <v>5</v>
      </c>
    </row>
    <row r="302" spans="1:8">
      <c r="A302" s="42" t="str">
        <f t="shared" si="15"/>
        <v>Manufacturing</v>
      </c>
      <c r="B302" s="42" t="s">
        <v>914</v>
      </c>
      <c r="C302" s="46" t="s">
        <v>245</v>
      </c>
      <c r="D302" s="39" t="s">
        <v>256</v>
      </c>
      <c r="E302" s="81">
        <v>36514</v>
      </c>
      <c r="F302" s="52" t="s">
        <v>283</v>
      </c>
      <c r="G302" s="53">
        <v>48250</v>
      </c>
      <c r="H302" s="54">
        <v>3</v>
      </c>
    </row>
    <row r="303" spans="1:8">
      <c r="A303" s="42" t="str">
        <f t="shared" si="15"/>
        <v>Manufacturing</v>
      </c>
      <c r="B303" s="42" t="s">
        <v>739</v>
      </c>
      <c r="C303" s="46" t="s">
        <v>271</v>
      </c>
      <c r="D303" s="39" t="s">
        <v>256</v>
      </c>
      <c r="E303" s="81">
        <v>34875</v>
      </c>
      <c r="F303" s="52" t="s">
        <v>276</v>
      </c>
      <c r="G303" s="53">
        <v>66920</v>
      </c>
      <c r="H303" s="54">
        <v>2</v>
      </c>
    </row>
    <row r="304" spans="1:8">
      <c r="A304" s="42" t="str">
        <f t="shared" si="15"/>
        <v>Manufacturing</v>
      </c>
      <c r="B304" s="42" t="s">
        <v>446</v>
      </c>
      <c r="C304" s="46" t="s">
        <v>266</v>
      </c>
      <c r="D304" s="39" t="s">
        <v>261</v>
      </c>
      <c r="E304" s="81">
        <v>36177</v>
      </c>
      <c r="F304" s="52" t="s">
        <v>267</v>
      </c>
      <c r="G304" s="53">
        <v>21670</v>
      </c>
      <c r="H304" s="54">
        <v>2</v>
      </c>
    </row>
    <row r="305" spans="1:8">
      <c r="A305" s="42" t="str">
        <f t="shared" si="15"/>
        <v>Manufacturing</v>
      </c>
      <c r="B305" s="42" t="s">
        <v>740</v>
      </c>
      <c r="C305" s="46" t="s">
        <v>245</v>
      </c>
      <c r="D305" s="39" t="s">
        <v>256</v>
      </c>
      <c r="E305" s="81">
        <v>36456</v>
      </c>
      <c r="F305" s="52" t="s">
        <v>283</v>
      </c>
      <c r="G305" s="53">
        <v>43460</v>
      </c>
      <c r="H305" s="54">
        <v>5</v>
      </c>
    </row>
    <row r="306" spans="1:8">
      <c r="A306" s="42" t="str">
        <f t="shared" si="15"/>
        <v>Manufacturing</v>
      </c>
      <c r="B306" s="42" t="s">
        <v>834</v>
      </c>
      <c r="C306" s="46" t="s">
        <v>280</v>
      </c>
      <c r="D306" s="39" t="s">
        <v>256</v>
      </c>
      <c r="E306" s="81">
        <v>38397</v>
      </c>
      <c r="F306" s="52" t="s">
        <v>257</v>
      </c>
      <c r="G306" s="53">
        <v>36630</v>
      </c>
      <c r="H306" s="54">
        <v>4</v>
      </c>
    </row>
    <row r="307" spans="1:8">
      <c r="A307" s="42" t="str">
        <f t="shared" si="15"/>
        <v>Manufacturing</v>
      </c>
      <c r="B307" s="42" t="s">
        <v>668</v>
      </c>
      <c r="C307" s="46" t="s">
        <v>245</v>
      </c>
      <c r="D307" s="39" t="s">
        <v>256</v>
      </c>
      <c r="E307" s="81">
        <v>33527</v>
      </c>
      <c r="F307" s="52" t="s">
        <v>283</v>
      </c>
      <c r="G307" s="53">
        <v>85920</v>
      </c>
      <c r="H307" s="54">
        <v>4</v>
      </c>
    </row>
    <row r="308" spans="1:8">
      <c r="A308" s="42" t="str">
        <f t="shared" si="15"/>
        <v>Manufacturing</v>
      </c>
      <c r="B308" s="42" t="s">
        <v>594</v>
      </c>
      <c r="C308" s="46" t="s">
        <v>266</v>
      </c>
      <c r="D308" s="39" t="s">
        <v>256</v>
      </c>
      <c r="E308" s="81">
        <v>38051</v>
      </c>
      <c r="F308" s="52" t="s">
        <v>257</v>
      </c>
      <c r="G308" s="53">
        <v>30350</v>
      </c>
      <c r="H308" s="54">
        <v>1</v>
      </c>
    </row>
    <row r="309" spans="1:8">
      <c r="A309" s="42" t="str">
        <f t="shared" si="15"/>
        <v>Manufacturing</v>
      </c>
      <c r="B309" s="42" t="s">
        <v>1010</v>
      </c>
      <c r="C309" s="46" t="s">
        <v>271</v>
      </c>
      <c r="D309" s="39" t="s">
        <v>256</v>
      </c>
      <c r="E309" s="81">
        <v>37288</v>
      </c>
      <c r="F309" s="52" t="s">
        <v>257</v>
      </c>
      <c r="G309" s="53">
        <v>42480</v>
      </c>
      <c r="H309" s="54">
        <v>3</v>
      </c>
    </row>
    <row r="310" spans="1:8">
      <c r="A310" s="42" t="str">
        <f t="shared" si="15"/>
        <v>Manufacturing</v>
      </c>
      <c r="B310" s="42" t="s">
        <v>598</v>
      </c>
      <c r="C310" s="46" t="s">
        <v>271</v>
      </c>
      <c r="D310" s="39" t="s">
        <v>256</v>
      </c>
      <c r="E310" s="81">
        <v>37138</v>
      </c>
      <c r="F310" s="52" t="s">
        <v>257</v>
      </c>
      <c r="G310" s="53">
        <v>29130</v>
      </c>
      <c r="H310" s="54">
        <v>1</v>
      </c>
    </row>
    <row r="311" spans="1:8">
      <c r="A311" s="42" t="str">
        <f t="shared" si="15"/>
        <v>Manufacturing</v>
      </c>
      <c r="B311" s="42" t="s">
        <v>602</v>
      </c>
      <c r="C311" s="46" t="s">
        <v>245</v>
      </c>
      <c r="D311" s="39" t="s">
        <v>256</v>
      </c>
      <c r="E311" s="81">
        <v>36243</v>
      </c>
      <c r="F311" s="52" t="s">
        <v>276</v>
      </c>
      <c r="G311" s="53">
        <v>77680</v>
      </c>
      <c r="H311" s="54">
        <v>3</v>
      </c>
    </row>
    <row r="312" spans="1:8">
      <c r="A312" s="42" t="str">
        <f t="shared" si="15"/>
        <v>Manufacturing</v>
      </c>
      <c r="B312" s="42" t="s">
        <v>288</v>
      </c>
      <c r="C312" s="46" t="s">
        <v>285</v>
      </c>
      <c r="D312" s="39" t="s">
        <v>261</v>
      </c>
      <c r="E312" s="81">
        <v>34401</v>
      </c>
      <c r="F312" s="52" t="s">
        <v>267</v>
      </c>
      <c r="G312" s="53">
        <v>89780</v>
      </c>
      <c r="H312" s="54">
        <v>4</v>
      </c>
    </row>
    <row r="313" spans="1:8">
      <c r="A313" s="42" t="str">
        <f t="shared" ref="A313:A334" si="16">A312</f>
        <v>Manufacturing</v>
      </c>
      <c r="B313" s="42" t="s">
        <v>289</v>
      </c>
      <c r="C313" s="46" t="s">
        <v>280</v>
      </c>
      <c r="D313" s="39" t="s">
        <v>261</v>
      </c>
      <c r="E313" s="81">
        <v>36371</v>
      </c>
      <c r="F313" s="52" t="s">
        <v>283</v>
      </c>
      <c r="G313" s="53">
        <v>26790</v>
      </c>
      <c r="H313" s="54">
        <v>2</v>
      </c>
    </row>
    <row r="314" spans="1:8">
      <c r="A314" s="42" t="str">
        <f t="shared" si="16"/>
        <v>Manufacturing</v>
      </c>
      <c r="B314" s="42" t="s">
        <v>290</v>
      </c>
      <c r="C314" s="46" t="s">
        <v>271</v>
      </c>
      <c r="D314" s="39" t="s">
        <v>256</v>
      </c>
      <c r="E314" s="81">
        <v>35965</v>
      </c>
      <c r="F314" s="77" t="s">
        <v>267</v>
      </c>
      <c r="G314" s="53">
        <v>34780</v>
      </c>
      <c r="H314" s="54">
        <v>4</v>
      </c>
    </row>
    <row r="315" spans="1:8">
      <c r="A315" s="42" t="str">
        <f t="shared" si="16"/>
        <v>Manufacturing</v>
      </c>
      <c r="B315" s="42" t="s">
        <v>463</v>
      </c>
      <c r="C315" s="46" t="s">
        <v>285</v>
      </c>
      <c r="D315" s="39" t="s">
        <v>256</v>
      </c>
      <c r="E315" s="81">
        <v>33702</v>
      </c>
      <c r="F315" s="52" t="s">
        <v>257</v>
      </c>
      <c r="G315" s="53">
        <v>37020</v>
      </c>
      <c r="H315" s="54">
        <v>2</v>
      </c>
    </row>
    <row r="316" spans="1:8">
      <c r="A316" s="42" t="str">
        <f t="shared" si="16"/>
        <v>Manufacturing</v>
      </c>
      <c r="B316" s="42" t="s">
        <v>672</v>
      </c>
      <c r="C316" s="46" t="s">
        <v>285</v>
      </c>
      <c r="D316" s="39" t="s">
        <v>256</v>
      </c>
      <c r="E316" s="81">
        <v>35591</v>
      </c>
      <c r="F316" s="52" t="s">
        <v>283</v>
      </c>
      <c r="G316" s="53">
        <v>61150</v>
      </c>
      <c r="H316" s="54">
        <v>2</v>
      </c>
    </row>
    <row r="317" spans="1:8">
      <c r="A317" s="42" t="str">
        <f t="shared" si="16"/>
        <v>Manufacturing</v>
      </c>
      <c r="B317" s="42" t="s">
        <v>673</v>
      </c>
      <c r="C317" s="46" t="s">
        <v>251</v>
      </c>
      <c r="D317" s="39" t="s">
        <v>261</v>
      </c>
      <c r="E317" s="81">
        <v>38362</v>
      </c>
      <c r="F317" s="52" t="s">
        <v>257</v>
      </c>
      <c r="G317" s="53">
        <v>31255</v>
      </c>
      <c r="H317" s="54">
        <v>5</v>
      </c>
    </row>
    <row r="318" spans="1:8">
      <c r="A318" s="42" t="str">
        <f t="shared" si="16"/>
        <v>Manufacturing</v>
      </c>
      <c r="B318" s="42" t="s">
        <v>922</v>
      </c>
      <c r="C318" s="46" t="s">
        <v>271</v>
      </c>
      <c r="D318" s="39" t="s">
        <v>261</v>
      </c>
      <c r="E318" s="81">
        <v>39871</v>
      </c>
      <c r="F318" s="52" t="s">
        <v>267</v>
      </c>
      <c r="G318" s="53">
        <v>38575</v>
      </c>
      <c r="H318" s="54">
        <v>2</v>
      </c>
    </row>
    <row r="319" spans="1:8">
      <c r="A319" s="42" t="str">
        <f t="shared" si="16"/>
        <v>Manufacturing</v>
      </c>
      <c r="B319" s="42" t="s">
        <v>842</v>
      </c>
      <c r="C319" s="46" t="s">
        <v>251</v>
      </c>
      <c r="D319" s="39" t="s">
        <v>247</v>
      </c>
      <c r="E319" s="81">
        <v>34126</v>
      </c>
      <c r="F319" s="52"/>
      <c r="G319" s="53">
        <v>75550</v>
      </c>
      <c r="H319" s="54">
        <v>3</v>
      </c>
    </row>
    <row r="320" spans="1:8">
      <c r="A320" s="42" t="str">
        <f t="shared" si="16"/>
        <v>Manufacturing</v>
      </c>
      <c r="B320" s="42" t="s">
        <v>843</v>
      </c>
      <c r="C320" s="46" t="s">
        <v>285</v>
      </c>
      <c r="D320" s="39" t="s">
        <v>256</v>
      </c>
      <c r="E320" s="81">
        <v>38587</v>
      </c>
      <c r="F320" s="52" t="s">
        <v>257</v>
      </c>
      <c r="G320" s="53">
        <v>47350</v>
      </c>
      <c r="H320" s="54">
        <v>5</v>
      </c>
    </row>
    <row r="321" spans="1:8">
      <c r="A321" s="42" t="str">
        <f t="shared" si="16"/>
        <v>Manufacturing</v>
      </c>
      <c r="B321" s="42" t="s">
        <v>703</v>
      </c>
      <c r="C321" s="46" t="s">
        <v>251</v>
      </c>
      <c r="D321" s="45" t="s">
        <v>256</v>
      </c>
      <c r="E321" s="105">
        <v>35742</v>
      </c>
      <c r="F321" s="52" t="s">
        <v>283</v>
      </c>
      <c r="G321" s="53">
        <v>85300</v>
      </c>
      <c r="H321" s="54">
        <v>2</v>
      </c>
    </row>
    <row r="322" spans="1:8">
      <c r="A322" s="42" t="str">
        <f t="shared" si="16"/>
        <v>Manufacturing</v>
      </c>
      <c r="B322" s="42" t="s">
        <v>364</v>
      </c>
      <c r="C322" s="46" t="s">
        <v>266</v>
      </c>
      <c r="D322" s="39" t="s">
        <v>256</v>
      </c>
      <c r="E322" s="81">
        <v>33711</v>
      </c>
      <c r="F322" s="52" t="s">
        <v>257</v>
      </c>
      <c r="G322" s="53">
        <v>68470</v>
      </c>
      <c r="H322" s="54">
        <v>4</v>
      </c>
    </row>
    <row r="323" spans="1:8">
      <c r="A323" s="42" t="str">
        <f t="shared" si="16"/>
        <v>Manufacturing</v>
      </c>
      <c r="B323" s="42" t="s">
        <v>925</v>
      </c>
      <c r="C323" s="46" t="s">
        <v>285</v>
      </c>
      <c r="D323" s="39" t="s">
        <v>256</v>
      </c>
      <c r="E323" s="81">
        <v>37701</v>
      </c>
      <c r="F323" s="52" t="s">
        <v>262</v>
      </c>
      <c r="G323" s="53">
        <v>23560</v>
      </c>
      <c r="H323" s="54">
        <v>3</v>
      </c>
    </row>
    <row r="324" spans="1:8">
      <c r="A324" s="42" t="str">
        <f t="shared" si="16"/>
        <v>Manufacturing</v>
      </c>
      <c r="B324" s="42" t="s">
        <v>610</v>
      </c>
      <c r="C324" s="46" t="s">
        <v>271</v>
      </c>
      <c r="D324" s="39" t="s">
        <v>247</v>
      </c>
      <c r="E324" s="81">
        <v>35360</v>
      </c>
      <c r="F324" s="52"/>
      <c r="G324" s="53">
        <v>28260</v>
      </c>
      <c r="H324" s="54">
        <v>5</v>
      </c>
    </row>
    <row r="325" spans="1:8">
      <c r="A325" s="42" t="str">
        <f t="shared" si="16"/>
        <v>Manufacturing</v>
      </c>
      <c r="B325" s="42" t="s">
        <v>763</v>
      </c>
      <c r="C325" s="46" t="s">
        <v>266</v>
      </c>
      <c r="D325" s="39" t="s">
        <v>247</v>
      </c>
      <c r="E325" s="103">
        <v>40410</v>
      </c>
      <c r="F325" s="52"/>
      <c r="G325" s="53">
        <v>57680</v>
      </c>
      <c r="H325" s="54">
        <v>4</v>
      </c>
    </row>
    <row r="326" spans="1:8">
      <c r="A326" s="42" t="str">
        <f t="shared" si="16"/>
        <v>Manufacturing</v>
      </c>
      <c r="B326" s="42" t="s">
        <v>612</v>
      </c>
      <c r="C326" s="46" t="s">
        <v>271</v>
      </c>
      <c r="D326" s="45" t="s">
        <v>261</v>
      </c>
      <c r="E326" s="105">
        <v>36217</v>
      </c>
      <c r="F326" s="52" t="s">
        <v>257</v>
      </c>
      <c r="G326" s="53">
        <v>15240</v>
      </c>
      <c r="H326" s="54">
        <v>1</v>
      </c>
    </row>
    <row r="327" spans="1:8">
      <c r="A327" s="42" t="str">
        <f t="shared" si="16"/>
        <v>Manufacturing</v>
      </c>
      <c r="B327" s="42" t="s">
        <v>764</v>
      </c>
      <c r="C327" s="46" t="s">
        <v>271</v>
      </c>
      <c r="D327" s="39" t="s">
        <v>247</v>
      </c>
      <c r="E327" s="81">
        <v>35395</v>
      </c>
      <c r="F327" s="52"/>
      <c r="G327" s="53">
        <v>58130</v>
      </c>
      <c r="H327" s="54">
        <v>2</v>
      </c>
    </row>
    <row r="328" spans="1:8">
      <c r="A328" s="42" t="str">
        <f t="shared" si="16"/>
        <v>Manufacturing</v>
      </c>
      <c r="B328" s="42" t="s">
        <v>1020</v>
      </c>
      <c r="C328" s="46" t="s">
        <v>271</v>
      </c>
      <c r="D328" s="39" t="s">
        <v>247</v>
      </c>
      <c r="E328" s="81">
        <v>36193</v>
      </c>
      <c r="F328" s="52"/>
      <c r="G328" s="53">
        <v>58250</v>
      </c>
      <c r="H328" s="54">
        <v>2</v>
      </c>
    </row>
    <row r="329" spans="1:8">
      <c r="A329" s="42" t="str">
        <f t="shared" si="16"/>
        <v>Manufacturing</v>
      </c>
      <c r="B329" s="42" t="s">
        <v>850</v>
      </c>
      <c r="C329" s="46" t="s">
        <v>285</v>
      </c>
      <c r="D329" s="39" t="s">
        <v>261</v>
      </c>
      <c r="E329" s="81">
        <v>35517</v>
      </c>
      <c r="F329" s="52" t="s">
        <v>267</v>
      </c>
      <c r="G329" s="53">
        <v>48415</v>
      </c>
      <c r="H329" s="54">
        <v>4</v>
      </c>
    </row>
    <row r="330" spans="1:8">
      <c r="A330" s="42" t="str">
        <f t="shared" si="16"/>
        <v>Manufacturing</v>
      </c>
      <c r="B330" s="42" t="s">
        <v>291</v>
      </c>
      <c r="C330" s="46" t="s">
        <v>245</v>
      </c>
      <c r="D330" s="39" t="s">
        <v>247</v>
      </c>
      <c r="E330" s="81">
        <v>35569</v>
      </c>
      <c r="F330" s="52"/>
      <c r="G330" s="53">
        <v>84200</v>
      </c>
      <c r="H330" s="54">
        <v>2</v>
      </c>
    </row>
    <row r="331" spans="1:8">
      <c r="A331" s="42" t="str">
        <f t="shared" si="16"/>
        <v>Manufacturing</v>
      </c>
      <c r="B331" s="42" t="s">
        <v>765</v>
      </c>
      <c r="C331" s="46" t="s">
        <v>271</v>
      </c>
      <c r="D331" s="45" t="s">
        <v>256</v>
      </c>
      <c r="E331" s="105">
        <v>39447</v>
      </c>
      <c r="F331" s="52" t="s">
        <v>267</v>
      </c>
      <c r="G331" s="53">
        <v>72830</v>
      </c>
      <c r="H331" s="54">
        <v>2</v>
      </c>
    </row>
    <row r="332" spans="1:8">
      <c r="A332" s="42" t="str">
        <f t="shared" si="16"/>
        <v>Manufacturing</v>
      </c>
      <c r="B332" s="42" t="s">
        <v>624</v>
      </c>
      <c r="C332" s="46" t="s">
        <v>271</v>
      </c>
      <c r="D332" s="39" t="s">
        <v>261</v>
      </c>
      <c r="E332" s="81">
        <v>36269</v>
      </c>
      <c r="F332" s="52" t="s">
        <v>283</v>
      </c>
      <c r="G332" s="53">
        <v>48190</v>
      </c>
      <c r="H332" s="54">
        <v>1</v>
      </c>
    </row>
    <row r="333" spans="1:8">
      <c r="A333" s="42" t="str">
        <f t="shared" si="16"/>
        <v>Manufacturing</v>
      </c>
      <c r="B333" s="42" t="s">
        <v>2380</v>
      </c>
      <c r="C333" s="46" t="s">
        <v>251</v>
      </c>
      <c r="D333" s="39" t="s">
        <v>256</v>
      </c>
      <c r="E333" s="81">
        <v>36698</v>
      </c>
      <c r="F333" s="52" t="s">
        <v>267</v>
      </c>
      <c r="G333" s="53">
        <v>23650</v>
      </c>
      <c r="H333" s="54">
        <v>1</v>
      </c>
    </row>
    <row r="334" spans="1:8">
      <c r="A334" s="42" t="str">
        <f t="shared" si="16"/>
        <v>Manufacturing</v>
      </c>
      <c r="B334" s="42" t="s">
        <v>748</v>
      </c>
      <c r="C334" s="46" t="s">
        <v>280</v>
      </c>
      <c r="D334" s="39" t="s">
        <v>256</v>
      </c>
      <c r="E334" s="81">
        <v>33617</v>
      </c>
      <c r="F334" s="52" t="s">
        <v>257</v>
      </c>
      <c r="G334" s="53">
        <v>39110</v>
      </c>
      <c r="H334" s="54">
        <v>5</v>
      </c>
    </row>
    <row r="335" spans="1:8">
      <c r="A335" s="42" t="s">
        <v>618</v>
      </c>
      <c r="B335" s="42" t="s">
        <v>960</v>
      </c>
      <c r="C335" s="46" t="s">
        <v>251</v>
      </c>
      <c r="D335" s="39" t="s">
        <v>256</v>
      </c>
      <c r="E335" s="81">
        <v>35627</v>
      </c>
      <c r="F335" s="52" t="s">
        <v>283</v>
      </c>
      <c r="G335" s="53">
        <v>41380</v>
      </c>
      <c r="H335" s="54">
        <v>2</v>
      </c>
    </row>
    <row r="336" spans="1:8">
      <c r="A336" s="42" t="str">
        <f t="shared" ref="A336:A341" si="17">A335</f>
        <v>Manufacturing Admin</v>
      </c>
      <c r="B336" s="42" t="s">
        <v>374</v>
      </c>
      <c r="C336" s="46" t="s">
        <v>285</v>
      </c>
      <c r="D336" s="39" t="s">
        <v>247</v>
      </c>
      <c r="E336" s="81">
        <v>33193</v>
      </c>
      <c r="F336" s="52"/>
      <c r="G336" s="53">
        <v>63610</v>
      </c>
      <c r="H336" s="54">
        <v>5</v>
      </c>
    </row>
    <row r="337" spans="1:8">
      <c r="A337" s="42" t="str">
        <f t="shared" si="17"/>
        <v>Manufacturing Admin</v>
      </c>
      <c r="B337" s="42" t="s">
        <v>333</v>
      </c>
      <c r="C337" s="46" t="s">
        <v>285</v>
      </c>
      <c r="D337" s="39" t="s">
        <v>256</v>
      </c>
      <c r="E337" s="81">
        <v>35276</v>
      </c>
      <c r="F337" s="52" t="s">
        <v>257</v>
      </c>
      <c r="G337" s="53">
        <v>58370</v>
      </c>
      <c r="H337" s="54">
        <v>5</v>
      </c>
    </row>
    <row r="338" spans="1:8">
      <c r="A338" s="42" t="str">
        <f t="shared" si="17"/>
        <v>Manufacturing Admin</v>
      </c>
      <c r="B338" s="42" t="s">
        <v>688</v>
      </c>
      <c r="C338" s="46" t="s">
        <v>280</v>
      </c>
      <c r="D338" s="39" t="s">
        <v>252</v>
      </c>
      <c r="E338" s="81">
        <v>35674</v>
      </c>
      <c r="F338" s="52"/>
      <c r="G338" s="53">
        <v>20028</v>
      </c>
      <c r="H338" s="54">
        <v>4</v>
      </c>
    </row>
    <row r="339" spans="1:8">
      <c r="A339" s="42" t="str">
        <f t="shared" si="17"/>
        <v>Manufacturing Admin</v>
      </c>
      <c r="B339" s="42" t="s">
        <v>377</v>
      </c>
      <c r="C339" s="46" t="s">
        <v>285</v>
      </c>
      <c r="D339" s="39" t="s">
        <v>261</v>
      </c>
      <c r="E339" s="81">
        <v>36896</v>
      </c>
      <c r="F339" s="52" t="s">
        <v>257</v>
      </c>
      <c r="G339" s="53">
        <v>35280</v>
      </c>
      <c r="H339" s="54">
        <v>3</v>
      </c>
    </row>
    <row r="340" spans="1:8">
      <c r="A340" s="42" t="str">
        <f t="shared" si="17"/>
        <v>Manufacturing Admin</v>
      </c>
      <c r="B340" s="42" t="s">
        <v>351</v>
      </c>
      <c r="C340" s="46" t="s">
        <v>271</v>
      </c>
      <c r="D340" s="39" t="s">
        <v>256</v>
      </c>
      <c r="E340" s="81">
        <v>33786</v>
      </c>
      <c r="F340" s="52" t="s">
        <v>257</v>
      </c>
      <c r="G340" s="53">
        <v>71150</v>
      </c>
      <c r="H340" s="54">
        <v>2</v>
      </c>
    </row>
    <row r="341" spans="1:8">
      <c r="A341" s="42" t="str">
        <f t="shared" si="17"/>
        <v>Manufacturing Admin</v>
      </c>
      <c r="B341" s="42" t="s">
        <v>737</v>
      </c>
      <c r="C341" s="46" t="s">
        <v>285</v>
      </c>
      <c r="D341" s="39" t="s">
        <v>247</v>
      </c>
      <c r="E341" s="109">
        <v>40620</v>
      </c>
      <c r="F341" s="52"/>
      <c r="G341" s="53">
        <v>84300</v>
      </c>
      <c r="H341" s="54">
        <v>1</v>
      </c>
    </row>
    <row r="342" spans="1:8">
      <c r="A342" s="42" t="s">
        <v>626</v>
      </c>
      <c r="B342" s="42" t="s">
        <v>768</v>
      </c>
      <c r="C342" s="46" t="s">
        <v>251</v>
      </c>
      <c r="D342" s="39" t="s">
        <v>261</v>
      </c>
      <c r="E342" s="108">
        <v>33160</v>
      </c>
      <c r="F342" s="52" t="s">
        <v>262</v>
      </c>
      <c r="G342" s="53">
        <v>39620</v>
      </c>
      <c r="H342" s="54">
        <v>5</v>
      </c>
    </row>
    <row r="343" spans="1:8">
      <c r="A343" s="42" t="str">
        <f t="shared" ref="A343:A374" si="18">A342</f>
        <v>Operations</v>
      </c>
      <c r="B343" s="42" t="s">
        <v>679</v>
      </c>
      <c r="C343" s="46" t="s">
        <v>285</v>
      </c>
      <c r="D343" s="39" t="s">
        <v>252</v>
      </c>
      <c r="E343" s="81">
        <v>35829</v>
      </c>
      <c r="F343" s="52"/>
      <c r="G343" s="53">
        <v>29176</v>
      </c>
      <c r="H343" s="54">
        <v>3</v>
      </c>
    </row>
    <row r="344" spans="1:8">
      <c r="A344" s="42" t="str">
        <f t="shared" si="18"/>
        <v>Operations</v>
      </c>
      <c r="B344" s="42" t="s">
        <v>707</v>
      </c>
      <c r="C344" s="46" t="s">
        <v>271</v>
      </c>
      <c r="D344" s="39" t="s">
        <v>247</v>
      </c>
      <c r="E344" s="81">
        <v>40350</v>
      </c>
      <c r="F344" s="52"/>
      <c r="G344" s="53">
        <v>21580</v>
      </c>
      <c r="H344" s="54">
        <v>3</v>
      </c>
    </row>
    <row r="345" spans="1:8">
      <c r="A345" s="42" t="str">
        <f t="shared" si="18"/>
        <v>Operations</v>
      </c>
      <c r="B345" s="42" t="s">
        <v>774</v>
      </c>
      <c r="C345" s="46" t="s">
        <v>245</v>
      </c>
      <c r="D345" s="39" t="s">
        <v>261</v>
      </c>
      <c r="E345" s="81">
        <v>38723</v>
      </c>
      <c r="F345" s="52" t="s">
        <v>283</v>
      </c>
      <c r="G345" s="53">
        <v>10630</v>
      </c>
      <c r="H345" s="54">
        <v>3</v>
      </c>
    </row>
    <row r="346" spans="1:8">
      <c r="A346" s="42" t="str">
        <f t="shared" si="18"/>
        <v>Operations</v>
      </c>
      <c r="B346" s="42" t="s">
        <v>938</v>
      </c>
      <c r="C346" s="46" t="s">
        <v>271</v>
      </c>
      <c r="D346" s="39" t="s">
        <v>256</v>
      </c>
      <c r="E346" s="81">
        <v>37612</v>
      </c>
      <c r="F346" s="52" t="s">
        <v>267</v>
      </c>
      <c r="G346" s="53">
        <v>39740</v>
      </c>
      <c r="H346" s="54">
        <v>1</v>
      </c>
    </row>
    <row r="347" spans="1:8">
      <c r="A347" s="42" t="str">
        <f t="shared" si="18"/>
        <v>Operations</v>
      </c>
      <c r="B347" s="42" t="s">
        <v>632</v>
      </c>
      <c r="C347" s="46" t="s">
        <v>251</v>
      </c>
      <c r="D347" s="39" t="s">
        <v>261</v>
      </c>
      <c r="E347" s="81">
        <v>34042</v>
      </c>
      <c r="F347" s="52" t="s">
        <v>267</v>
      </c>
      <c r="G347" s="53">
        <v>27710</v>
      </c>
      <c r="H347" s="54">
        <v>3</v>
      </c>
    </row>
    <row r="348" spans="1:8">
      <c r="A348" s="42" t="str">
        <f t="shared" si="18"/>
        <v>Operations</v>
      </c>
      <c r="B348" s="42" t="s">
        <v>495</v>
      </c>
      <c r="C348" s="46" t="s">
        <v>271</v>
      </c>
      <c r="D348" s="39" t="s">
        <v>247</v>
      </c>
      <c r="E348" s="81">
        <v>34076</v>
      </c>
      <c r="F348" s="52"/>
      <c r="G348" s="53">
        <v>66580</v>
      </c>
      <c r="H348" s="54">
        <v>5</v>
      </c>
    </row>
    <row r="349" spans="1:8">
      <c r="A349" s="42" t="str">
        <f t="shared" si="18"/>
        <v>Operations</v>
      </c>
      <c r="B349" s="42" t="s">
        <v>871</v>
      </c>
      <c r="C349" s="46" t="s">
        <v>285</v>
      </c>
      <c r="D349" s="39" t="s">
        <v>256</v>
      </c>
      <c r="E349" s="81">
        <v>40137</v>
      </c>
      <c r="F349" s="52" t="s">
        <v>257</v>
      </c>
      <c r="G349" s="53">
        <v>54190</v>
      </c>
      <c r="H349" s="54">
        <v>4</v>
      </c>
    </row>
    <row r="350" spans="1:8">
      <c r="A350" s="42" t="str">
        <f t="shared" si="18"/>
        <v>Operations</v>
      </c>
      <c r="B350" s="42" t="s">
        <v>320</v>
      </c>
      <c r="C350" s="46" t="s">
        <v>271</v>
      </c>
      <c r="D350" s="39" t="s">
        <v>256</v>
      </c>
      <c r="E350" s="81">
        <v>33548</v>
      </c>
      <c r="F350" s="52" t="s">
        <v>283</v>
      </c>
      <c r="G350" s="53">
        <v>63050</v>
      </c>
      <c r="H350" s="54">
        <v>3</v>
      </c>
    </row>
    <row r="351" spans="1:8">
      <c r="A351" s="42" t="str">
        <f t="shared" si="18"/>
        <v>Operations</v>
      </c>
      <c r="B351" s="42" t="s">
        <v>458</v>
      </c>
      <c r="C351" s="46" t="s">
        <v>271</v>
      </c>
      <c r="D351" s="39" t="s">
        <v>256</v>
      </c>
      <c r="E351" s="81">
        <v>34010</v>
      </c>
      <c r="F351" s="52" t="s">
        <v>257</v>
      </c>
      <c r="G351" s="53">
        <v>54270</v>
      </c>
      <c r="H351" s="54">
        <v>3</v>
      </c>
    </row>
    <row r="352" spans="1:8">
      <c r="A352" s="42" t="str">
        <f t="shared" si="18"/>
        <v>Operations</v>
      </c>
      <c r="B352" s="42" t="s">
        <v>715</v>
      </c>
      <c r="C352" s="46" t="s">
        <v>245</v>
      </c>
      <c r="D352" s="39" t="s">
        <v>247</v>
      </c>
      <c r="E352" s="81">
        <v>35280</v>
      </c>
      <c r="F352" s="52"/>
      <c r="G352" s="53">
        <v>41770</v>
      </c>
      <c r="H352" s="54">
        <v>5</v>
      </c>
    </row>
    <row r="353" spans="1:8">
      <c r="A353" s="42" t="str">
        <f t="shared" si="18"/>
        <v>Operations</v>
      </c>
      <c r="B353" s="42" t="s">
        <v>755</v>
      </c>
      <c r="C353" s="46" t="s">
        <v>271</v>
      </c>
      <c r="D353" s="39" t="s">
        <v>256</v>
      </c>
      <c r="E353" s="81">
        <v>35520</v>
      </c>
      <c r="F353" s="52" t="s">
        <v>257</v>
      </c>
      <c r="G353" s="53">
        <v>79730</v>
      </c>
      <c r="H353" s="54">
        <v>2</v>
      </c>
    </row>
    <row r="354" spans="1:8">
      <c r="A354" s="42" t="str">
        <f t="shared" si="18"/>
        <v>Operations</v>
      </c>
      <c r="B354" s="42" t="s">
        <v>798</v>
      </c>
      <c r="C354" s="46" t="s">
        <v>285</v>
      </c>
      <c r="D354" s="39" t="s">
        <v>261</v>
      </c>
      <c r="E354" s="81">
        <v>35518</v>
      </c>
      <c r="F354" s="52" t="s">
        <v>262</v>
      </c>
      <c r="G354" s="53">
        <v>13690</v>
      </c>
      <c r="H354" s="54">
        <v>5</v>
      </c>
    </row>
    <row r="355" spans="1:8">
      <c r="A355" s="42" t="str">
        <f t="shared" si="18"/>
        <v>Operations</v>
      </c>
      <c r="B355" s="42" t="s">
        <v>802</v>
      </c>
      <c r="C355" s="46" t="s">
        <v>285</v>
      </c>
      <c r="D355" s="39" t="s">
        <v>247</v>
      </c>
      <c r="E355" s="81">
        <v>37667</v>
      </c>
      <c r="F355" s="52"/>
      <c r="G355" s="53">
        <v>73390</v>
      </c>
      <c r="H355" s="54">
        <v>2</v>
      </c>
    </row>
    <row r="356" spans="1:8">
      <c r="A356" s="42" t="str">
        <f t="shared" si="18"/>
        <v>Operations</v>
      </c>
      <c r="B356" s="42" t="s">
        <v>964</v>
      </c>
      <c r="C356" s="46" t="s">
        <v>285</v>
      </c>
      <c r="D356" s="39" t="s">
        <v>261</v>
      </c>
      <c r="E356" s="81">
        <v>34548</v>
      </c>
      <c r="F356" s="52" t="s">
        <v>276</v>
      </c>
      <c r="G356" s="53">
        <v>38920</v>
      </c>
      <c r="H356" s="54">
        <v>4</v>
      </c>
    </row>
    <row r="357" spans="1:8">
      <c r="A357" s="42" t="str">
        <f t="shared" si="18"/>
        <v>Operations</v>
      </c>
      <c r="B357" s="42" t="s">
        <v>621</v>
      </c>
      <c r="C357" s="46" t="s">
        <v>271</v>
      </c>
      <c r="D357" s="39" t="s">
        <v>256</v>
      </c>
      <c r="E357" s="81">
        <v>33620</v>
      </c>
      <c r="F357" s="52" t="s">
        <v>283</v>
      </c>
      <c r="G357" s="53">
        <v>43190</v>
      </c>
      <c r="H357" s="54">
        <v>2</v>
      </c>
    </row>
    <row r="358" spans="1:8">
      <c r="A358" s="42" t="str">
        <f t="shared" si="18"/>
        <v>Operations</v>
      </c>
      <c r="B358" s="42" t="s">
        <v>279</v>
      </c>
      <c r="C358" s="46" t="s">
        <v>271</v>
      </c>
      <c r="D358" s="39" t="s">
        <v>261</v>
      </c>
      <c r="E358" s="81">
        <v>34617</v>
      </c>
      <c r="F358" s="52" t="s">
        <v>257</v>
      </c>
      <c r="G358" s="53">
        <v>13435</v>
      </c>
      <c r="H358" s="54">
        <v>1</v>
      </c>
    </row>
    <row r="359" spans="1:8">
      <c r="A359" s="42" t="str">
        <f t="shared" si="18"/>
        <v>Operations</v>
      </c>
      <c r="B359" s="42" t="s">
        <v>891</v>
      </c>
      <c r="C359" s="46" t="s">
        <v>285</v>
      </c>
      <c r="D359" s="39" t="s">
        <v>256</v>
      </c>
      <c r="E359" s="81">
        <v>37068</v>
      </c>
      <c r="F359" s="52" t="s">
        <v>262</v>
      </c>
      <c r="G359" s="53">
        <v>66010</v>
      </c>
      <c r="H359" s="54">
        <v>5</v>
      </c>
    </row>
    <row r="360" spans="1:8">
      <c r="A360" s="42" t="str">
        <f t="shared" si="18"/>
        <v>Operations</v>
      </c>
      <c r="B360" s="42" t="s">
        <v>812</v>
      </c>
      <c r="C360" s="46" t="s">
        <v>285</v>
      </c>
      <c r="D360" s="39" t="s">
        <v>256</v>
      </c>
      <c r="E360" s="81">
        <v>36198</v>
      </c>
      <c r="F360" s="52" t="s">
        <v>276</v>
      </c>
      <c r="G360" s="53">
        <v>81400</v>
      </c>
      <c r="H360" s="54">
        <v>2</v>
      </c>
    </row>
    <row r="361" spans="1:8">
      <c r="A361" s="42" t="str">
        <f t="shared" si="18"/>
        <v>Operations</v>
      </c>
      <c r="B361" s="42" t="s">
        <v>686</v>
      </c>
      <c r="C361" s="46" t="s">
        <v>285</v>
      </c>
      <c r="D361" s="39" t="s">
        <v>256</v>
      </c>
      <c r="E361" s="81">
        <v>35896</v>
      </c>
      <c r="F361" s="52" t="s">
        <v>283</v>
      </c>
      <c r="G361" s="53">
        <v>70280</v>
      </c>
      <c r="H361" s="54">
        <v>3</v>
      </c>
    </row>
    <row r="362" spans="1:8">
      <c r="A362" s="42" t="str">
        <f t="shared" si="18"/>
        <v>Operations</v>
      </c>
      <c r="B362" s="42" t="s">
        <v>386</v>
      </c>
      <c r="C362" s="46" t="s">
        <v>245</v>
      </c>
      <c r="D362" s="39" t="s">
        <v>256</v>
      </c>
      <c r="E362" s="81">
        <v>33361</v>
      </c>
      <c r="F362" s="52" t="s">
        <v>257</v>
      </c>
      <c r="G362" s="53">
        <v>24090</v>
      </c>
      <c r="H362" s="54">
        <v>4</v>
      </c>
    </row>
    <row r="363" spans="1:8">
      <c r="A363" s="42" t="str">
        <f t="shared" si="18"/>
        <v>Operations</v>
      </c>
      <c r="B363" s="42" t="s">
        <v>818</v>
      </c>
      <c r="C363" s="46" t="s">
        <v>285</v>
      </c>
      <c r="D363" s="39" t="s">
        <v>256</v>
      </c>
      <c r="E363" s="81">
        <v>40477</v>
      </c>
      <c r="F363" s="52" t="s">
        <v>267</v>
      </c>
      <c r="G363" s="53">
        <v>63206</v>
      </c>
      <c r="H363" s="54">
        <v>1</v>
      </c>
    </row>
    <row r="364" spans="1:8">
      <c r="A364" s="42" t="str">
        <f t="shared" si="18"/>
        <v>Operations</v>
      </c>
      <c r="B364" s="42" t="s">
        <v>759</v>
      </c>
      <c r="C364" s="46" t="s">
        <v>280</v>
      </c>
      <c r="D364" s="39" t="s">
        <v>252</v>
      </c>
      <c r="E364" s="81">
        <v>35869</v>
      </c>
      <c r="F364" s="52"/>
      <c r="G364" s="53">
        <v>17912</v>
      </c>
      <c r="H364" s="54">
        <v>5</v>
      </c>
    </row>
    <row r="365" spans="1:8">
      <c r="A365" s="42" t="str">
        <f t="shared" si="18"/>
        <v>Operations</v>
      </c>
      <c r="B365" s="42" t="s">
        <v>433</v>
      </c>
      <c r="C365" s="46" t="s">
        <v>285</v>
      </c>
      <c r="D365" s="39" t="s">
        <v>256</v>
      </c>
      <c r="E365" s="81">
        <v>33631</v>
      </c>
      <c r="F365" s="52" t="s">
        <v>257</v>
      </c>
      <c r="G365" s="53">
        <v>52940</v>
      </c>
      <c r="H365" s="54">
        <v>4</v>
      </c>
    </row>
    <row r="366" spans="1:8">
      <c r="A366" s="42" t="str">
        <f t="shared" si="18"/>
        <v>Operations</v>
      </c>
      <c r="B366" s="42" t="s">
        <v>434</v>
      </c>
      <c r="C366" s="46" t="s">
        <v>280</v>
      </c>
      <c r="D366" s="39" t="s">
        <v>256</v>
      </c>
      <c r="E366" s="81">
        <v>34149</v>
      </c>
      <c r="F366" s="52" t="s">
        <v>276</v>
      </c>
      <c r="G366" s="53">
        <v>63440</v>
      </c>
      <c r="H366" s="54">
        <v>3</v>
      </c>
    </row>
    <row r="367" spans="1:8">
      <c r="A367" s="42" t="str">
        <f t="shared" si="18"/>
        <v>Operations</v>
      </c>
      <c r="B367" s="42" t="s">
        <v>657</v>
      </c>
      <c r="C367" s="46" t="s">
        <v>266</v>
      </c>
      <c r="D367" s="39" t="s">
        <v>252</v>
      </c>
      <c r="E367" s="81">
        <v>40543</v>
      </c>
      <c r="F367" s="52"/>
      <c r="G367" s="53">
        <v>19044</v>
      </c>
      <c r="H367" s="54">
        <v>1</v>
      </c>
    </row>
    <row r="368" spans="1:8">
      <c r="A368" s="42" t="str">
        <f t="shared" si="18"/>
        <v>Operations</v>
      </c>
      <c r="B368" s="42" t="s">
        <v>984</v>
      </c>
      <c r="C368" s="46" t="s">
        <v>285</v>
      </c>
      <c r="D368" s="39" t="s">
        <v>256</v>
      </c>
      <c r="E368" s="81">
        <v>37936</v>
      </c>
      <c r="F368" s="52" t="s">
        <v>283</v>
      </c>
      <c r="G368" s="53">
        <v>53870</v>
      </c>
      <c r="H368" s="54">
        <v>2</v>
      </c>
    </row>
    <row r="369" spans="1:8">
      <c r="A369" s="42" t="str">
        <f t="shared" si="18"/>
        <v>Operations</v>
      </c>
      <c r="B369" s="42" t="s">
        <v>338</v>
      </c>
      <c r="C369" s="46" t="s">
        <v>271</v>
      </c>
      <c r="D369" s="39" t="s">
        <v>247</v>
      </c>
      <c r="E369" s="81">
        <v>33949</v>
      </c>
      <c r="F369" s="52"/>
      <c r="G369" s="53">
        <v>44720</v>
      </c>
      <c r="H369" s="54">
        <v>2</v>
      </c>
    </row>
    <row r="370" spans="1:8">
      <c r="A370" s="42" t="str">
        <f t="shared" si="18"/>
        <v>Operations</v>
      </c>
      <c r="B370" s="42" t="s">
        <v>400</v>
      </c>
      <c r="C370" s="46" t="s">
        <v>245</v>
      </c>
      <c r="D370" s="39" t="s">
        <v>247</v>
      </c>
      <c r="E370" s="81">
        <v>36283</v>
      </c>
      <c r="F370" s="52"/>
      <c r="G370" s="53">
        <v>25130</v>
      </c>
      <c r="H370" s="54">
        <v>5</v>
      </c>
    </row>
    <row r="371" spans="1:8">
      <c r="A371" s="42" t="str">
        <f t="shared" si="18"/>
        <v>Operations</v>
      </c>
      <c r="B371" s="42" t="s">
        <v>2379</v>
      </c>
      <c r="C371" s="46" t="s">
        <v>271</v>
      </c>
      <c r="D371" s="45" t="s">
        <v>256</v>
      </c>
      <c r="E371" s="105">
        <v>36171</v>
      </c>
      <c r="F371" s="52" t="s">
        <v>257</v>
      </c>
      <c r="G371" s="53">
        <v>24550</v>
      </c>
      <c r="H371" s="54">
        <v>1</v>
      </c>
    </row>
    <row r="372" spans="1:8">
      <c r="A372" s="42" t="str">
        <f t="shared" si="18"/>
        <v>Operations</v>
      </c>
      <c r="B372" s="42" t="s">
        <v>556</v>
      </c>
      <c r="C372" s="46" t="s">
        <v>285</v>
      </c>
      <c r="D372" s="39" t="s">
        <v>256</v>
      </c>
      <c r="E372" s="81">
        <v>35464</v>
      </c>
      <c r="F372" s="52" t="s">
        <v>257</v>
      </c>
      <c r="G372" s="53">
        <v>60830</v>
      </c>
      <c r="H372" s="54">
        <v>2</v>
      </c>
    </row>
    <row r="373" spans="1:8">
      <c r="A373" s="42" t="str">
        <f t="shared" si="18"/>
        <v>Operations</v>
      </c>
      <c r="B373" s="42" t="s">
        <v>902</v>
      </c>
      <c r="C373" s="46" t="s">
        <v>280</v>
      </c>
      <c r="D373" s="39" t="s">
        <v>256</v>
      </c>
      <c r="E373" s="81">
        <v>36673</v>
      </c>
      <c r="F373" s="52" t="s">
        <v>276</v>
      </c>
      <c r="G373" s="53">
        <v>48330</v>
      </c>
      <c r="H373" s="54">
        <v>1</v>
      </c>
    </row>
    <row r="374" spans="1:8">
      <c r="A374" s="42" t="str">
        <f t="shared" si="18"/>
        <v>Operations</v>
      </c>
      <c r="B374" s="42" t="s">
        <v>989</v>
      </c>
      <c r="C374" s="46" t="s">
        <v>271</v>
      </c>
      <c r="D374" s="39" t="s">
        <v>261</v>
      </c>
      <c r="E374" s="81">
        <v>33890</v>
      </c>
      <c r="F374" s="52" t="s">
        <v>283</v>
      </c>
      <c r="G374" s="53">
        <v>25885</v>
      </c>
      <c r="H374" s="54">
        <v>5</v>
      </c>
    </row>
    <row r="375" spans="1:8">
      <c r="A375" s="42" t="str">
        <f t="shared" ref="A375:A392" si="19">A374</f>
        <v>Operations</v>
      </c>
      <c r="B375" s="42" t="s">
        <v>906</v>
      </c>
      <c r="C375" s="46" t="s">
        <v>285</v>
      </c>
      <c r="D375" s="39" t="s">
        <v>252</v>
      </c>
      <c r="E375" s="81">
        <v>37711</v>
      </c>
      <c r="F375" s="52"/>
      <c r="G375" s="53">
        <v>21648</v>
      </c>
      <c r="H375" s="54">
        <v>2</v>
      </c>
    </row>
    <row r="376" spans="1:8">
      <c r="A376" s="42" t="str">
        <f t="shared" si="19"/>
        <v>Operations</v>
      </c>
      <c r="B376" s="42" t="s">
        <v>568</v>
      </c>
      <c r="C376" s="46" t="s">
        <v>245</v>
      </c>
      <c r="D376" s="39" t="s">
        <v>256</v>
      </c>
      <c r="E376" s="81">
        <v>34881</v>
      </c>
      <c r="F376" s="52" t="s">
        <v>262</v>
      </c>
      <c r="G376" s="53">
        <v>63070</v>
      </c>
      <c r="H376" s="54">
        <v>1</v>
      </c>
    </row>
    <row r="377" spans="1:8">
      <c r="A377" s="42" t="str">
        <f t="shared" si="19"/>
        <v>Operations</v>
      </c>
      <c r="B377" s="42" t="s">
        <v>302</v>
      </c>
      <c r="C377" s="46" t="s">
        <v>285</v>
      </c>
      <c r="D377" s="39" t="s">
        <v>261</v>
      </c>
      <c r="E377" s="81">
        <v>34793</v>
      </c>
      <c r="F377" s="52" t="s">
        <v>283</v>
      </c>
      <c r="G377" s="53">
        <v>10700</v>
      </c>
      <c r="H377" s="54">
        <v>4</v>
      </c>
    </row>
    <row r="378" spans="1:8">
      <c r="A378" s="42" t="str">
        <f t="shared" si="19"/>
        <v>Operations</v>
      </c>
      <c r="B378" s="42" t="s">
        <v>444</v>
      </c>
      <c r="C378" s="46" t="s">
        <v>285</v>
      </c>
      <c r="D378" s="39" t="s">
        <v>256</v>
      </c>
      <c r="E378" s="81">
        <v>40085</v>
      </c>
      <c r="F378" s="52" t="s">
        <v>257</v>
      </c>
      <c r="G378" s="53">
        <v>41490</v>
      </c>
      <c r="H378" s="54">
        <v>5</v>
      </c>
    </row>
    <row r="379" spans="1:8">
      <c r="A379" s="42" t="str">
        <f t="shared" si="19"/>
        <v>Operations</v>
      </c>
      <c r="B379" s="42" t="s">
        <v>912</v>
      </c>
      <c r="C379" s="46" t="s">
        <v>280</v>
      </c>
      <c r="D379" s="39" t="s">
        <v>256</v>
      </c>
      <c r="E379" s="81">
        <v>39038</v>
      </c>
      <c r="F379" s="52" t="s">
        <v>276</v>
      </c>
      <c r="G379" s="53">
        <v>71400</v>
      </c>
      <c r="H379" s="54">
        <v>4</v>
      </c>
    </row>
    <row r="380" spans="1:8">
      <c r="A380" s="42" t="str">
        <f t="shared" si="19"/>
        <v>Operations</v>
      </c>
      <c r="B380" s="42" t="s">
        <v>667</v>
      </c>
      <c r="C380" s="46" t="s">
        <v>245</v>
      </c>
      <c r="D380" s="39" t="s">
        <v>247</v>
      </c>
      <c r="E380" s="81">
        <v>34771</v>
      </c>
      <c r="F380" s="52"/>
      <c r="G380" s="53">
        <v>26360</v>
      </c>
      <c r="H380" s="54">
        <v>4</v>
      </c>
    </row>
    <row r="381" spans="1:8">
      <c r="A381" s="42" t="str">
        <f t="shared" si="19"/>
        <v>Operations</v>
      </c>
      <c r="B381" s="42" t="s">
        <v>590</v>
      </c>
      <c r="C381" s="46" t="s">
        <v>280</v>
      </c>
      <c r="D381" s="39" t="s">
        <v>247</v>
      </c>
      <c r="E381" s="81">
        <v>37404</v>
      </c>
      <c r="F381" s="52"/>
      <c r="G381" s="53">
        <v>60070</v>
      </c>
      <c r="H381" s="54">
        <v>3</v>
      </c>
    </row>
    <row r="382" spans="1:8">
      <c r="A382" s="42" t="str">
        <f t="shared" si="19"/>
        <v>Operations</v>
      </c>
      <c r="B382" s="42" t="s">
        <v>623</v>
      </c>
      <c r="C382" s="46" t="s">
        <v>251</v>
      </c>
      <c r="D382" s="39" t="s">
        <v>247</v>
      </c>
      <c r="E382" s="81">
        <v>38527</v>
      </c>
      <c r="F382" s="52"/>
      <c r="G382" s="53">
        <v>60060</v>
      </c>
      <c r="H382" s="54">
        <v>2</v>
      </c>
    </row>
    <row r="383" spans="1:8">
      <c r="A383" s="42" t="str">
        <f t="shared" si="19"/>
        <v>Operations</v>
      </c>
      <c r="B383" s="42" t="s">
        <v>916</v>
      </c>
      <c r="C383" s="46" t="s">
        <v>266</v>
      </c>
      <c r="D383" s="39" t="s">
        <v>256</v>
      </c>
      <c r="E383" s="81">
        <v>35361</v>
      </c>
      <c r="F383" s="52" t="s">
        <v>257</v>
      </c>
      <c r="G383" s="53">
        <v>59320</v>
      </c>
      <c r="H383" s="54">
        <v>4</v>
      </c>
    </row>
    <row r="384" spans="1:8">
      <c r="A384" s="42" t="str">
        <f t="shared" si="19"/>
        <v>Operations</v>
      </c>
      <c r="B384" s="42" t="s">
        <v>595</v>
      </c>
      <c r="C384" s="46" t="s">
        <v>271</v>
      </c>
      <c r="D384" s="39" t="s">
        <v>256</v>
      </c>
      <c r="E384" s="81">
        <v>37043</v>
      </c>
      <c r="F384" s="52" t="s">
        <v>262</v>
      </c>
      <c r="G384" s="53">
        <v>45150</v>
      </c>
      <c r="H384" s="54">
        <v>1</v>
      </c>
    </row>
    <row r="385" spans="1:8">
      <c r="A385" s="42" t="str">
        <f t="shared" si="19"/>
        <v>Operations</v>
      </c>
      <c r="B385" s="42" t="s">
        <v>840</v>
      </c>
      <c r="C385" s="46" t="s">
        <v>271</v>
      </c>
      <c r="D385" s="39" t="s">
        <v>247</v>
      </c>
      <c r="E385" s="81">
        <v>35255</v>
      </c>
      <c r="F385" s="52"/>
      <c r="G385" s="53">
        <v>89310</v>
      </c>
      <c r="H385" s="54">
        <v>5</v>
      </c>
    </row>
    <row r="386" spans="1:8">
      <c r="A386" s="42" t="str">
        <f t="shared" si="19"/>
        <v>Operations</v>
      </c>
      <c r="B386" s="42" t="s">
        <v>2378</v>
      </c>
      <c r="C386" s="46" t="s">
        <v>271</v>
      </c>
      <c r="D386" s="39" t="s">
        <v>256</v>
      </c>
      <c r="E386" s="103">
        <v>40313</v>
      </c>
      <c r="F386" s="52" t="s">
        <v>283</v>
      </c>
      <c r="G386" s="53">
        <v>27250</v>
      </c>
      <c r="H386" s="54">
        <v>5</v>
      </c>
    </row>
    <row r="387" spans="1:8">
      <c r="A387" s="42" t="str">
        <f t="shared" si="19"/>
        <v>Operations</v>
      </c>
      <c r="B387" s="42" t="s">
        <v>360</v>
      </c>
      <c r="C387" s="46" t="s">
        <v>285</v>
      </c>
      <c r="D387" s="39" t="s">
        <v>256</v>
      </c>
      <c r="E387" s="81">
        <v>36393</v>
      </c>
      <c r="F387" s="52" t="s">
        <v>283</v>
      </c>
      <c r="G387" s="53">
        <v>65910</v>
      </c>
      <c r="H387" s="54">
        <v>5</v>
      </c>
    </row>
    <row r="388" spans="1:8">
      <c r="A388" s="42" t="str">
        <f t="shared" si="19"/>
        <v>Operations</v>
      </c>
      <c r="B388" s="42" t="s">
        <v>606</v>
      </c>
      <c r="C388" s="46" t="s">
        <v>280</v>
      </c>
      <c r="D388" s="39" t="s">
        <v>256</v>
      </c>
      <c r="E388" s="81">
        <v>36273</v>
      </c>
      <c r="F388" s="52" t="s">
        <v>283</v>
      </c>
      <c r="G388" s="53">
        <v>61330</v>
      </c>
      <c r="H388" s="54">
        <v>4</v>
      </c>
    </row>
    <row r="389" spans="1:8">
      <c r="A389" s="42" t="str">
        <f t="shared" si="19"/>
        <v>Operations</v>
      </c>
      <c r="B389" s="42" t="s">
        <v>674</v>
      </c>
      <c r="C389" s="46" t="s">
        <v>271</v>
      </c>
      <c r="D389" s="39" t="s">
        <v>247</v>
      </c>
      <c r="E389" s="81">
        <v>37634</v>
      </c>
      <c r="F389" s="52"/>
      <c r="G389" s="53">
        <v>61370</v>
      </c>
      <c r="H389" s="54">
        <v>3</v>
      </c>
    </row>
    <row r="390" spans="1:8">
      <c r="A390" s="42" t="str">
        <f t="shared" si="19"/>
        <v>Operations</v>
      </c>
      <c r="B390" s="42" t="s">
        <v>849</v>
      </c>
      <c r="C390" s="46" t="s">
        <v>285</v>
      </c>
      <c r="D390" s="39" t="s">
        <v>256</v>
      </c>
      <c r="E390" s="81">
        <v>35547</v>
      </c>
      <c r="F390" s="52" t="s">
        <v>257</v>
      </c>
      <c r="G390" s="53">
        <v>81640</v>
      </c>
      <c r="H390" s="54">
        <v>4</v>
      </c>
    </row>
    <row r="391" spans="1:8">
      <c r="A391" s="42" t="str">
        <f t="shared" si="19"/>
        <v>Operations</v>
      </c>
      <c r="B391" s="42" t="s">
        <v>292</v>
      </c>
      <c r="C391" s="46" t="s">
        <v>271</v>
      </c>
      <c r="D391" s="39" t="s">
        <v>247</v>
      </c>
      <c r="E391" s="81">
        <v>35737</v>
      </c>
      <c r="F391" s="52"/>
      <c r="G391" s="53">
        <v>76020</v>
      </c>
      <c r="H391" s="54">
        <v>1</v>
      </c>
    </row>
    <row r="392" spans="1:8">
      <c r="A392" s="42" t="str">
        <f t="shared" si="19"/>
        <v>Operations</v>
      </c>
      <c r="B392" s="42" t="s">
        <v>853</v>
      </c>
      <c r="C392" s="46" t="s">
        <v>245</v>
      </c>
      <c r="D392" s="39" t="s">
        <v>256</v>
      </c>
      <c r="E392" s="81">
        <v>36662</v>
      </c>
      <c r="F392" s="52" t="s">
        <v>283</v>
      </c>
      <c r="G392" s="53">
        <v>52490</v>
      </c>
      <c r="H392" s="54">
        <v>4</v>
      </c>
    </row>
    <row r="393" spans="1:8">
      <c r="A393" s="42" t="s">
        <v>678</v>
      </c>
      <c r="B393" s="42" t="s">
        <v>751</v>
      </c>
      <c r="C393" s="46" t="s">
        <v>245</v>
      </c>
      <c r="D393" s="39" t="s">
        <v>261</v>
      </c>
      <c r="E393" s="81">
        <v>34005</v>
      </c>
      <c r="F393" s="52" t="s">
        <v>257</v>
      </c>
      <c r="G393" s="53">
        <v>19935</v>
      </c>
      <c r="H393" s="54">
        <v>1</v>
      </c>
    </row>
    <row r="394" spans="1:8">
      <c r="A394" s="42" t="str">
        <f t="shared" ref="A394:A413" si="20">A393</f>
        <v>Peptide Chemistry</v>
      </c>
      <c r="B394" s="42" t="s">
        <v>297</v>
      </c>
      <c r="C394" s="46" t="s">
        <v>245</v>
      </c>
      <c r="D394" s="39" t="s">
        <v>261</v>
      </c>
      <c r="E394" s="81">
        <v>39098</v>
      </c>
      <c r="F394" s="52" t="s">
        <v>283</v>
      </c>
      <c r="G394" s="53">
        <v>47705</v>
      </c>
      <c r="H394" s="54">
        <v>5</v>
      </c>
    </row>
    <row r="395" spans="1:8">
      <c r="A395" s="42" t="str">
        <f t="shared" si="20"/>
        <v>Peptide Chemistry</v>
      </c>
      <c r="B395" s="42" t="s">
        <v>784</v>
      </c>
      <c r="C395" s="46" t="s">
        <v>271</v>
      </c>
      <c r="D395" s="39" t="s">
        <v>256</v>
      </c>
      <c r="E395" s="81">
        <v>33872</v>
      </c>
      <c r="F395" s="52" t="s">
        <v>257</v>
      </c>
      <c r="G395" s="53">
        <v>64510</v>
      </c>
      <c r="H395" s="54">
        <v>3</v>
      </c>
    </row>
    <row r="396" spans="1:8">
      <c r="A396" s="42" t="str">
        <f t="shared" si="20"/>
        <v>Peptide Chemistry</v>
      </c>
      <c r="B396" s="42" t="s">
        <v>786</v>
      </c>
      <c r="C396" s="46" t="s">
        <v>285</v>
      </c>
      <c r="D396" s="39" t="s">
        <v>261</v>
      </c>
      <c r="E396" s="81">
        <v>35070</v>
      </c>
      <c r="F396" s="52" t="s">
        <v>276</v>
      </c>
      <c r="G396" s="53">
        <v>21220</v>
      </c>
      <c r="H396" s="54">
        <v>3</v>
      </c>
    </row>
    <row r="397" spans="1:8">
      <c r="A397" s="42" t="str">
        <f t="shared" si="20"/>
        <v>Peptide Chemistry</v>
      </c>
      <c r="B397" s="42" t="s">
        <v>422</v>
      </c>
      <c r="C397" s="46" t="s">
        <v>271</v>
      </c>
      <c r="D397" s="39" t="s">
        <v>256</v>
      </c>
      <c r="E397" s="81">
        <v>34404</v>
      </c>
      <c r="F397" s="52" t="s">
        <v>283</v>
      </c>
      <c r="G397" s="53">
        <v>24710</v>
      </c>
      <c r="H397" s="54">
        <v>2</v>
      </c>
    </row>
    <row r="398" spans="1:8">
      <c r="A398" s="42" t="str">
        <f t="shared" si="20"/>
        <v>Peptide Chemistry</v>
      </c>
      <c r="B398" s="42" t="s">
        <v>2377</v>
      </c>
      <c r="C398" s="46" t="s">
        <v>271</v>
      </c>
      <c r="D398" s="39" t="s">
        <v>247</v>
      </c>
      <c r="E398" s="81">
        <v>35724</v>
      </c>
      <c r="F398" s="52"/>
      <c r="G398" s="53">
        <v>86470</v>
      </c>
      <c r="H398" s="54">
        <v>4</v>
      </c>
    </row>
    <row r="399" spans="1:8">
      <c r="A399" s="42" t="str">
        <f t="shared" si="20"/>
        <v>Peptide Chemistry</v>
      </c>
      <c r="B399" s="42" t="s">
        <v>1033</v>
      </c>
      <c r="C399" s="46" t="s">
        <v>280</v>
      </c>
      <c r="D399" s="39" t="s">
        <v>247</v>
      </c>
      <c r="E399" s="81">
        <v>35902</v>
      </c>
      <c r="F399" s="52"/>
      <c r="G399" s="53">
        <v>63340</v>
      </c>
      <c r="H399" s="54">
        <v>3</v>
      </c>
    </row>
    <row r="400" spans="1:8">
      <c r="A400" s="42" t="str">
        <f t="shared" si="20"/>
        <v>Peptide Chemistry</v>
      </c>
      <c r="B400" s="42" t="s">
        <v>721</v>
      </c>
      <c r="C400" s="46" t="s">
        <v>285</v>
      </c>
      <c r="D400" s="39" t="s">
        <v>247</v>
      </c>
      <c r="E400" s="81">
        <v>33413</v>
      </c>
      <c r="F400" s="52"/>
      <c r="G400" s="53">
        <v>26020</v>
      </c>
      <c r="H400" s="54">
        <v>5</v>
      </c>
    </row>
    <row r="401" spans="1:8">
      <c r="A401" s="42" t="str">
        <f t="shared" si="20"/>
        <v>Peptide Chemistry</v>
      </c>
      <c r="B401" s="42" t="s">
        <v>804</v>
      </c>
      <c r="C401" s="46" t="s">
        <v>245</v>
      </c>
      <c r="D401" s="39" t="s">
        <v>256</v>
      </c>
      <c r="E401" s="81">
        <v>33447</v>
      </c>
      <c r="F401" s="52" t="s">
        <v>283</v>
      </c>
      <c r="G401" s="53">
        <v>37620</v>
      </c>
      <c r="H401" s="54">
        <v>5</v>
      </c>
    </row>
    <row r="402" spans="1:8">
      <c r="A402" s="42" t="str">
        <f t="shared" si="20"/>
        <v>Peptide Chemistry</v>
      </c>
      <c r="B402" s="42" t="s">
        <v>2376</v>
      </c>
      <c r="C402" s="46" t="s">
        <v>245</v>
      </c>
      <c r="D402" s="39" t="s">
        <v>247</v>
      </c>
      <c r="E402" s="109">
        <v>40334</v>
      </c>
      <c r="F402" s="52"/>
      <c r="G402" s="53">
        <v>47280</v>
      </c>
      <c r="H402" s="54">
        <v>1</v>
      </c>
    </row>
    <row r="403" spans="1:8">
      <c r="A403" s="42" t="str">
        <f t="shared" si="20"/>
        <v>Peptide Chemistry</v>
      </c>
      <c r="B403" s="42" t="s">
        <v>432</v>
      </c>
      <c r="C403" s="46" t="s">
        <v>280</v>
      </c>
      <c r="D403" s="39" t="s">
        <v>256</v>
      </c>
      <c r="E403" s="81">
        <v>40438</v>
      </c>
      <c r="F403" s="52" t="s">
        <v>267</v>
      </c>
      <c r="G403" s="53">
        <v>59150</v>
      </c>
      <c r="H403" s="54">
        <v>4</v>
      </c>
    </row>
    <row r="404" spans="1:8">
      <c r="A404" s="42" t="str">
        <f t="shared" si="20"/>
        <v>Peptide Chemistry</v>
      </c>
      <c r="B404" s="42" t="s">
        <v>983</v>
      </c>
      <c r="C404" s="46" t="s">
        <v>271</v>
      </c>
      <c r="D404" s="39" t="s">
        <v>256</v>
      </c>
      <c r="E404" s="81">
        <v>35286</v>
      </c>
      <c r="F404" s="52" t="s">
        <v>262</v>
      </c>
      <c r="G404" s="53">
        <v>72700</v>
      </c>
      <c r="H404" s="54">
        <v>5</v>
      </c>
    </row>
    <row r="405" spans="1:8">
      <c r="A405" s="42" t="str">
        <f t="shared" si="20"/>
        <v>Peptide Chemistry</v>
      </c>
      <c r="B405" s="42" t="s">
        <v>760</v>
      </c>
      <c r="C405" s="46" t="s">
        <v>271</v>
      </c>
      <c r="D405" s="39" t="s">
        <v>247</v>
      </c>
      <c r="E405" s="81">
        <v>38496</v>
      </c>
      <c r="F405" s="52"/>
      <c r="G405" s="53">
        <v>57520</v>
      </c>
      <c r="H405" s="54">
        <v>3</v>
      </c>
    </row>
    <row r="406" spans="1:8">
      <c r="A406" s="42" t="str">
        <f t="shared" si="20"/>
        <v>Peptide Chemistry</v>
      </c>
      <c r="B406" s="42" t="s">
        <v>729</v>
      </c>
      <c r="C406" s="46" t="s">
        <v>285</v>
      </c>
      <c r="D406" s="39" t="s">
        <v>261</v>
      </c>
      <c r="E406" s="81">
        <v>37505</v>
      </c>
      <c r="F406" s="52" t="s">
        <v>276</v>
      </c>
      <c r="G406" s="53">
        <v>51800</v>
      </c>
      <c r="H406" s="54">
        <v>1</v>
      </c>
    </row>
    <row r="407" spans="1:8">
      <c r="A407" s="42" t="str">
        <f t="shared" si="20"/>
        <v>Peptide Chemistry</v>
      </c>
      <c r="B407" s="42" t="s">
        <v>2375</v>
      </c>
      <c r="C407" s="46" t="s">
        <v>271</v>
      </c>
      <c r="D407" s="39" t="s">
        <v>256</v>
      </c>
      <c r="E407" s="81">
        <v>40578</v>
      </c>
      <c r="F407" s="52" t="s">
        <v>257</v>
      </c>
      <c r="G407" s="53">
        <v>43820</v>
      </c>
      <c r="H407" s="54">
        <v>2</v>
      </c>
    </row>
    <row r="408" spans="1:8">
      <c r="A408" s="42" t="str">
        <f t="shared" si="20"/>
        <v>Peptide Chemistry</v>
      </c>
      <c r="B408" s="42" t="s">
        <v>599</v>
      </c>
      <c r="C408" s="46" t="s">
        <v>285</v>
      </c>
      <c r="D408" s="39" t="s">
        <v>247</v>
      </c>
      <c r="E408" s="81">
        <v>37065</v>
      </c>
      <c r="F408" s="52"/>
      <c r="G408" s="53">
        <v>77136</v>
      </c>
      <c r="H408" s="54">
        <v>5</v>
      </c>
    </row>
    <row r="409" spans="1:8">
      <c r="A409" s="42" t="str">
        <f t="shared" si="20"/>
        <v>Peptide Chemistry</v>
      </c>
      <c r="B409" s="42" t="s">
        <v>604</v>
      </c>
      <c r="C409" s="46" t="s">
        <v>285</v>
      </c>
      <c r="D409" s="39" t="s">
        <v>252</v>
      </c>
      <c r="E409" s="81">
        <v>34825</v>
      </c>
      <c r="F409" s="52"/>
      <c r="G409" s="53">
        <v>26944</v>
      </c>
      <c r="H409" s="54">
        <v>4</v>
      </c>
    </row>
    <row r="410" spans="1:8">
      <c r="A410" s="42" t="str">
        <f t="shared" si="20"/>
        <v>Peptide Chemistry</v>
      </c>
      <c r="B410" s="42" t="s">
        <v>361</v>
      </c>
      <c r="C410" s="46" t="s">
        <v>245</v>
      </c>
      <c r="D410" s="39" t="s">
        <v>247</v>
      </c>
      <c r="E410" s="81">
        <v>35451</v>
      </c>
      <c r="F410" s="52"/>
      <c r="G410" s="53">
        <v>42150</v>
      </c>
      <c r="H410" s="54">
        <v>5</v>
      </c>
    </row>
    <row r="411" spans="1:8">
      <c r="A411" s="42" t="str">
        <f t="shared" si="20"/>
        <v>Peptide Chemistry</v>
      </c>
      <c r="B411" s="42" t="s">
        <v>379</v>
      </c>
      <c r="C411" s="46" t="s">
        <v>285</v>
      </c>
      <c r="D411" s="39" t="s">
        <v>247</v>
      </c>
      <c r="E411" s="103">
        <v>40638</v>
      </c>
      <c r="F411" s="52"/>
      <c r="G411" s="53">
        <v>42990</v>
      </c>
      <c r="H411" s="54">
        <v>4</v>
      </c>
    </row>
    <row r="412" spans="1:8">
      <c r="A412" s="42" t="str">
        <f t="shared" si="20"/>
        <v>Peptide Chemistry</v>
      </c>
      <c r="B412" s="42" t="s">
        <v>845</v>
      </c>
      <c r="C412" s="46" t="s">
        <v>271</v>
      </c>
      <c r="D412" s="39" t="s">
        <v>247</v>
      </c>
      <c r="E412" s="81">
        <v>38874</v>
      </c>
      <c r="F412" s="52"/>
      <c r="G412" s="53">
        <v>59330</v>
      </c>
      <c r="H412" s="54">
        <v>4</v>
      </c>
    </row>
    <row r="413" spans="1:8">
      <c r="A413" s="42" t="str">
        <f t="shared" si="20"/>
        <v>Peptide Chemistry</v>
      </c>
      <c r="B413" s="42" t="s">
        <v>265</v>
      </c>
      <c r="C413" s="46" t="s">
        <v>285</v>
      </c>
      <c r="D413" s="39" t="s">
        <v>256</v>
      </c>
      <c r="E413" s="81">
        <v>33460</v>
      </c>
      <c r="F413" s="52" t="s">
        <v>283</v>
      </c>
      <c r="G413" s="53">
        <v>77720</v>
      </c>
      <c r="H413" s="54">
        <v>3</v>
      </c>
    </row>
    <row r="414" spans="1:8">
      <c r="A414" s="42" t="s">
        <v>700</v>
      </c>
      <c r="B414" s="42" t="s">
        <v>373</v>
      </c>
      <c r="C414" s="46" t="s">
        <v>285</v>
      </c>
      <c r="D414" s="39" t="s">
        <v>247</v>
      </c>
      <c r="E414" s="81">
        <v>34525</v>
      </c>
      <c r="F414" s="52"/>
      <c r="G414" s="53">
        <v>64720</v>
      </c>
      <c r="H414" s="54">
        <v>5</v>
      </c>
    </row>
    <row r="415" spans="1:8">
      <c r="A415" s="42" t="str">
        <f t="shared" ref="A415:A417" si="21">A414</f>
        <v>Pharmacokinetics</v>
      </c>
      <c r="B415" s="42" t="s">
        <v>904</v>
      </c>
      <c r="C415" s="46" t="s">
        <v>245</v>
      </c>
      <c r="D415" s="39" t="s">
        <v>261</v>
      </c>
      <c r="E415" s="81">
        <v>35842</v>
      </c>
      <c r="F415" s="52" t="s">
        <v>276</v>
      </c>
      <c r="G415" s="53">
        <v>23380</v>
      </c>
      <c r="H415" s="54">
        <v>4</v>
      </c>
    </row>
    <row r="416" spans="1:8">
      <c r="A416" s="42" t="str">
        <f t="shared" si="21"/>
        <v>Pharmacokinetics</v>
      </c>
      <c r="B416" s="42" t="s">
        <v>570</v>
      </c>
      <c r="C416" s="46" t="s">
        <v>285</v>
      </c>
      <c r="D416" s="39" t="s">
        <v>247</v>
      </c>
      <c r="E416" s="81">
        <v>35806</v>
      </c>
      <c r="F416" s="52"/>
      <c r="G416" s="53">
        <v>86100</v>
      </c>
      <c r="H416" s="54">
        <v>4</v>
      </c>
    </row>
    <row r="417" spans="1:8">
      <c r="A417" s="42" t="str">
        <f t="shared" si="21"/>
        <v>Pharmacokinetics</v>
      </c>
      <c r="B417" s="42" t="s">
        <v>409</v>
      </c>
      <c r="C417" s="46" t="s">
        <v>285</v>
      </c>
      <c r="D417" s="39" t="s">
        <v>247</v>
      </c>
      <c r="E417" s="81">
        <v>33515</v>
      </c>
      <c r="F417" s="52"/>
      <c r="G417" s="53">
        <v>52750</v>
      </c>
      <c r="H417" s="54">
        <v>1</v>
      </c>
    </row>
    <row r="418" spans="1:8">
      <c r="A418" s="42" t="s">
        <v>705</v>
      </c>
      <c r="B418" s="42" t="s">
        <v>390</v>
      </c>
      <c r="C418" s="46" t="s">
        <v>285</v>
      </c>
      <c r="D418" s="39" t="s">
        <v>256</v>
      </c>
      <c r="E418" s="81">
        <v>35528</v>
      </c>
      <c r="F418" s="52" t="s">
        <v>257</v>
      </c>
      <c r="G418" s="53">
        <v>63270</v>
      </c>
      <c r="H418" s="54">
        <v>1</v>
      </c>
    </row>
    <row r="419" spans="1:8">
      <c r="A419" s="42" t="str">
        <f t="shared" ref="A419:A461" si="22">A418</f>
        <v>Process Development</v>
      </c>
      <c r="B419" s="42" t="s">
        <v>418</v>
      </c>
      <c r="C419" s="46" t="s">
        <v>285</v>
      </c>
      <c r="D419" s="39" t="s">
        <v>256</v>
      </c>
      <c r="E419" s="81">
        <v>33405</v>
      </c>
      <c r="F419" s="52" t="s">
        <v>283</v>
      </c>
      <c r="G419" s="53">
        <v>32140</v>
      </c>
      <c r="H419" s="54">
        <v>2</v>
      </c>
    </row>
    <row r="420" spans="1:8">
      <c r="A420" s="42" t="str">
        <f t="shared" si="22"/>
        <v>Process Development</v>
      </c>
      <c r="B420" s="42" t="s">
        <v>420</v>
      </c>
      <c r="C420" s="46" t="s">
        <v>285</v>
      </c>
      <c r="D420" s="39" t="s">
        <v>247</v>
      </c>
      <c r="E420" s="81">
        <v>33495</v>
      </c>
      <c r="F420" s="52"/>
      <c r="G420" s="53">
        <v>62480</v>
      </c>
      <c r="H420" s="54">
        <v>5</v>
      </c>
    </row>
    <row r="421" spans="1:8">
      <c r="A421" s="42" t="str">
        <f t="shared" si="22"/>
        <v>Process Development</v>
      </c>
      <c r="B421" s="42" t="s">
        <v>316</v>
      </c>
      <c r="C421" s="46" t="s">
        <v>251</v>
      </c>
      <c r="D421" s="39" t="s">
        <v>247</v>
      </c>
      <c r="E421" s="81">
        <v>38537</v>
      </c>
      <c r="F421" s="52"/>
      <c r="G421" s="53">
        <v>39680</v>
      </c>
      <c r="H421" s="54">
        <v>1</v>
      </c>
    </row>
    <row r="422" spans="1:8">
      <c r="A422" s="42" t="str">
        <f t="shared" si="22"/>
        <v>Process Development</v>
      </c>
      <c r="B422" s="42" t="s">
        <v>497</v>
      </c>
      <c r="C422" s="46" t="s">
        <v>271</v>
      </c>
      <c r="D422" s="39" t="s">
        <v>256</v>
      </c>
      <c r="E422" s="81">
        <v>36080</v>
      </c>
      <c r="F422" s="52" t="s">
        <v>283</v>
      </c>
      <c r="G422" s="53">
        <v>48410</v>
      </c>
      <c r="H422" s="54">
        <v>5</v>
      </c>
    </row>
    <row r="423" spans="1:8">
      <c r="A423" s="42" t="str">
        <f t="shared" si="22"/>
        <v>Process Development</v>
      </c>
      <c r="B423" s="42" t="s">
        <v>501</v>
      </c>
      <c r="C423" s="46" t="s">
        <v>271</v>
      </c>
      <c r="D423" s="39" t="s">
        <v>256</v>
      </c>
      <c r="E423" s="81">
        <v>37241</v>
      </c>
      <c r="F423" s="52" t="s">
        <v>257</v>
      </c>
      <c r="G423" s="53">
        <v>71950</v>
      </c>
      <c r="H423" s="54">
        <v>5</v>
      </c>
    </row>
    <row r="424" spans="1:8">
      <c r="A424" s="42" t="str">
        <f t="shared" si="22"/>
        <v>Process Development</v>
      </c>
      <c r="B424" s="42" t="s">
        <v>507</v>
      </c>
      <c r="C424" s="46" t="s">
        <v>271</v>
      </c>
      <c r="D424" s="39" t="s">
        <v>256</v>
      </c>
      <c r="E424" s="81">
        <v>33741</v>
      </c>
      <c r="F424" s="52" t="s">
        <v>257</v>
      </c>
      <c r="G424" s="53">
        <v>48550</v>
      </c>
      <c r="H424" s="54">
        <v>5</v>
      </c>
    </row>
    <row r="425" spans="1:8">
      <c r="A425" s="42" t="str">
        <f t="shared" si="22"/>
        <v>Process Development</v>
      </c>
      <c r="B425" s="42" t="s">
        <v>508</v>
      </c>
      <c r="C425" s="46" t="s">
        <v>285</v>
      </c>
      <c r="D425" s="39" t="s">
        <v>247</v>
      </c>
      <c r="E425" s="81">
        <v>33228</v>
      </c>
      <c r="F425" s="52"/>
      <c r="G425" s="53">
        <v>42940</v>
      </c>
      <c r="H425" s="54">
        <v>1</v>
      </c>
    </row>
    <row r="426" spans="1:8">
      <c r="A426" s="42" t="str">
        <f t="shared" si="22"/>
        <v>Process Development</v>
      </c>
      <c r="B426" s="42" t="s">
        <v>394</v>
      </c>
      <c r="C426" s="46" t="s">
        <v>266</v>
      </c>
      <c r="D426" s="39" t="s">
        <v>256</v>
      </c>
      <c r="E426" s="81">
        <v>35020</v>
      </c>
      <c r="F426" s="52" t="s">
        <v>262</v>
      </c>
      <c r="G426" s="53">
        <v>38940</v>
      </c>
      <c r="H426" s="54">
        <v>2</v>
      </c>
    </row>
    <row r="427" spans="1:8">
      <c r="A427" s="42" t="str">
        <f t="shared" si="22"/>
        <v>Process Development</v>
      </c>
      <c r="B427" s="42" t="s">
        <v>797</v>
      </c>
      <c r="C427" s="46" t="s">
        <v>266</v>
      </c>
      <c r="D427" s="39" t="s">
        <v>256</v>
      </c>
      <c r="E427" s="81">
        <v>35188</v>
      </c>
      <c r="F427" s="52" t="s">
        <v>283</v>
      </c>
      <c r="G427" s="53">
        <v>44270</v>
      </c>
      <c r="H427" s="54">
        <v>2</v>
      </c>
    </row>
    <row r="428" spans="1:8">
      <c r="A428" s="42" t="str">
        <f t="shared" si="22"/>
        <v>Process Development</v>
      </c>
      <c r="B428" s="42" t="s">
        <v>801</v>
      </c>
      <c r="C428" s="46" t="s">
        <v>271</v>
      </c>
      <c r="D428" s="39" t="s">
        <v>247</v>
      </c>
      <c r="E428" s="81">
        <v>38970</v>
      </c>
      <c r="F428" s="52"/>
      <c r="G428" s="53">
        <v>83070</v>
      </c>
      <c r="H428" s="54">
        <v>3</v>
      </c>
    </row>
    <row r="429" spans="1:8">
      <c r="A429" s="42" t="str">
        <f t="shared" si="22"/>
        <v>Process Development</v>
      </c>
      <c r="B429" s="42" t="s">
        <v>803</v>
      </c>
      <c r="C429" s="46" t="s">
        <v>285</v>
      </c>
      <c r="D429" s="39" t="s">
        <v>261</v>
      </c>
      <c r="E429" s="81">
        <v>40572</v>
      </c>
      <c r="F429" s="52" t="s">
        <v>283</v>
      </c>
      <c r="G429" s="53">
        <v>10520</v>
      </c>
      <c r="H429" s="54">
        <v>4</v>
      </c>
    </row>
    <row r="430" spans="1:8">
      <c r="A430" s="42" t="str">
        <f t="shared" si="22"/>
        <v>Process Development</v>
      </c>
      <c r="B430" s="42" t="s">
        <v>640</v>
      </c>
      <c r="C430" s="46" t="s">
        <v>245</v>
      </c>
      <c r="D430" s="39" t="s">
        <v>256</v>
      </c>
      <c r="E430" s="81">
        <v>40203</v>
      </c>
      <c r="F430" s="52" t="s">
        <v>257</v>
      </c>
      <c r="G430" s="53">
        <v>35600</v>
      </c>
      <c r="H430" s="54">
        <v>5</v>
      </c>
    </row>
    <row r="431" spans="1:8">
      <c r="A431" s="42" t="str">
        <f t="shared" si="22"/>
        <v>Process Development</v>
      </c>
      <c r="B431" s="42" t="s">
        <v>525</v>
      </c>
      <c r="C431" s="46" t="s">
        <v>251</v>
      </c>
      <c r="D431" s="39" t="s">
        <v>247</v>
      </c>
      <c r="E431" s="81">
        <v>33421</v>
      </c>
      <c r="F431" s="52"/>
      <c r="G431" s="53">
        <v>46650</v>
      </c>
      <c r="H431" s="54">
        <v>2</v>
      </c>
    </row>
    <row r="432" spans="1:8">
      <c r="A432" s="42" t="str">
        <f t="shared" si="22"/>
        <v>Process Development</v>
      </c>
      <c r="B432" s="42" t="s">
        <v>526</v>
      </c>
      <c r="C432" s="46" t="s">
        <v>280</v>
      </c>
      <c r="D432" s="39" t="s">
        <v>256</v>
      </c>
      <c r="E432" s="81">
        <v>36843</v>
      </c>
      <c r="F432" s="52" t="s">
        <v>283</v>
      </c>
      <c r="G432" s="53">
        <v>47630</v>
      </c>
      <c r="H432" s="54">
        <v>3</v>
      </c>
    </row>
    <row r="433" spans="1:8">
      <c r="A433" s="42" t="str">
        <f t="shared" si="22"/>
        <v>Process Development</v>
      </c>
      <c r="B433" s="42" t="s">
        <v>885</v>
      </c>
      <c r="C433" s="46" t="s">
        <v>285</v>
      </c>
      <c r="D433" s="39" t="s">
        <v>256</v>
      </c>
      <c r="E433" s="81">
        <v>34169</v>
      </c>
      <c r="F433" s="52" t="s">
        <v>267</v>
      </c>
      <c r="G433" s="53">
        <v>69420</v>
      </c>
      <c r="H433" s="54">
        <v>2</v>
      </c>
    </row>
    <row r="434" spans="1:8">
      <c r="A434" s="42" t="str">
        <f t="shared" si="22"/>
        <v>Process Development</v>
      </c>
      <c r="B434" s="42" t="s">
        <v>528</v>
      </c>
      <c r="C434" s="46" t="s">
        <v>285</v>
      </c>
      <c r="D434" s="39" t="s">
        <v>256</v>
      </c>
      <c r="E434" s="81">
        <v>35830</v>
      </c>
      <c r="F434" s="52" t="s">
        <v>267</v>
      </c>
      <c r="G434" s="53">
        <v>35460</v>
      </c>
      <c r="H434" s="54">
        <v>5</v>
      </c>
    </row>
    <row r="435" spans="1:8">
      <c r="A435" s="42" t="str">
        <f t="shared" si="22"/>
        <v>Process Development</v>
      </c>
      <c r="B435" s="42" t="s">
        <v>330</v>
      </c>
      <c r="C435" s="46" t="s">
        <v>245</v>
      </c>
      <c r="D435" s="39" t="s">
        <v>261</v>
      </c>
      <c r="E435" s="81">
        <v>36422</v>
      </c>
      <c r="F435" s="52" t="s">
        <v>283</v>
      </c>
      <c r="G435" s="53">
        <v>17270</v>
      </c>
      <c r="H435" s="54">
        <v>5</v>
      </c>
    </row>
    <row r="436" spans="1:8">
      <c r="A436" s="42" t="str">
        <f t="shared" si="22"/>
        <v>Process Development</v>
      </c>
      <c r="B436" s="42" t="s">
        <v>809</v>
      </c>
      <c r="C436" s="46" t="s">
        <v>251</v>
      </c>
      <c r="D436" s="39" t="s">
        <v>247</v>
      </c>
      <c r="E436" s="81">
        <v>39720</v>
      </c>
      <c r="F436" s="52"/>
      <c r="G436" s="53">
        <v>43320</v>
      </c>
      <c r="H436" s="54">
        <v>5</v>
      </c>
    </row>
    <row r="437" spans="1:8">
      <c r="A437" s="42" t="str">
        <f t="shared" si="22"/>
        <v>Process Development</v>
      </c>
      <c r="B437" s="42" t="s">
        <v>970</v>
      </c>
      <c r="C437" s="46" t="s">
        <v>271</v>
      </c>
      <c r="D437" s="39" t="s">
        <v>261</v>
      </c>
      <c r="E437" s="81">
        <v>35189</v>
      </c>
      <c r="F437" s="52" t="s">
        <v>257</v>
      </c>
      <c r="G437" s="53">
        <v>46285</v>
      </c>
      <c r="H437" s="54">
        <v>5</v>
      </c>
    </row>
    <row r="438" spans="1:8">
      <c r="A438" s="42" t="str">
        <f t="shared" si="22"/>
        <v>Process Development</v>
      </c>
      <c r="B438" s="42" t="s">
        <v>814</v>
      </c>
      <c r="C438" s="46" t="s">
        <v>266</v>
      </c>
      <c r="D438" s="39" t="s">
        <v>247</v>
      </c>
      <c r="E438" s="81">
        <v>35150</v>
      </c>
      <c r="F438" s="52"/>
      <c r="G438" s="53">
        <v>35260</v>
      </c>
      <c r="H438" s="54">
        <v>2</v>
      </c>
    </row>
    <row r="439" spans="1:8">
      <c r="A439" s="42" t="str">
        <f t="shared" si="22"/>
        <v>Process Development</v>
      </c>
      <c r="B439" s="42" t="s">
        <v>893</v>
      </c>
      <c r="C439" s="46" t="s">
        <v>285</v>
      </c>
      <c r="D439" s="39" t="s">
        <v>247</v>
      </c>
      <c r="E439" s="81">
        <v>36642</v>
      </c>
      <c r="F439" s="52"/>
      <c r="G439" s="53">
        <v>77760</v>
      </c>
      <c r="H439" s="54">
        <v>3</v>
      </c>
    </row>
    <row r="440" spans="1:8">
      <c r="A440" s="42" t="str">
        <f t="shared" si="22"/>
        <v>Process Development</v>
      </c>
      <c r="B440" s="42" t="s">
        <v>976</v>
      </c>
      <c r="C440" s="46" t="s">
        <v>285</v>
      </c>
      <c r="D440" s="39" t="s">
        <v>247</v>
      </c>
      <c r="E440" s="81">
        <v>33678</v>
      </c>
      <c r="F440" s="52"/>
      <c r="G440" s="53">
        <v>64460</v>
      </c>
      <c r="H440" s="54">
        <v>1</v>
      </c>
    </row>
    <row r="441" spans="1:8">
      <c r="A441" s="42" t="str">
        <f t="shared" si="22"/>
        <v>Process Development</v>
      </c>
      <c r="B441" s="42" t="s">
        <v>337</v>
      </c>
      <c r="C441" s="46" t="s">
        <v>280</v>
      </c>
      <c r="D441" s="39" t="s">
        <v>256</v>
      </c>
      <c r="E441" s="81">
        <v>38626</v>
      </c>
      <c r="F441" s="52" t="s">
        <v>257</v>
      </c>
      <c r="G441" s="53">
        <v>44530</v>
      </c>
      <c r="H441" s="54">
        <v>2</v>
      </c>
    </row>
    <row r="442" spans="1:8">
      <c r="A442" s="42" t="str">
        <f t="shared" si="22"/>
        <v>Process Development</v>
      </c>
      <c r="B442" s="42" t="s">
        <v>899</v>
      </c>
      <c r="C442" s="46" t="s">
        <v>266</v>
      </c>
      <c r="D442" s="39" t="s">
        <v>256</v>
      </c>
      <c r="E442" s="81">
        <v>33460</v>
      </c>
      <c r="F442" s="52" t="s">
        <v>267</v>
      </c>
      <c r="G442" s="53">
        <v>77740</v>
      </c>
      <c r="H442" s="54">
        <v>1</v>
      </c>
    </row>
    <row r="443" spans="1:8">
      <c r="A443" s="42" t="str">
        <f t="shared" si="22"/>
        <v>Process Development</v>
      </c>
      <c r="B443" s="42" t="s">
        <v>548</v>
      </c>
      <c r="C443" s="46" t="s">
        <v>266</v>
      </c>
      <c r="D443" s="39" t="s">
        <v>256</v>
      </c>
      <c r="E443" s="81">
        <v>36444</v>
      </c>
      <c r="F443" s="52" t="s">
        <v>257</v>
      </c>
      <c r="G443" s="53">
        <v>67280</v>
      </c>
      <c r="H443" s="54">
        <v>3</v>
      </c>
    </row>
    <row r="444" spans="1:8">
      <c r="A444" s="42" t="str">
        <f t="shared" si="22"/>
        <v>Process Development</v>
      </c>
      <c r="B444" s="42" t="s">
        <v>731</v>
      </c>
      <c r="C444" s="46" t="s">
        <v>285</v>
      </c>
      <c r="D444" s="39" t="s">
        <v>261</v>
      </c>
      <c r="E444" s="81">
        <v>37815</v>
      </c>
      <c r="F444" s="52" t="s">
        <v>257</v>
      </c>
      <c r="G444" s="53">
        <v>48740</v>
      </c>
      <c r="H444" s="54">
        <v>1</v>
      </c>
    </row>
    <row r="445" spans="1:8">
      <c r="A445" s="42" t="str">
        <f t="shared" si="22"/>
        <v>Process Development</v>
      </c>
      <c r="B445" s="42" t="s">
        <v>732</v>
      </c>
      <c r="C445" s="46" t="s">
        <v>245</v>
      </c>
      <c r="D445" s="39" t="s">
        <v>247</v>
      </c>
      <c r="E445" s="81">
        <v>34947</v>
      </c>
      <c r="F445" s="52"/>
      <c r="G445" s="53">
        <v>81930</v>
      </c>
      <c r="H445" s="54">
        <v>5</v>
      </c>
    </row>
    <row r="446" spans="1:8">
      <c r="A446" s="42" t="str">
        <f t="shared" si="22"/>
        <v>Process Development</v>
      </c>
      <c r="B446" s="42" t="s">
        <v>344</v>
      </c>
      <c r="C446" s="46" t="s">
        <v>285</v>
      </c>
      <c r="D446" s="39" t="s">
        <v>256</v>
      </c>
      <c r="E446" s="81">
        <v>37943</v>
      </c>
      <c r="F446" s="52" t="s">
        <v>257</v>
      </c>
      <c r="G446" s="53">
        <v>75176</v>
      </c>
      <c r="H446" s="54">
        <v>3</v>
      </c>
    </row>
    <row r="447" spans="1:8">
      <c r="A447" s="42" t="str">
        <f t="shared" si="22"/>
        <v>Process Development</v>
      </c>
      <c r="B447" s="42" t="s">
        <v>438</v>
      </c>
      <c r="C447" s="46" t="s">
        <v>251</v>
      </c>
      <c r="D447" s="39" t="s">
        <v>256</v>
      </c>
      <c r="E447" s="81">
        <v>35207</v>
      </c>
      <c r="F447" s="52" t="s">
        <v>267</v>
      </c>
      <c r="G447" s="53">
        <v>77580</v>
      </c>
      <c r="H447" s="54">
        <v>3</v>
      </c>
    </row>
    <row r="448" spans="1:8">
      <c r="A448" s="42" t="str">
        <f t="shared" si="22"/>
        <v>Process Development</v>
      </c>
      <c r="B448" s="42" t="s">
        <v>403</v>
      </c>
      <c r="C448" s="46" t="s">
        <v>285</v>
      </c>
      <c r="D448" s="39" t="s">
        <v>247</v>
      </c>
      <c r="E448" s="81">
        <v>36047</v>
      </c>
      <c r="F448" s="52"/>
      <c r="G448" s="53">
        <v>72480</v>
      </c>
      <c r="H448" s="54">
        <v>2</v>
      </c>
    </row>
    <row r="449" spans="1:8">
      <c r="A449" s="42" t="str">
        <f t="shared" si="22"/>
        <v>Process Development</v>
      </c>
      <c r="B449" s="42" t="s">
        <v>572</v>
      </c>
      <c r="C449" s="46" t="s">
        <v>271</v>
      </c>
      <c r="D449" s="39" t="s">
        <v>256</v>
      </c>
      <c r="E449" s="81">
        <v>36214</v>
      </c>
      <c r="F449" s="52" t="s">
        <v>276</v>
      </c>
      <c r="G449" s="53">
        <v>47850</v>
      </c>
      <c r="H449" s="54">
        <v>1</v>
      </c>
    </row>
    <row r="450" spans="1:8">
      <c r="A450" s="42" t="str">
        <f t="shared" si="22"/>
        <v>Process Development</v>
      </c>
      <c r="B450" s="42" t="s">
        <v>580</v>
      </c>
      <c r="C450" s="46" t="s">
        <v>285</v>
      </c>
      <c r="D450" s="39" t="s">
        <v>256</v>
      </c>
      <c r="E450" s="81">
        <v>34814</v>
      </c>
      <c r="F450" s="52" t="s">
        <v>257</v>
      </c>
      <c r="G450" s="53">
        <v>63190</v>
      </c>
      <c r="H450" s="54">
        <v>1</v>
      </c>
    </row>
    <row r="451" spans="1:8">
      <c r="A451" s="42" t="str">
        <f t="shared" si="22"/>
        <v>Process Development</v>
      </c>
      <c r="B451" s="42" t="s">
        <v>582</v>
      </c>
      <c r="C451" s="46" t="s">
        <v>245</v>
      </c>
      <c r="D451" s="39" t="s">
        <v>252</v>
      </c>
      <c r="E451" s="109">
        <v>40403</v>
      </c>
      <c r="F451" s="52"/>
      <c r="G451" s="53">
        <v>15056</v>
      </c>
      <c r="H451" s="54">
        <v>5</v>
      </c>
    </row>
    <row r="452" spans="1:8">
      <c r="A452" s="42" t="str">
        <f t="shared" si="22"/>
        <v>Process Development</v>
      </c>
      <c r="B452" s="42" t="s">
        <v>738</v>
      </c>
      <c r="C452" s="46" t="s">
        <v>271</v>
      </c>
      <c r="D452" s="39" t="s">
        <v>256</v>
      </c>
      <c r="E452" s="81">
        <v>33721</v>
      </c>
      <c r="F452" s="52" t="s">
        <v>283</v>
      </c>
      <c r="G452" s="53">
        <v>26190</v>
      </c>
      <c r="H452" s="54">
        <v>5</v>
      </c>
    </row>
    <row r="453" spans="1:8">
      <c r="A453" s="42" t="str">
        <f t="shared" si="22"/>
        <v>Process Development</v>
      </c>
      <c r="B453" s="42" t="s">
        <v>587</v>
      </c>
      <c r="C453" s="46" t="s">
        <v>271</v>
      </c>
      <c r="D453" s="39" t="s">
        <v>256</v>
      </c>
      <c r="E453" s="81">
        <v>33806</v>
      </c>
      <c r="F453" s="52" t="s">
        <v>262</v>
      </c>
      <c r="G453" s="53">
        <v>62780</v>
      </c>
      <c r="H453" s="54">
        <v>3</v>
      </c>
    </row>
    <row r="454" spans="1:8">
      <c r="A454" s="42" t="str">
        <f t="shared" si="22"/>
        <v>Process Development</v>
      </c>
      <c r="B454" s="42" t="s">
        <v>1003</v>
      </c>
      <c r="C454" s="46" t="s">
        <v>251</v>
      </c>
      <c r="D454" s="39" t="s">
        <v>247</v>
      </c>
      <c r="E454" s="103">
        <v>40680</v>
      </c>
      <c r="F454" s="52"/>
      <c r="G454" s="53">
        <v>57110</v>
      </c>
      <c r="H454" s="54">
        <v>3</v>
      </c>
    </row>
    <row r="455" spans="1:8">
      <c r="A455" s="42" t="str">
        <f t="shared" si="22"/>
        <v>Process Development</v>
      </c>
      <c r="B455" s="42" t="s">
        <v>1006</v>
      </c>
      <c r="C455" s="46" t="s">
        <v>271</v>
      </c>
      <c r="D455" s="39" t="s">
        <v>256</v>
      </c>
      <c r="E455" s="81">
        <v>37404</v>
      </c>
      <c r="F455" s="52" t="s">
        <v>257</v>
      </c>
      <c r="G455" s="53">
        <v>30780</v>
      </c>
      <c r="H455" s="54">
        <v>4</v>
      </c>
    </row>
    <row r="456" spans="1:8">
      <c r="A456" s="42" t="str">
        <f t="shared" si="22"/>
        <v>Process Development</v>
      </c>
      <c r="B456" s="42" t="s">
        <v>697</v>
      </c>
      <c r="C456" s="46" t="s">
        <v>251</v>
      </c>
      <c r="D456" s="39" t="s">
        <v>256</v>
      </c>
      <c r="E456" s="81">
        <v>35589</v>
      </c>
      <c r="F456" s="52" t="s">
        <v>257</v>
      </c>
      <c r="G456" s="53">
        <v>60280</v>
      </c>
      <c r="H456" s="54">
        <v>1</v>
      </c>
    </row>
    <row r="457" spans="1:8">
      <c r="A457" s="42" t="str">
        <f t="shared" si="22"/>
        <v>Process Development</v>
      </c>
      <c r="B457" s="42" t="s">
        <v>1014</v>
      </c>
      <c r="C457" s="46" t="s">
        <v>271</v>
      </c>
      <c r="D457" s="39" t="s">
        <v>261</v>
      </c>
      <c r="E457" s="81">
        <v>36462</v>
      </c>
      <c r="F457" s="52" t="s">
        <v>283</v>
      </c>
      <c r="G457" s="53">
        <v>26185</v>
      </c>
      <c r="H457" s="54">
        <v>5</v>
      </c>
    </row>
    <row r="458" spans="1:8">
      <c r="A458" s="42" t="str">
        <f t="shared" si="22"/>
        <v>Process Development</v>
      </c>
      <c r="B458" s="42" t="s">
        <v>671</v>
      </c>
      <c r="C458" s="46" t="s">
        <v>285</v>
      </c>
      <c r="D458" s="39" t="s">
        <v>256</v>
      </c>
      <c r="E458" s="103">
        <v>40680</v>
      </c>
      <c r="F458" s="52" t="s">
        <v>257</v>
      </c>
      <c r="G458" s="53">
        <v>23030</v>
      </c>
      <c r="H458" s="54">
        <v>4</v>
      </c>
    </row>
    <row r="459" spans="1:8">
      <c r="A459" s="42" t="str">
        <f t="shared" si="22"/>
        <v>Process Development</v>
      </c>
      <c r="B459" s="42" t="s">
        <v>378</v>
      </c>
      <c r="C459" s="46" t="s">
        <v>271</v>
      </c>
      <c r="D459" s="39" t="s">
        <v>247</v>
      </c>
      <c r="E459" s="81">
        <v>35447</v>
      </c>
      <c r="F459" s="52"/>
      <c r="G459" s="53">
        <v>54190</v>
      </c>
      <c r="H459" s="54">
        <v>4</v>
      </c>
    </row>
    <row r="460" spans="1:8">
      <c r="A460" s="42" t="str">
        <f t="shared" si="22"/>
        <v>Process Development</v>
      </c>
      <c r="B460" s="42" t="s">
        <v>745</v>
      </c>
      <c r="C460" s="46" t="s">
        <v>251</v>
      </c>
      <c r="D460" s="39" t="s">
        <v>247</v>
      </c>
      <c r="E460" s="81">
        <v>38027</v>
      </c>
      <c r="F460" s="52"/>
      <c r="G460" s="53">
        <v>64590</v>
      </c>
      <c r="H460" s="54">
        <v>1</v>
      </c>
    </row>
    <row r="461" spans="1:8">
      <c r="A461" s="42" t="str">
        <f t="shared" si="22"/>
        <v>Process Development</v>
      </c>
      <c r="B461" s="42" t="s">
        <v>305</v>
      </c>
      <c r="C461" s="46" t="s">
        <v>285</v>
      </c>
      <c r="D461" s="39" t="s">
        <v>256</v>
      </c>
      <c r="E461" s="81">
        <v>39388</v>
      </c>
      <c r="F461" s="52" t="s">
        <v>257</v>
      </c>
      <c r="G461" s="53">
        <v>71120</v>
      </c>
      <c r="H461" s="54">
        <v>4</v>
      </c>
    </row>
    <row r="462" spans="1:8">
      <c r="A462" s="42" t="s">
        <v>750</v>
      </c>
      <c r="B462" s="42" t="s">
        <v>625</v>
      </c>
      <c r="C462" s="46" t="s">
        <v>271</v>
      </c>
      <c r="D462" s="39" t="s">
        <v>247</v>
      </c>
      <c r="E462" s="81">
        <v>34915</v>
      </c>
      <c r="F462" s="52"/>
      <c r="G462" s="53">
        <v>76870</v>
      </c>
      <c r="H462" s="54">
        <v>5</v>
      </c>
    </row>
    <row r="463" spans="1:8">
      <c r="A463" s="42" t="str">
        <f t="shared" ref="A463:A477" si="23">A462</f>
        <v>Professional Training Group</v>
      </c>
      <c r="B463" s="42" t="s">
        <v>306</v>
      </c>
      <c r="C463" s="46" t="s">
        <v>271</v>
      </c>
      <c r="D463" s="39" t="s">
        <v>256</v>
      </c>
      <c r="E463" s="81">
        <v>33921</v>
      </c>
      <c r="F463" s="52" t="s">
        <v>267</v>
      </c>
      <c r="G463" s="53">
        <v>32160</v>
      </c>
      <c r="H463" s="54">
        <v>3</v>
      </c>
    </row>
    <row r="464" spans="1:8">
      <c r="A464" s="42" t="str">
        <f t="shared" si="23"/>
        <v>Professional Training Group</v>
      </c>
      <c r="B464" s="42" t="s">
        <v>275</v>
      </c>
      <c r="C464" s="46" t="s">
        <v>285</v>
      </c>
      <c r="D464" s="39" t="s">
        <v>247</v>
      </c>
      <c r="E464" s="81">
        <v>35699</v>
      </c>
      <c r="F464" s="52"/>
      <c r="G464" s="53">
        <v>36230</v>
      </c>
      <c r="H464" s="54">
        <v>2</v>
      </c>
    </row>
    <row r="465" spans="1:8">
      <c r="A465" s="42" t="str">
        <f t="shared" si="23"/>
        <v>Professional Training Group</v>
      </c>
      <c r="B465" s="42" t="s">
        <v>382</v>
      </c>
      <c r="C465" s="46" t="s">
        <v>271</v>
      </c>
      <c r="D465" s="39" t="s">
        <v>256</v>
      </c>
      <c r="E465" s="81">
        <v>39217</v>
      </c>
      <c r="F465" s="52" t="s">
        <v>257</v>
      </c>
      <c r="G465" s="53">
        <v>73830</v>
      </c>
      <c r="H465" s="54">
        <v>2</v>
      </c>
    </row>
    <row r="466" spans="1:8">
      <c r="A466" s="42" t="str">
        <f t="shared" si="23"/>
        <v>Professional Training Group</v>
      </c>
      <c r="B466" s="42" t="s">
        <v>720</v>
      </c>
      <c r="C466" s="46" t="s">
        <v>271</v>
      </c>
      <c r="D466" s="39" t="s">
        <v>256</v>
      </c>
      <c r="E466" s="81">
        <v>33510</v>
      </c>
      <c r="F466" s="52" t="s">
        <v>262</v>
      </c>
      <c r="G466" s="53">
        <v>54500</v>
      </c>
      <c r="H466" s="54">
        <v>5</v>
      </c>
    </row>
    <row r="467" spans="1:8">
      <c r="A467" s="42" t="str">
        <f t="shared" si="23"/>
        <v>Professional Training Group</v>
      </c>
      <c r="B467" s="42" t="s">
        <v>328</v>
      </c>
      <c r="C467" s="46" t="s">
        <v>245</v>
      </c>
      <c r="D467" s="39" t="s">
        <v>256</v>
      </c>
      <c r="E467" s="81">
        <v>38753</v>
      </c>
      <c r="F467" s="52" t="s">
        <v>257</v>
      </c>
      <c r="G467" s="53">
        <v>22410</v>
      </c>
      <c r="H467" s="54">
        <v>4</v>
      </c>
    </row>
    <row r="468" spans="1:8">
      <c r="A468" s="42" t="str">
        <f t="shared" si="23"/>
        <v>Professional Training Group</v>
      </c>
      <c r="B468" s="42" t="s">
        <v>805</v>
      </c>
      <c r="C468" s="46" t="s">
        <v>285</v>
      </c>
      <c r="D468" s="39" t="s">
        <v>247</v>
      </c>
      <c r="E468" s="81">
        <v>33914</v>
      </c>
      <c r="F468" s="52"/>
      <c r="G468" s="53">
        <v>55690</v>
      </c>
      <c r="H468" s="54">
        <v>2</v>
      </c>
    </row>
    <row r="469" spans="1:8">
      <c r="A469" s="42" t="str">
        <f t="shared" si="23"/>
        <v>Professional Training Group</v>
      </c>
      <c r="B469" s="42" t="s">
        <v>969</v>
      </c>
      <c r="C469" s="46" t="s">
        <v>285</v>
      </c>
      <c r="D469" s="39" t="s">
        <v>261</v>
      </c>
      <c r="E469" s="81">
        <v>34583</v>
      </c>
      <c r="F469" s="52" t="s">
        <v>262</v>
      </c>
      <c r="G469" s="53">
        <v>15260</v>
      </c>
      <c r="H469" s="54">
        <v>2</v>
      </c>
    </row>
    <row r="470" spans="1:8">
      <c r="A470" s="42" t="str">
        <f t="shared" si="23"/>
        <v>Professional Training Group</v>
      </c>
      <c r="B470" s="42" t="s">
        <v>375</v>
      </c>
      <c r="C470" s="46" t="s">
        <v>280</v>
      </c>
      <c r="D470" s="39" t="s">
        <v>261</v>
      </c>
      <c r="E470" s="103">
        <v>40254</v>
      </c>
      <c r="F470" s="52" t="s">
        <v>283</v>
      </c>
      <c r="G470" s="53">
        <v>48700</v>
      </c>
      <c r="H470" s="54">
        <v>3</v>
      </c>
    </row>
    <row r="471" spans="1:8">
      <c r="A471" s="42" t="str">
        <f t="shared" si="23"/>
        <v>Professional Training Group</v>
      </c>
      <c r="B471" s="42" t="s">
        <v>659</v>
      </c>
      <c r="C471" s="46" t="s">
        <v>251</v>
      </c>
      <c r="D471" s="39" t="s">
        <v>252</v>
      </c>
      <c r="E471" s="81">
        <v>35490</v>
      </c>
      <c r="F471" s="52"/>
      <c r="G471" s="53">
        <v>22472</v>
      </c>
      <c r="H471" s="54">
        <v>1</v>
      </c>
    </row>
    <row r="472" spans="1:8">
      <c r="A472" s="42" t="str">
        <f t="shared" si="23"/>
        <v>Professional Training Group</v>
      </c>
      <c r="B472" s="42" t="s">
        <v>573</v>
      </c>
      <c r="C472" s="46" t="s">
        <v>285</v>
      </c>
      <c r="D472" s="39" t="s">
        <v>256</v>
      </c>
      <c r="E472" s="81">
        <v>35133</v>
      </c>
      <c r="F472" s="52" t="s">
        <v>283</v>
      </c>
      <c r="G472" s="53">
        <v>63080</v>
      </c>
      <c r="H472" s="54">
        <v>5</v>
      </c>
    </row>
    <row r="473" spans="1:8">
      <c r="A473" s="42" t="str">
        <f t="shared" si="23"/>
        <v>Professional Training Group</v>
      </c>
      <c r="B473" s="42" t="s">
        <v>353</v>
      </c>
      <c r="C473" s="46" t="s">
        <v>285</v>
      </c>
      <c r="D473" s="39" t="s">
        <v>247</v>
      </c>
      <c r="E473" s="81">
        <v>36600</v>
      </c>
      <c r="F473" s="52"/>
      <c r="G473" s="53">
        <v>41840</v>
      </c>
      <c r="H473" s="54">
        <v>2</v>
      </c>
    </row>
    <row r="474" spans="1:8">
      <c r="A474" s="42" t="str">
        <f t="shared" si="23"/>
        <v>Professional Training Group</v>
      </c>
      <c r="B474" s="42" t="s">
        <v>1005</v>
      </c>
      <c r="C474" s="46" t="s">
        <v>280</v>
      </c>
      <c r="D474" s="39" t="s">
        <v>247</v>
      </c>
      <c r="E474" s="81">
        <v>36703</v>
      </c>
      <c r="F474" s="52"/>
      <c r="G474" s="53">
        <v>50200</v>
      </c>
      <c r="H474" s="54">
        <v>4</v>
      </c>
    </row>
    <row r="475" spans="1:8">
      <c r="A475" s="42" t="str">
        <f t="shared" si="23"/>
        <v>Professional Training Group</v>
      </c>
      <c r="B475" s="42" t="s">
        <v>356</v>
      </c>
      <c r="C475" s="46" t="s">
        <v>280</v>
      </c>
      <c r="D475" s="39" t="s">
        <v>247</v>
      </c>
      <c r="E475" s="81">
        <v>34651</v>
      </c>
      <c r="F475" s="52"/>
      <c r="G475" s="53">
        <v>46670</v>
      </c>
      <c r="H475" s="54">
        <v>3</v>
      </c>
    </row>
    <row r="476" spans="1:8">
      <c r="A476" s="42" t="str">
        <f t="shared" si="23"/>
        <v>Professional Training Group</v>
      </c>
      <c r="B476" s="42" t="s">
        <v>1015</v>
      </c>
      <c r="C476" s="46" t="s">
        <v>251</v>
      </c>
      <c r="D476" s="39" t="s">
        <v>261</v>
      </c>
      <c r="E476" s="81">
        <v>40166</v>
      </c>
      <c r="F476" s="52" t="s">
        <v>276</v>
      </c>
      <c r="G476" s="53">
        <v>25245</v>
      </c>
      <c r="H476" s="54">
        <v>5</v>
      </c>
    </row>
    <row r="477" spans="1:8">
      <c r="A477" s="42" t="str">
        <f t="shared" si="23"/>
        <v>Professional Training Group</v>
      </c>
      <c r="B477" s="42" t="s">
        <v>611</v>
      </c>
      <c r="C477" s="46" t="s">
        <v>245</v>
      </c>
      <c r="D477" s="39" t="s">
        <v>256</v>
      </c>
      <c r="E477" s="81">
        <v>33648</v>
      </c>
      <c r="F477" s="52" t="s">
        <v>276</v>
      </c>
      <c r="G477" s="53">
        <v>60380</v>
      </c>
      <c r="H477" s="54">
        <v>4</v>
      </c>
    </row>
    <row r="478" spans="1:8">
      <c r="A478" s="42" t="s">
        <v>767</v>
      </c>
      <c r="B478" s="42" t="s">
        <v>857</v>
      </c>
      <c r="C478" s="46" t="s">
        <v>266</v>
      </c>
      <c r="D478" s="39" t="s">
        <v>256</v>
      </c>
      <c r="E478" s="81">
        <v>33604</v>
      </c>
      <c r="F478" s="52" t="s">
        <v>257</v>
      </c>
      <c r="G478" s="53">
        <v>54830</v>
      </c>
      <c r="H478" s="54">
        <v>1</v>
      </c>
    </row>
    <row r="479" spans="1:8">
      <c r="A479" s="42" t="str">
        <f t="shared" ref="A479:A510" si="24">A478</f>
        <v>Project &amp; Contract Services</v>
      </c>
      <c r="B479" s="42" t="s">
        <v>617</v>
      </c>
      <c r="C479" s="46" t="s">
        <v>285</v>
      </c>
      <c r="D479" s="39" t="s">
        <v>256</v>
      </c>
      <c r="E479" s="81">
        <v>38377</v>
      </c>
      <c r="F479" s="52" t="s">
        <v>257</v>
      </c>
      <c r="G479" s="53">
        <v>87760</v>
      </c>
      <c r="H479" s="54">
        <v>1</v>
      </c>
    </row>
    <row r="480" spans="1:8">
      <c r="A480" s="42" t="str">
        <f t="shared" si="24"/>
        <v>Project &amp; Contract Services</v>
      </c>
      <c r="B480" s="42" t="s">
        <v>464</v>
      </c>
      <c r="C480" s="46" t="s">
        <v>251</v>
      </c>
      <c r="D480" s="39" t="s">
        <v>247</v>
      </c>
      <c r="E480" s="81">
        <v>34265</v>
      </c>
      <c r="F480" s="52"/>
      <c r="G480" s="53">
        <v>35460</v>
      </c>
      <c r="H480" s="54">
        <v>3</v>
      </c>
    </row>
    <row r="481" spans="1:8">
      <c r="A481" s="42" t="str">
        <f t="shared" si="24"/>
        <v>Project &amp; Contract Services</v>
      </c>
      <c r="B481" s="42" t="s">
        <v>466</v>
      </c>
      <c r="C481" s="46" t="s">
        <v>245</v>
      </c>
      <c r="D481" s="39" t="s">
        <v>247</v>
      </c>
      <c r="E481" s="81">
        <v>33977</v>
      </c>
      <c r="F481" s="52"/>
      <c r="G481" s="53">
        <v>63290</v>
      </c>
      <c r="H481" s="54">
        <v>5</v>
      </c>
    </row>
    <row r="482" spans="1:8">
      <c r="A482" s="42" t="str">
        <f t="shared" si="24"/>
        <v>Project &amp; Contract Services</v>
      </c>
      <c r="B482" s="42" t="s">
        <v>770</v>
      </c>
      <c r="C482" s="46" t="s">
        <v>285</v>
      </c>
      <c r="D482" s="39" t="s">
        <v>252</v>
      </c>
      <c r="E482" s="81">
        <v>35673</v>
      </c>
      <c r="F482" s="52"/>
      <c r="G482" s="53">
        <v>12676</v>
      </c>
      <c r="H482" s="54">
        <v>2</v>
      </c>
    </row>
    <row r="483" spans="1:8">
      <c r="A483" s="42" t="str">
        <f t="shared" si="24"/>
        <v>Project &amp; Contract Services</v>
      </c>
      <c r="B483" s="42" t="s">
        <v>472</v>
      </c>
      <c r="C483" s="46" t="s">
        <v>271</v>
      </c>
      <c r="D483" s="39" t="s">
        <v>247</v>
      </c>
      <c r="E483" s="81">
        <v>33387</v>
      </c>
      <c r="F483" s="52"/>
      <c r="G483" s="53">
        <v>85510</v>
      </c>
      <c r="H483" s="54">
        <v>4</v>
      </c>
    </row>
    <row r="484" spans="1:8">
      <c r="A484" s="42" t="str">
        <f t="shared" si="24"/>
        <v>Project &amp; Contract Services</v>
      </c>
      <c r="B484" s="42" t="s">
        <v>934</v>
      </c>
      <c r="C484" s="46" t="s">
        <v>280</v>
      </c>
      <c r="D484" s="39" t="s">
        <v>256</v>
      </c>
      <c r="E484" s="81">
        <v>38821</v>
      </c>
      <c r="F484" s="52" t="s">
        <v>283</v>
      </c>
      <c r="G484" s="53">
        <v>65720</v>
      </c>
      <c r="H484" s="54">
        <v>1</v>
      </c>
    </row>
    <row r="485" spans="1:8">
      <c r="A485" s="42" t="str">
        <f t="shared" si="24"/>
        <v>Project &amp; Contract Services</v>
      </c>
      <c r="B485" s="42" t="s">
        <v>308</v>
      </c>
      <c r="C485" s="46" t="s">
        <v>271</v>
      </c>
      <c r="D485" s="39" t="s">
        <v>256</v>
      </c>
      <c r="E485" s="81">
        <v>35449</v>
      </c>
      <c r="F485" s="52" t="s">
        <v>283</v>
      </c>
      <c r="G485" s="53">
        <v>22920</v>
      </c>
      <c r="H485" s="54">
        <v>3</v>
      </c>
    </row>
    <row r="486" spans="1:8">
      <c r="A486" s="42" t="str">
        <f t="shared" si="24"/>
        <v>Project &amp; Contract Services</v>
      </c>
      <c r="B486" s="42" t="s">
        <v>455</v>
      </c>
      <c r="C486" s="46" t="s">
        <v>285</v>
      </c>
      <c r="D486" s="39" t="s">
        <v>256</v>
      </c>
      <c r="E486" s="81">
        <v>36619</v>
      </c>
      <c r="F486" s="52" t="s">
        <v>267</v>
      </c>
      <c r="G486" s="53">
        <v>56440</v>
      </c>
      <c r="H486" s="54">
        <v>1</v>
      </c>
    </row>
    <row r="487" spans="1:8">
      <c r="A487" s="42" t="str">
        <f t="shared" si="24"/>
        <v>Project &amp; Contract Services</v>
      </c>
      <c r="B487" s="42" t="s">
        <v>478</v>
      </c>
      <c r="C487" s="46" t="s">
        <v>285</v>
      </c>
      <c r="D487" s="39" t="s">
        <v>256</v>
      </c>
      <c r="E487" s="81">
        <v>39312</v>
      </c>
      <c r="F487" s="52" t="s">
        <v>262</v>
      </c>
      <c r="G487" s="53">
        <v>71030</v>
      </c>
      <c r="H487" s="54">
        <v>3</v>
      </c>
    </row>
    <row r="488" spans="1:8">
      <c r="A488" s="42" t="str">
        <f t="shared" si="24"/>
        <v>Project &amp; Contract Services</v>
      </c>
      <c r="B488" s="42" t="s">
        <v>681</v>
      </c>
      <c r="C488" s="46" t="s">
        <v>280</v>
      </c>
      <c r="D488" s="39" t="s">
        <v>256</v>
      </c>
      <c r="E488" s="81">
        <v>35693</v>
      </c>
      <c r="F488" s="52" t="s">
        <v>262</v>
      </c>
      <c r="G488" s="53">
        <v>24340</v>
      </c>
      <c r="H488" s="54">
        <v>4</v>
      </c>
    </row>
    <row r="489" spans="1:8">
      <c r="A489" s="42" t="str">
        <f t="shared" si="24"/>
        <v>Project &amp; Contract Services</v>
      </c>
      <c r="B489" s="42" t="s">
        <v>484</v>
      </c>
      <c r="C489" s="46" t="s">
        <v>266</v>
      </c>
      <c r="D489" s="39" t="s">
        <v>247</v>
      </c>
      <c r="E489" s="81">
        <v>35927</v>
      </c>
      <c r="F489" s="52"/>
      <c r="G489" s="53">
        <v>76910</v>
      </c>
      <c r="H489" s="54">
        <v>1</v>
      </c>
    </row>
    <row r="490" spans="1:8">
      <c r="A490" s="42" t="str">
        <f t="shared" si="24"/>
        <v>Project &amp; Contract Services</v>
      </c>
      <c r="B490" s="42" t="s">
        <v>682</v>
      </c>
      <c r="C490" s="46" t="s">
        <v>271</v>
      </c>
      <c r="D490" s="39" t="s">
        <v>247</v>
      </c>
      <c r="E490" s="81">
        <v>33282</v>
      </c>
      <c r="F490" s="52"/>
      <c r="G490" s="53">
        <v>89450</v>
      </c>
      <c r="H490" s="54">
        <v>2</v>
      </c>
    </row>
    <row r="491" spans="1:8">
      <c r="A491" s="42" t="str">
        <f t="shared" si="24"/>
        <v>Project &amp; Contract Services</v>
      </c>
      <c r="B491" s="42" t="s">
        <v>485</v>
      </c>
      <c r="C491" s="46" t="s">
        <v>251</v>
      </c>
      <c r="D491" s="39" t="s">
        <v>256</v>
      </c>
      <c r="E491" s="81">
        <v>37073</v>
      </c>
      <c r="F491" s="52" t="s">
        <v>276</v>
      </c>
      <c r="G491" s="53">
        <v>40680</v>
      </c>
      <c r="H491" s="54">
        <v>5</v>
      </c>
    </row>
    <row r="492" spans="1:8">
      <c r="A492" s="42" t="str">
        <f t="shared" si="24"/>
        <v>Project &amp; Contract Services</v>
      </c>
      <c r="B492" s="42" t="s">
        <v>634</v>
      </c>
      <c r="C492" s="46" t="s">
        <v>271</v>
      </c>
      <c r="D492" s="39" t="s">
        <v>256</v>
      </c>
      <c r="E492" s="81">
        <v>40083</v>
      </c>
      <c r="F492" s="52" t="s">
        <v>283</v>
      </c>
      <c r="G492" s="53">
        <v>44150</v>
      </c>
      <c r="H492" s="54">
        <v>4</v>
      </c>
    </row>
    <row r="493" spans="1:8">
      <c r="A493" s="42" t="str">
        <f t="shared" si="24"/>
        <v>Project &amp; Contract Services</v>
      </c>
      <c r="B493" s="42" t="s">
        <v>380</v>
      </c>
      <c r="C493" s="46" t="s">
        <v>266</v>
      </c>
      <c r="D493" s="39" t="s">
        <v>256</v>
      </c>
      <c r="E493" s="81">
        <v>35339</v>
      </c>
      <c r="F493" s="52" t="s">
        <v>283</v>
      </c>
      <c r="G493" s="53">
        <v>43410</v>
      </c>
      <c r="H493" s="54">
        <v>1</v>
      </c>
    </row>
    <row r="494" spans="1:8">
      <c r="A494" s="42" t="str">
        <f t="shared" si="24"/>
        <v>Project &amp; Contract Services</v>
      </c>
      <c r="B494" s="42" t="s">
        <v>712</v>
      </c>
      <c r="C494" s="46" t="s">
        <v>245</v>
      </c>
      <c r="D494" s="39" t="s">
        <v>247</v>
      </c>
      <c r="E494" s="81">
        <v>33974</v>
      </c>
      <c r="F494" s="52"/>
      <c r="G494" s="53">
        <v>70150</v>
      </c>
      <c r="H494" s="54">
        <v>2</v>
      </c>
    </row>
    <row r="495" spans="1:8">
      <c r="A495" s="42" t="str">
        <f t="shared" si="24"/>
        <v>Project &amp; Contract Services</v>
      </c>
      <c r="B495" s="42" t="s">
        <v>317</v>
      </c>
      <c r="C495" s="46" t="s">
        <v>271</v>
      </c>
      <c r="D495" s="39" t="s">
        <v>256</v>
      </c>
      <c r="E495" s="81">
        <v>35932</v>
      </c>
      <c r="F495" s="52" t="s">
        <v>283</v>
      </c>
      <c r="G495" s="53">
        <v>89740</v>
      </c>
      <c r="H495" s="54">
        <v>5</v>
      </c>
    </row>
    <row r="496" spans="1:8">
      <c r="A496" s="42" t="str">
        <f t="shared" si="24"/>
        <v>Project &amp; Contract Services</v>
      </c>
      <c r="B496" s="42" t="s">
        <v>787</v>
      </c>
      <c r="C496" s="46" t="s">
        <v>245</v>
      </c>
      <c r="D496" s="39" t="s">
        <v>247</v>
      </c>
      <c r="E496" s="81">
        <v>35997</v>
      </c>
      <c r="F496" s="52"/>
      <c r="G496" s="53">
        <v>72520</v>
      </c>
      <c r="H496" s="54">
        <v>3</v>
      </c>
    </row>
    <row r="497" spans="1:8">
      <c r="A497" s="42" t="str">
        <f t="shared" si="24"/>
        <v>Project &amp; Contract Services</v>
      </c>
      <c r="B497" s="42" t="s">
        <v>946</v>
      </c>
      <c r="C497" s="46" t="s">
        <v>251</v>
      </c>
      <c r="D497" s="39" t="s">
        <v>247</v>
      </c>
      <c r="E497" s="81">
        <v>39538</v>
      </c>
      <c r="F497" s="52"/>
      <c r="G497" s="53">
        <v>62780</v>
      </c>
      <c r="H497" s="54">
        <v>4</v>
      </c>
    </row>
    <row r="498" spans="1:8">
      <c r="A498" s="42" t="str">
        <f t="shared" si="24"/>
        <v>Project &amp; Contract Services</v>
      </c>
      <c r="B498" s="42" t="s">
        <v>319</v>
      </c>
      <c r="C498" s="46" t="s">
        <v>280</v>
      </c>
      <c r="D498" s="39" t="s">
        <v>247</v>
      </c>
      <c r="E498" s="81">
        <v>33658</v>
      </c>
      <c r="F498" s="52"/>
      <c r="G498" s="53">
        <v>60550</v>
      </c>
      <c r="H498" s="54">
        <v>2</v>
      </c>
    </row>
    <row r="499" spans="1:8">
      <c r="A499" s="42" t="str">
        <f t="shared" si="24"/>
        <v>Project &amp; Contract Services</v>
      </c>
      <c r="B499" s="42" t="s">
        <v>788</v>
      </c>
      <c r="C499" s="46" t="s">
        <v>271</v>
      </c>
      <c r="D499" s="39" t="s">
        <v>256</v>
      </c>
      <c r="E499" s="81">
        <v>33636</v>
      </c>
      <c r="F499" s="52" t="s">
        <v>257</v>
      </c>
      <c r="G499" s="53">
        <v>26360</v>
      </c>
      <c r="H499" s="54">
        <v>1</v>
      </c>
    </row>
    <row r="500" spans="1:8">
      <c r="A500" s="42" t="str">
        <f t="shared" si="24"/>
        <v>Project &amp; Contract Services</v>
      </c>
      <c r="B500" s="42" t="s">
        <v>506</v>
      </c>
      <c r="C500" s="46" t="s">
        <v>285</v>
      </c>
      <c r="D500" s="39" t="s">
        <v>261</v>
      </c>
      <c r="E500" s="81">
        <v>36053</v>
      </c>
      <c r="F500" s="52" t="s">
        <v>276</v>
      </c>
      <c r="G500" s="53">
        <v>46105</v>
      </c>
      <c r="H500" s="54">
        <v>5</v>
      </c>
    </row>
    <row r="501" spans="1:8">
      <c r="A501" s="42" t="str">
        <f t="shared" si="24"/>
        <v>Project &amp; Contract Services</v>
      </c>
      <c r="B501" s="42" t="s">
        <v>875</v>
      </c>
      <c r="C501" s="46" t="s">
        <v>251</v>
      </c>
      <c r="D501" s="39" t="s">
        <v>256</v>
      </c>
      <c r="E501" s="81">
        <v>35121</v>
      </c>
      <c r="F501" s="52" t="s">
        <v>283</v>
      </c>
      <c r="G501" s="53">
        <v>22860</v>
      </c>
      <c r="H501" s="54">
        <v>5</v>
      </c>
    </row>
    <row r="502" spans="1:8">
      <c r="A502" s="42" t="str">
        <f t="shared" si="24"/>
        <v>Project &amp; Contract Services</v>
      </c>
      <c r="B502" s="42" t="s">
        <v>949</v>
      </c>
      <c r="C502" s="46" t="s">
        <v>266</v>
      </c>
      <c r="D502" s="39" t="s">
        <v>247</v>
      </c>
      <c r="E502" s="81">
        <v>35940</v>
      </c>
      <c r="F502" s="52"/>
      <c r="G502" s="53">
        <v>88000</v>
      </c>
      <c r="H502" s="54">
        <v>5</v>
      </c>
    </row>
    <row r="503" spans="1:8">
      <c r="A503" s="42" t="str">
        <f t="shared" si="24"/>
        <v>Project &amp; Contract Services</v>
      </c>
      <c r="B503" s="42" t="s">
        <v>425</v>
      </c>
      <c r="C503" s="46" t="s">
        <v>266</v>
      </c>
      <c r="D503" s="39" t="s">
        <v>247</v>
      </c>
      <c r="E503" s="81">
        <v>36087</v>
      </c>
      <c r="F503" s="52"/>
      <c r="G503" s="53">
        <v>76930</v>
      </c>
      <c r="H503" s="54">
        <v>1</v>
      </c>
    </row>
    <row r="504" spans="1:8">
      <c r="A504" s="42" t="str">
        <f t="shared" si="24"/>
        <v>Project &amp; Contract Services</v>
      </c>
      <c r="B504" s="42" t="s">
        <v>792</v>
      </c>
      <c r="C504" s="46" t="s">
        <v>280</v>
      </c>
      <c r="D504" s="39" t="s">
        <v>256</v>
      </c>
      <c r="E504" s="81">
        <v>34693</v>
      </c>
      <c r="F504" s="52" t="s">
        <v>262</v>
      </c>
      <c r="G504" s="53">
        <v>88820</v>
      </c>
      <c r="H504" s="54">
        <v>2</v>
      </c>
    </row>
    <row r="505" spans="1:8">
      <c r="A505" s="42" t="str">
        <f t="shared" si="24"/>
        <v>Project &amp; Contract Services</v>
      </c>
      <c r="B505" s="42" t="s">
        <v>795</v>
      </c>
      <c r="C505" s="46" t="s">
        <v>251</v>
      </c>
      <c r="D505" s="39" t="s">
        <v>256</v>
      </c>
      <c r="E505" s="81">
        <v>35529</v>
      </c>
      <c r="F505" s="52" t="s">
        <v>267</v>
      </c>
      <c r="G505" s="53">
        <v>44920</v>
      </c>
      <c r="H505" s="54">
        <v>1</v>
      </c>
    </row>
    <row r="506" spans="1:8">
      <c r="A506" s="42" t="str">
        <f t="shared" si="24"/>
        <v>Project &amp; Contract Services</v>
      </c>
      <c r="B506" s="42" t="s">
        <v>796</v>
      </c>
      <c r="C506" s="46" t="s">
        <v>266</v>
      </c>
      <c r="D506" s="39" t="s">
        <v>256</v>
      </c>
      <c r="E506" s="81">
        <v>40533</v>
      </c>
      <c r="F506" s="52" t="s">
        <v>276</v>
      </c>
      <c r="G506" s="53">
        <v>62180</v>
      </c>
      <c r="H506" s="54">
        <v>2</v>
      </c>
    </row>
    <row r="507" spans="1:8">
      <c r="A507" s="42" t="str">
        <f t="shared" si="24"/>
        <v>Project &amp; Contract Services</v>
      </c>
      <c r="B507" s="42" t="s">
        <v>427</v>
      </c>
      <c r="C507" s="46" t="s">
        <v>271</v>
      </c>
      <c r="D507" s="39" t="s">
        <v>252</v>
      </c>
      <c r="E507" s="81">
        <v>34180</v>
      </c>
      <c r="F507" s="52"/>
      <c r="G507" s="53">
        <v>26484</v>
      </c>
      <c r="H507" s="54">
        <v>5</v>
      </c>
    </row>
    <row r="508" spans="1:8">
      <c r="A508" s="42" t="str">
        <f t="shared" si="24"/>
        <v>Project &amp; Contract Services</v>
      </c>
      <c r="B508" s="42" t="s">
        <v>800</v>
      </c>
      <c r="C508" s="46" t="s">
        <v>245</v>
      </c>
      <c r="D508" s="39" t="s">
        <v>261</v>
      </c>
      <c r="E508" s="81">
        <v>35466</v>
      </c>
      <c r="F508" s="52" t="s">
        <v>262</v>
      </c>
      <c r="G508" s="53">
        <v>37660</v>
      </c>
      <c r="H508" s="54">
        <v>4</v>
      </c>
    </row>
    <row r="509" spans="1:8">
      <c r="A509" s="42" t="str">
        <f t="shared" si="24"/>
        <v>Project &amp; Contract Services</v>
      </c>
      <c r="B509" s="42" t="s">
        <v>954</v>
      </c>
      <c r="C509" s="46" t="s">
        <v>245</v>
      </c>
      <c r="D509" s="39" t="s">
        <v>256</v>
      </c>
      <c r="E509" s="81">
        <v>33928</v>
      </c>
      <c r="F509" s="52" t="s">
        <v>262</v>
      </c>
      <c r="G509" s="53">
        <v>68010</v>
      </c>
      <c r="H509" s="54">
        <v>1</v>
      </c>
    </row>
    <row r="510" spans="1:8">
      <c r="A510" s="42" t="str">
        <f t="shared" si="24"/>
        <v>Project &amp; Contract Services</v>
      </c>
      <c r="B510" s="42" t="s">
        <v>638</v>
      </c>
      <c r="C510" s="46" t="s">
        <v>271</v>
      </c>
      <c r="D510" s="39" t="s">
        <v>247</v>
      </c>
      <c r="E510" s="81">
        <v>34502</v>
      </c>
      <c r="F510" s="52"/>
      <c r="G510" s="53">
        <v>66710</v>
      </c>
      <c r="H510" s="54">
        <v>2</v>
      </c>
    </row>
    <row r="511" spans="1:8">
      <c r="A511" s="42" t="str">
        <f t="shared" ref="A511:A542" si="25">A510</f>
        <v>Project &amp; Contract Services</v>
      </c>
      <c r="B511" s="42" t="s">
        <v>459</v>
      </c>
      <c r="C511" s="46" t="s">
        <v>245</v>
      </c>
      <c r="D511" s="39" t="s">
        <v>256</v>
      </c>
      <c r="E511" s="81">
        <v>36290</v>
      </c>
      <c r="F511" s="52" t="s">
        <v>283</v>
      </c>
      <c r="G511" s="53">
        <v>39000</v>
      </c>
      <c r="H511" s="54">
        <v>3</v>
      </c>
    </row>
    <row r="512" spans="1:8">
      <c r="A512" s="42" t="str">
        <f t="shared" si="25"/>
        <v>Project &amp; Contract Services</v>
      </c>
      <c r="B512" s="42" t="s">
        <v>959</v>
      </c>
      <c r="C512" s="46" t="s">
        <v>245</v>
      </c>
      <c r="D512" s="39" t="s">
        <v>256</v>
      </c>
      <c r="E512" s="81">
        <v>35199</v>
      </c>
      <c r="F512" s="52" t="s">
        <v>257</v>
      </c>
      <c r="G512" s="53">
        <v>73450</v>
      </c>
      <c r="H512" s="54">
        <v>3</v>
      </c>
    </row>
    <row r="513" spans="1:8">
      <c r="A513" s="42" t="str">
        <f t="shared" si="25"/>
        <v>Project &amp; Contract Services</v>
      </c>
      <c r="B513" s="42" t="s">
        <v>719</v>
      </c>
      <c r="C513" s="46" t="s">
        <v>271</v>
      </c>
      <c r="D513" s="39" t="s">
        <v>256</v>
      </c>
      <c r="E513" s="81">
        <v>33831</v>
      </c>
      <c r="F513" s="52" t="s">
        <v>257</v>
      </c>
      <c r="G513" s="53">
        <v>79760</v>
      </c>
      <c r="H513" s="54">
        <v>5</v>
      </c>
    </row>
    <row r="514" spans="1:8">
      <c r="A514" s="42" t="str">
        <f t="shared" si="25"/>
        <v>Project &amp; Contract Services</v>
      </c>
      <c r="B514" s="42" t="s">
        <v>429</v>
      </c>
      <c r="C514" s="46" t="s">
        <v>285</v>
      </c>
      <c r="D514" s="39" t="s">
        <v>256</v>
      </c>
      <c r="E514" s="103">
        <v>40680</v>
      </c>
      <c r="F514" s="52" t="s">
        <v>276</v>
      </c>
      <c r="G514" s="53">
        <v>40260</v>
      </c>
      <c r="H514" s="54">
        <v>5</v>
      </c>
    </row>
    <row r="515" spans="1:8">
      <c r="A515" s="42" t="str">
        <f t="shared" si="25"/>
        <v>Project &amp; Contract Services</v>
      </c>
      <c r="B515" s="42" t="s">
        <v>329</v>
      </c>
      <c r="C515" s="46" t="s">
        <v>285</v>
      </c>
      <c r="D515" s="39" t="s">
        <v>256</v>
      </c>
      <c r="E515" s="81">
        <v>39923</v>
      </c>
      <c r="F515" s="52" t="s">
        <v>257</v>
      </c>
      <c r="G515" s="53">
        <v>76440</v>
      </c>
      <c r="H515" s="54">
        <v>3</v>
      </c>
    </row>
    <row r="516" spans="1:8">
      <c r="A516" s="42" t="str">
        <f t="shared" si="25"/>
        <v>Project &amp; Contract Services</v>
      </c>
      <c r="B516" s="42" t="s">
        <v>884</v>
      </c>
      <c r="C516" s="46" t="s">
        <v>280</v>
      </c>
      <c r="D516" s="39" t="s">
        <v>256</v>
      </c>
      <c r="E516" s="81">
        <v>34285</v>
      </c>
      <c r="F516" s="52" t="s">
        <v>267</v>
      </c>
      <c r="G516" s="53">
        <v>48490</v>
      </c>
      <c r="H516" s="54">
        <v>2</v>
      </c>
    </row>
    <row r="517" spans="1:8">
      <c r="A517" s="42" t="str">
        <f t="shared" si="25"/>
        <v>Project &amp; Contract Services</v>
      </c>
      <c r="B517" s="42" t="s">
        <v>725</v>
      </c>
      <c r="C517" s="46" t="s">
        <v>285</v>
      </c>
      <c r="D517" s="39" t="s">
        <v>261</v>
      </c>
      <c r="E517" s="81">
        <v>36557</v>
      </c>
      <c r="F517" s="52" t="s">
        <v>257</v>
      </c>
      <c r="G517" s="53">
        <v>31250</v>
      </c>
      <c r="H517" s="54">
        <v>2</v>
      </c>
    </row>
    <row r="518" spans="1:8">
      <c r="A518" s="42" t="str">
        <f t="shared" si="25"/>
        <v>Project &amp; Contract Services</v>
      </c>
      <c r="B518" s="42" t="s">
        <v>642</v>
      </c>
      <c r="C518" s="46" t="s">
        <v>271</v>
      </c>
      <c r="D518" s="39" t="s">
        <v>256</v>
      </c>
      <c r="E518" s="81">
        <v>40361</v>
      </c>
      <c r="F518" s="52" t="s">
        <v>267</v>
      </c>
      <c r="G518" s="53">
        <v>75780</v>
      </c>
      <c r="H518" s="54">
        <v>2</v>
      </c>
    </row>
    <row r="519" spans="1:8">
      <c r="A519" s="42" t="str">
        <f t="shared" si="25"/>
        <v>Project &amp; Contract Services</v>
      </c>
      <c r="B519" s="42" t="s">
        <v>332</v>
      </c>
      <c r="C519" s="46" t="s">
        <v>271</v>
      </c>
      <c r="D519" s="39" t="s">
        <v>256</v>
      </c>
      <c r="E519" s="81">
        <v>35084</v>
      </c>
      <c r="F519" s="52" t="s">
        <v>276</v>
      </c>
      <c r="G519" s="53">
        <v>49260</v>
      </c>
      <c r="H519" s="54">
        <v>3</v>
      </c>
    </row>
    <row r="520" spans="1:8">
      <c r="A520" s="42" t="str">
        <f t="shared" si="25"/>
        <v>Project &amp; Contract Services</v>
      </c>
      <c r="B520" s="42" t="s">
        <v>645</v>
      </c>
      <c r="C520" s="46" t="s">
        <v>271</v>
      </c>
      <c r="D520" s="39" t="s">
        <v>256</v>
      </c>
      <c r="E520" s="81">
        <v>33765</v>
      </c>
      <c r="F520" s="52" t="s">
        <v>262</v>
      </c>
      <c r="G520" s="53">
        <v>73930</v>
      </c>
      <c r="H520" s="54">
        <v>1</v>
      </c>
    </row>
    <row r="521" spans="1:8">
      <c r="A521" s="42" t="str">
        <f t="shared" si="25"/>
        <v>Project &amp; Contract Services</v>
      </c>
      <c r="B521" s="42" t="s">
        <v>813</v>
      </c>
      <c r="C521" s="46" t="s">
        <v>271</v>
      </c>
      <c r="D521" s="39" t="s">
        <v>252</v>
      </c>
      <c r="E521" s="81">
        <v>36340</v>
      </c>
      <c r="F521" s="52"/>
      <c r="G521" s="53">
        <v>37016</v>
      </c>
      <c r="H521" s="54">
        <v>4</v>
      </c>
    </row>
    <row r="522" spans="1:8">
      <c r="A522" s="42" t="str">
        <f t="shared" si="25"/>
        <v>Project &amp; Contract Services</v>
      </c>
      <c r="B522" s="42" t="s">
        <v>537</v>
      </c>
      <c r="C522" s="46" t="s">
        <v>280</v>
      </c>
      <c r="D522" s="39" t="s">
        <v>256</v>
      </c>
      <c r="E522" s="81">
        <v>33079</v>
      </c>
      <c r="F522" s="52" t="s">
        <v>276</v>
      </c>
      <c r="G522" s="53">
        <v>32360</v>
      </c>
      <c r="H522" s="54">
        <v>4</v>
      </c>
    </row>
    <row r="523" spans="1:8">
      <c r="A523" s="42" t="str">
        <f t="shared" si="25"/>
        <v>Project &amp; Contract Services</v>
      </c>
      <c r="B523" s="42" t="s">
        <v>815</v>
      </c>
      <c r="C523" s="46" t="s">
        <v>271</v>
      </c>
      <c r="D523" s="39" t="s">
        <v>256</v>
      </c>
      <c r="E523" s="81">
        <v>33223</v>
      </c>
      <c r="F523" s="52" t="s">
        <v>262</v>
      </c>
      <c r="G523" s="53">
        <v>31260</v>
      </c>
      <c r="H523" s="54">
        <v>5</v>
      </c>
    </row>
    <row r="524" spans="1:8">
      <c r="A524" s="42" t="str">
        <f t="shared" si="25"/>
        <v>Project &amp; Contract Services</v>
      </c>
      <c r="B524" s="42" t="s">
        <v>972</v>
      </c>
      <c r="C524" s="46" t="s">
        <v>271</v>
      </c>
      <c r="D524" s="39" t="s">
        <v>247</v>
      </c>
      <c r="E524" s="81">
        <v>33819</v>
      </c>
      <c r="F524" s="52"/>
      <c r="G524" s="53">
        <v>49530</v>
      </c>
      <c r="H524" s="54">
        <v>2</v>
      </c>
    </row>
    <row r="525" spans="1:8">
      <c r="A525" s="42" t="str">
        <f t="shared" si="25"/>
        <v>Project &amp; Contract Services</v>
      </c>
      <c r="B525" s="42" t="s">
        <v>978</v>
      </c>
      <c r="C525" s="46" t="s">
        <v>251</v>
      </c>
      <c r="D525" s="39" t="s">
        <v>247</v>
      </c>
      <c r="E525" s="81">
        <v>37141</v>
      </c>
      <c r="F525" s="52"/>
      <c r="G525" s="53">
        <v>25530</v>
      </c>
      <c r="H525" s="54">
        <v>3</v>
      </c>
    </row>
    <row r="526" spans="1:8">
      <c r="A526" s="42" t="str">
        <f t="shared" si="25"/>
        <v>Project &amp; Contract Services</v>
      </c>
      <c r="B526" s="42" t="s">
        <v>654</v>
      </c>
      <c r="C526" s="46" t="s">
        <v>280</v>
      </c>
      <c r="D526" s="39" t="s">
        <v>256</v>
      </c>
      <c r="E526" s="81">
        <v>36940</v>
      </c>
      <c r="F526" s="52" t="s">
        <v>257</v>
      </c>
      <c r="G526" s="53">
        <v>48990</v>
      </c>
      <c r="H526" s="54">
        <v>5</v>
      </c>
    </row>
    <row r="527" spans="1:8">
      <c r="A527" s="42" t="str">
        <f t="shared" si="25"/>
        <v>Project &amp; Contract Services</v>
      </c>
      <c r="B527" s="42" t="s">
        <v>820</v>
      </c>
      <c r="C527" s="46" t="s">
        <v>245</v>
      </c>
      <c r="D527" s="39" t="s">
        <v>256</v>
      </c>
      <c r="E527" s="81">
        <v>35220</v>
      </c>
      <c r="F527" s="52" t="s">
        <v>267</v>
      </c>
      <c r="G527" s="53">
        <v>70480</v>
      </c>
      <c r="H527" s="54">
        <v>4</v>
      </c>
    </row>
    <row r="528" spans="1:8">
      <c r="A528" s="42" t="str">
        <f t="shared" si="25"/>
        <v>Project &amp; Contract Services</v>
      </c>
      <c r="B528" s="42" t="s">
        <v>543</v>
      </c>
      <c r="C528" s="46" t="s">
        <v>285</v>
      </c>
      <c r="D528" s="39" t="s">
        <v>256</v>
      </c>
      <c r="E528" s="103">
        <v>40292</v>
      </c>
      <c r="F528" s="52" t="s">
        <v>257</v>
      </c>
      <c r="G528" s="53">
        <v>23280</v>
      </c>
      <c r="H528" s="54">
        <v>1</v>
      </c>
    </row>
    <row r="529" spans="1:8">
      <c r="A529" s="42" t="str">
        <f t="shared" si="25"/>
        <v>Project &amp; Contract Services</v>
      </c>
      <c r="B529" s="42" t="s">
        <v>898</v>
      </c>
      <c r="C529" s="46" t="s">
        <v>251</v>
      </c>
      <c r="D529" s="39" t="s">
        <v>247</v>
      </c>
      <c r="E529" s="81">
        <v>40719</v>
      </c>
      <c r="F529" s="52"/>
      <c r="G529" s="53">
        <v>66132</v>
      </c>
      <c r="H529" s="54">
        <v>4</v>
      </c>
    </row>
    <row r="530" spans="1:8">
      <c r="A530" s="42" t="str">
        <f t="shared" si="25"/>
        <v>Project &amp; Contract Services</v>
      </c>
      <c r="B530" s="42" t="s">
        <v>435</v>
      </c>
      <c r="C530" s="46" t="s">
        <v>271</v>
      </c>
      <c r="D530" s="39" t="s">
        <v>256</v>
      </c>
      <c r="E530" s="81">
        <v>34901</v>
      </c>
      <c r="F530" s="52" t="s">
        <v>257</v>
      </c>
      <c r="G530" s="53">
        <v>25830</v>
      </c>
      <c r="H530" s="54">
        <v>5</v>
      </c>
    </row>
    <row r="531" spans="1:8">
      <c r="A531" s="42" t="str">
        <f t="shared" si="25"/>
        <v>Project &amp; Contract Services</v>
      </c>
      <c r="B531" s="42" t="s">
        <v>399</v>
      </c>
      <c r="C531" s="46" t="s">
        <v>280</v>
      </c>
      <c r="D531" s="39" t="s">
        <v>256</v>
      </c>
      <c r="E531" s="81">
        <v>40581</v>
      </c>
      <c r="F531" s="52" t="s">
        <v>267</v>
      </c>
      <c r="G531" s="53">
        <v>80260</v>
      </c>
      <c r="H531" s="54">
        <v>3</v>
      </c>
    </row>
    <row r="532" spans="1:8">
      <c r="A532" s="42" t="str">
        <f t="shared" si="25"/>
        <v>Project &amp; Contract Services</v>
      </c>
      <c r="B532" s="42" t="s">
        <v>546</v>
      </c>
      <c r="C532" s="46" t="s">
        <v>271</v>
      </c>
      <c r="D532" s="39" t="s">
        <v>256</v>
      </c>
      <c r="E532" s="103">
        <v>40536</v>
      </c>
      <c r="F532" s="52" t="s">
        <v>283</v>
      </c>
      <c r="G532" s="53">
        <v>70730</v>
      </c>
      <c r="H532" s="54">
        <v>1</v>
      </c>
    </row>
    <row r="533" spans="1:8">
      <c r="A533" s="42" t="str">
        <f t="shared" si="25"/>
        <v>Project &amp; Contract Services</v>
      </c>
      <c r="B533" s="42" t="s">
        <v>901</v>
      </c>
      <c r="C533" s="46" t="s">
        <v>285</v>
      </c>
      <c r="D533" s="39" t="s">
        <v>261</v>
      </c>
      <c r="E533" s="81">
        <v>33502</v>
      </c>
      <c r="F533" s="52" t="s">
        <v>262</v>
      </c>
      <c r="G533" s="53">
        <v>35045</v>
      </c>
      <c r="H533" s="54">
        <v>4</v>
      </c>
    </row>
    <row r="534" spans="1:8">
      <c r="A534" s="42" t="str">
        <f t="shared" si="25"/>
        <v>Project &amp; Contract Services</v>
      </c>
      <c r="B534" s="42" t="s">
        <v>401</v>
      </c>
      <c r="C534" s="46" t="s">
        <v>271</v>
      </c>
      <c r="D534" s="39" t="s">
        <v>261</v>
      </c>
      <c r="E534" s="81">
        <v>39728</v>
      </c>
      <c r="F534" s="52" t="s">
        <v>257</v>
      </c>
      <c r="G534" s="53">
        <v>45565</v>
      </c>
      <c r="H534" s="54">
        <v>1</v>
      </c>
    </row>
    <row r="535" spans="1:8">
      <c r="A535" s="42" t="str">
        <f t="shared" si="25"/>
        <v>Project &amp; Contract Services</v>
      </c>
      <c r="B535" s="42" t="s">
        <v>987</v>
      </c>
      <c r="C535" s="46" t="s">
        <v>285</v>
      </c>
      <c r="D535" s="39" t="s">
        <v>256</v>
      </c>
      <c r="E535" s="81">
        <v>34068</v>
      </c>
      <c r="F535" s="52" t="s">
        <v>283</v>
      </c>
      <c r="G535" s="53">
        <v>23330</v>
      </c>
      <c r="H535" s="54">
        <v>4</v>
      </c>
    </row>
    <row r="536" spans="1:8">
      <c r="A536" s="42" t="str">
        <f t="shared" si="25"/>
        <v>Project &amp; Contract Services</v>
      </c>
      <c r="B536" s="42" t="s">
        <v>554</v>
      </c>
      <c r="C536" s="46" t="s">
        <v>271</v>
      </c>
      <c r="D536" s="39" t="s">
        <v>261</v>
      </c>
      <c r="E536" s="81">
        <v>36918</v>
      </c>
      <c r="F536" s="52" t="s">
        <v>257</v>
      </c>
      <c r="G536" s="53">
        <v>17205</v>
      </c>
      <c r="H536" s="54">
        <v>5</v>
      </c>
    </row>
    <row r="537" spans="1:8">
      <c r="A537" s="42" t="str">
        <f t="shared" si="25"/>
        <v>Project &amp; Contract Services</v>
      </c>
      <c r="B537" s="42" t="s">
        <v>557</v>
      </c>
      <c r="C537" s="46" t="s">
        <v>251</v>
      </c>
      <c r="D537" s="39" t="s">
        <v>256</v>
      </c>
      <c r="E537" s="81">
        <v>33713</v>
      </c>
      <c r="F537" s="52" t="s">
        <v>257</v>
      </c>
      <c r="G537" s="53">
        <v>46220</v>
      </c>
      <c r="H537" s="54">
        <v>3</v>
      </c>
    </row>
    <row r="538" spans="1:8">
      <c r="A538" s="42" t="str">
        <f t="shared" si="25"/>
        <v>Project &amp; Contract Services</v>
      </c>
      <c r="B538" s="42" t="s">
        <v>558</v>
      </c>
      <c r="C538" s="46" t="s">
        <v>285</v>
      </c>
      <c r="D538" s="39" t="s">
        <v>252</v>
      </c>
      <c r="E538" s="81">
        <v>37827</v>
      </c>
      <c r="F538" s="52"/>
      <c r="G538" s="53">
        <v>11044</v>
      </c>
      <c r="H538" s="54">
        <v>2</v>
      </c>
    </row>
    <row r="539" spans="1:8">
      <c r="A539" s="42" t="str">
        <f t="shared" si="25"/>
        <v>Project &amp; Contract Services</v>
      </c>
      <c r="B539" s="42" t="s">
        <v>730</v>
      </c>
      <c r="C539" s="46" t="s">
        <v>245</v>
      </c>
      <c r="D539" s="39" t="s">
        <v>256</v>
      </c>
      <c r="E539" s="81">
        <v>33454</v>
      </c>
      <c r="F539" s="52" t="s">
        <v>257</v>
      </c>
      <c r="G539" s="53">
        <v>67920</v>
      </c>
      <c r="H539" s="54">
        <v>4</v>
      </c>
    </row>
    <row r="540" spans="1:8">
      <c r="A540" s="42" t="str">
        <f t="shared" si="25"/>
        <v>Project &amp; Contract Services</v>
      </c>
      <c r="B540" s="42" t="s">
        <v>414</v>
      </c>
      <c r="C540" s="46" t="s">
        <v>280</v>
      </c>
      <c r="D540" s="39" t="s">
        <v>256</v>
      </c>
      <c r="E540" s="81">
        <v>38916</v>
      </c>
      <c r="F540" s="52" t="s">
        <v>262</v>
      </c>
      <c r="G540" s="53">
        <v>27560</v>
      </c>
      <c r="H540" s="54">
        <v>2</v>
      </c>
    </row>
    <row r="541" spans="1:8">
      <c r="A541" s="42" t="str">
        <f t="shared" si="25"/>
        <v>Project &amp; Contract Services</v>
      </c>
      <c r="B541" s="42" t="s">
        <v>908</v>
      </c>
      <c r="C541" s="46" t="s">
        <v>245</v>
      </c>
      <c r="D541" s="39" t="s">
        <v>256</v>
      </c>
      <c r="E541" s="81">
        <v>37018</v>
      </c>
      <c r="F541" s="52" t="s">
        <v>283</v>
      </c>
      <c r="G541" s="53">
        <v>28650</v>
      </c>
      <c r="H541" s="54">
        <v>4</v>
      </c>
    </row>
    <row r="542" spans="1:8">
      <c r="A542" s="42" t="str">
        <f t="shared" si="25"/>
        <v>Project &amp; Contract Services</v>
      </c>
      <c r="B542" s="42" t="s">
        <v>761</v>
      </c>
      <c r="C542" s="46" t="s">
        <v>280</v>
      </c>
      <c r="D542" s="39" t="s">
        <v>256</v>
      </c>
      <c r="E542" s="81">
        <v>35151</v>
      </c>
      <c r="F542" s="52" t="s">
        <v>276</v>
      </c>
      <c r="G542" s="53">
        <v>29760</v>
      </c>
      <c r="H542" s="54">
        <v>2</v>
      </c>
    </row>
    <row r="543" spans="1:8">
      <c r="A543" s="42" t="str">
        <f t="shared" ref="A543:A565" si="26">A542</f>
        <v>Project &amp; Contract Services</v>
      </c>
      <c r="B543" s="42" t="s">
        <v>1029</v>
      </c>
      <c r="C543" s="46" t="s">
        <v>271</v>
      </c>
      <c r="D543" s="39" t="s">
        <v>247</v>
      </c>
      <c r="E543" s="81">
        <v>35518</v>
      </c>
      <c r="F543" s="52"/>
      <c r="G543" s="53">
        <v>53870</v>
      </c>
      <c r="H543" s="54">
        <v>2</v>
      </c>
    </row>
    <row r="544" spans="1:8">
      <c r="A544" s="42" t="str">
        <f t="shared" si="26"/>
        <v>Project &amp; Contract Services</v>
      </c>
      <c r="B544" s="42" t="s">
        <v>998</v>
      </c>
      <c r="C544" s="46" t="s">
        <v>285</v>
      </c>
      <c r="D544" s="39" t="s">
        <v>256</v>
      </c>
      <c r="E544" s="81">
        <v>36764</v>
      </c>
      <c r="F544" s="52" t="s">
        <v>276</v>
      </c>
      <c r="G544" s="53">
        <v>74840</v>
      </c>
      <c r="H544" s="54">
        <v>4</v>
      </c>
    </row>
    <row r="545" spans="1:8">
      <c r="A545" s="42" t="str">
        <f t="shared" si="26"/>
        <v>Project &amp; Contract Services</v>
      </c>
      <c r="B545" s="42" t="s">
        <v>578</v>
      </c>
      <c r="C545" s="46" t="s">
        <v>280</v>
      </c>
      <c r="D545" s="39" t="s">
        <v>247</v>
      </c>
      <c r="E545" s="81">
        <v>36623</v>
      </c>
      <c r="F545" s="52"/>
      <c r="G545" s="53">
        <v>30300</v>
      </c>
      <c r="H545" s="54">
        <v>1</v>
      </c>
    </row>
    <row r="546" spans="1:8">
      <c r="A546" s="42" t="str">
        <f t="shared" si="26"/>
        <v>Project &amp; Contract Services</v>
      </c>
      <c r="B546" s="42" t="s">
        <v>352</v>
      </c>
      <c r="C546" s="46" t="s">
        <v>280</v>
      </c>
      <c r="D546" s="39" t="s">
        <v>256</v>
      </c>
      <c r="E546" s="81">
        <v>33606</v>
      </c>
      <c r="F546" s="52" t="s">
        <v>262</v>
      </c>
      <c r="G546" s="53">
        <v>87120</v>
      </c>
      <c r="H546" s="54">
        <v>3</v>
      </c>
    </row>
    <row r="547" spans="1:8">
      <c r="A547" s="42" t="str">
        <f t="shared" si="26"/>
        <v>Project &amp; Contract Services</v>
      </c>
      <c r="B547" s="42" t="s">
        <v>911</v>
      </c>
      <c r="C547" s="46" t="s">
        <v>285</v>
      </c>
      <c r="D547" s="39" t="s">
        <v>256</v>
      </c>
      <c r="E547" s="81">
        <v>33128</v>
      </c>
      <c r="F547" s="52" t="s">
        <v>267</v>
      </c>
      <c r="G547" s="53">
        <v>46110</v>
      </c>
      <c r="H547" s="54">
        <v>4</v>
      </c>
    </row>
    <row r="548" spans="1:8">
      <c r="A548" s="42" t="str">
        <f t="shared" si="26"/>
        <v>Project &amp; Contract Services</v>
      </c>
      <c r="B548" s="42" t="s">
        <v>829</v>
      </c>
      <c r="C548" s="46" t="s">
        <v>285</v>
      </c>
      <c r="D548" s="39" t="s">
        <v>256</v>
      </c>
      <c r="E548" s="81">
        <v>36526</v>
      </c>
      <c r="F548" s="52" t="s">
        <v>257</v>
      </c>
      <c r="G548" s="53">
        <v>29260</v>
      </c>
      <c r="H548" s="54">
        <v>4</v>
      </c>
    </row>
    <row r="549" spans="1:8">
      <c r="A549" s="42" t="str">
        <f t="shared" si="26"/>
        <v>Project &amp; Contract Services</v>
      </c>
      <c r="B549" s="42" t="s">
        <v>581</v>
      </c>
      <c r="C549" s="46" t="s">
        <v>285</v>
      </c>
      <c r="D549" s="39" t="s">
        <v>256</v>
      </c>
      <c r="E549" s="81">
        <v>37866</v>
      </c>
      <c r="F549" s="52" t="s">
        <v>262</v>
      </c>
      <c r="G549" s="53">
        <v>54230</v>
      </c>
      <c r="H549" s="54">
        <v>5</v>
      </c>
    </row>
    <row r="550" spans="1:8">
      <c r="A550" s="42" t="str">
        <f t="shared" si="26"/>
        <v>Project &amp; Contract Services</v>
      </c>
      <c r="B550" s="42" t="s">
        <v>1035</v>
      </c>
      <c r="C550" s="46" t="s">
        <v>245</v>
      </c>
      <c r="D550" s="39" t="s">
        <v>256</v>
      </c>
      <c r="E550" s="81">
        <v>34151</v>
      </c>
      <c r="F550" s="52" t="s">
        <v>283</v>
      </c>
      <c r="G550" s="53">
        <v>81980</v>
      </c>
      <c r="H550" s="54">
        <v>2</v>
      </c>
    </row>
    <row r="551" spans="1:8">
      <c r="A551" s="42" t="str">
        <f t="shared" si="26"/>
        <v>Project &amp; Contract Services</v>
      </c>
      <c r="B551" s="42" t="s">
        <v>913</v>
      </c>
      <c r="C551" s="46" t="s">
        <v>285</v>
      </c>
      <c r="D551" s="39" t="s">
        <v>256</v>
      </c>
      <c r="E551" s="81">
        <v>33457</v>
      </c>
      <c r="F551" s="52" t="s">
        <v>267</v>
      </c>
      <c r="G551" s="53">
        <v>61470</v>
      </c>
      <c r="H551" s="54">
        <v>5</v>
      </c>
    </row>
    <row r="552" spans="1:8">
      <c r="A552" s="42" t="str">
        <f t="shared" si="26"/>
        <v>Project &amp; Contract Services</v>
      </c>
      <c r="B552" s="42" t="s">
        <v>1008</v>
      </c>
      <c r="C552" s="46" t="s">
        <v>245</v>
      </c>
      <c r="D552" s="39" t="s">
        <v>247</v>
      </c>
      <c r="E552" s="81">
        <v>35567</v>
      </c>
      <c r="F552" s="52"/>
      <c r="G552" s="53">
        <v>44820</v>
      </c>
      <c r="H552" s="54">
        <v>4</v>
      </c>
    </row>
    <row r="553" spans="1:8">
      <c r="A553" s="42" t="str">
        <f t="shared" si="26"/>
        <v>Project &amp; Contract Services</v>
      </c>
      <c r="B553" s="42" t="s">
        <v>915</v>
      </c>
      <c r="C553" s="46" t="s">
        <v>271</v>
      </c>
      <c r="D553" s="39" t="s">
        <v>256</v>
      </c>
      <c r="E553" s="81">
        <v>36431</v>
      </c>
      <c r="F553" s="52" t="s">
        <v>257</v>
      </c>
      <c r="G553" s="53">
        <v>35820</v>
      </c>
      <c r="H553" s="54">
        <v>2</v>
      </c>
    </row>
    <row r="554" spans="1:8">
      <c r="A554" s="42" t="str">
        <f t="shared" si="26"/>
        <v>Project &amp; Contract Services</v>
      </c>
      <c r="B554" s="42" t="s">
        <v>593</v>
      </c>
      <c r="C554" s="46" t="s">
        <v>280</v>
      </c>
      <c r="D554" s="39" t="s">
        <v>252</v>
      </c>
      <c r="E554" s="81">
        <v>39087</v>
      </c>
      <c r="F554" s="52"/>
      <c r="G554" s="53">
        <v>14416</v>
      </c>
      <c r="H554" s="54">
        <v>4</v>
      </c>
    </row>
    <row r="555" spans="1:8">
      <c r="A555" s="42" t="str">
        <f t="shared" si="26"/>
        <v>Project &amp; Contract Services</v>
      </c>
      <c r="B555" s="42" t="s">
        <v>287</v>
      </c>
      <c r="C555" s="46" t="s">
        <v>266</v>
      </c>
      <c r="D555" s="39" t="s">
        <v>256</v>
      </c>
      <c r="E555" s="81">
        <v>36619</v>
      </c>
      <c r="F555" s="52" t="s">
        <v>262</v>
      </c>
      <c r="G555" s="53">
        <v>71970</v>
      </c>
      <c r="H555" s="54">
        <v>4</v>
      </c>
    </row>
    <row r="556" spans="1:8">
      <c r="A556" s="42" t="str">
        <f t="shared" si="26"/>
        <v>Project &amp; Contract Services</v>
      </c>
      <c r="B556" s="42" t="s">
        <v>919</v>
      </c>
      <c r="C556" s="46" t="s">
        <v>285</v>
      </c>
      <c r="D556" s="39" t="s">
        <v>256</v>
      </c>
      <c r="E556" s="81">
        <v>35282</v>
      </c>
      <c r="F556" s="52" t="s">
        <v>257</v>
      </c>
      <c r="G556" s="53">
        <v>57560</v>
      </c>
      <c r="H556" s="54">
        <v>4</v>
      </c>
    </row>
    <row r="557" spans="1:8">
      <c r="A557" s="42" t="str">
        <f t="shared" si="26"/>
        <v>Project &amp; Contract Services</v>
      </c>
      <c r="B557" s="42" t="s">
        <v>744</v>
      </c>
      <c r="C557" s="46" t="s">
        <v>271</v>
      </c>
      <c r="D557" s="39" t="s">
        <v>256</v>
      </c>
      <c r="E557" s="81">
        <v>36312</v>
      </c>
      <c r="F557" s="52" t="s">
        <v>257</v>
      </c>
      <c r="G557" s="53">
        <v>69200</v>
      </c>
      <c r="H557" s="54">
        <v>4</v>
      </c>
    </row>
    <row r="558" spans="1:8">
      <c r="A558" s="42" t="str">
        <f t="shared" si="26"/>
        <v>Project &amp; Contract Services</v>
      </c>
      <c r="B558" s="42" t="s">
        <v>450</v>
      </c>
      <c r="C558" s="46" t="s">
        <v>285</v>
      </c>
      <c r="D558" s="39" t="s">
        <v>247</v>
      </c>
      <c r="E558" s="81">
        <v>33979</v>
      </c>
      <c r="F558" s="52"/>
      <c r="G558" s="53">
        <v>73990</v>
      </c>
      <c r="H558" s="54">
        <v>3</v>
      </c>
    </row>
    <row r="559" spans="1:8">
      <c r="A559" s="42" t="str">
        <f t="shared" si="26"/>
        <v>Project &amp; Contract Services</v>
      </c>
      <c r="B559" s="42" t="s">
        <v>365</v>
      </c>
      <c r="C559" s="46" t="s">
        <v>285</v>
      </c>
      <c r="D559" s="39" t="s">
        <v>252</v>
      </c>
      <c r="E559" s="103">
        <v>40313</v>
      </c>
      <c r="F559" s="52"/>
      <c r="G559" s="53">
        <v>27484</v>
      </c>
      <c r="H559" s="54">
        <v>4</v>
      </c>
    </row>
    <row r="560" spans="1:8">
      <c r="A560" s="42" t="str">
        <f t="shared" si="26"/>
        <v>Project &amp; Contract Services</v>
      </c>
      <c r="B560" s="42" t="s">
        <v>614</v>
      </c>
      <c r="C560" s="46" t="s">
        <v>285</v>
      </c>
      <c r="D560" s="39" t="s">
        <v>247</v>
      </c>
      <c r="E560" s="81">
        <v>36470</v>
      </c>
      <c r="F560" s="52"/>
      <c r="G560" s="53">
        <v>23560</v>
      </c>
      <c r="H560" s="54">
        <v>3</v>
      </c>
    </row>
    <row r="561" spans="1:8">
      <c r="A561" s="42" t="str">
        <f t="shared" si="26"/>
        <v>Project &amp; Contract Services</v>
      </c>
      <c r="B561" s="42" t="s">
        <v>452</v>
      </c>
      <c r="C561" s="46" t="s">
        <v>245</v>
      </c>
      <c r="D561" s="39" t="s">
        <v>261</v>
      </c>
      <c r="E561" s="81">
        <v>33994</v>
      </c>
      <c r="F561" s="52" t="s">
        <v>276</v>
      </c>
      <c r="G561" s="53">
        <v>18655</v>
      </c>
      <c r="H561" s="54">
        <v>4</v>
      </c>
    </row>
    <row r="562" spans="1:8">
      <c r="A562" s="42" t="str">
        <f t="shared" si="26"/>
        <v>Project &amp; Contract Services</v>
      </c>
      <c r="B562" s="42" t="s">
        <v>369</v>
      </c>
      <c r="C562" s="46" t="s">
        <v>245</v>
      </c>
      <c r="D562" s="39" t="s">
        <v>247</v>
      </c>
      <c r="E562" s="81">
        <v>33286</v>
      </c>
      <c r="F562" s="52"/>
      <c r="G562" s="53">
        <v>49070</v>
      </c>
      <c r="H562" s="54">
        <v>3</v>
      </c>
    </row>
    <row r="563" spans="1:8">
      <c r="A563" s="42" t="str">
        <f t="shared" si="26"/>
        <v>Project &amp; Contract Services</v>
      </c>
      <c r="B563" s="42" t="s">
        <v>747</v>
      </c>
      <c r="C563" s="46" t="s">
        <v>280</v>
      </c>
      <c r="D563" s="39" t="s">
        <v>256</v>
      </c>
      <c r="E563" s="81">
        <v>35703</v>
      </c>
      <c r="F563" s="52" t="s">
        <v>262</v>
      </c>
      <c r="G563" s="53">
        <v>66430</v>
      </c>
      <c r="H563" s="54">
        <v>2</v>
      </c>
    </row>
    <row r="564" spans="1:8">
      <c r="A564" s="42" t="str">
        <f t="shared" si="26"/>
        <v>Project &amp; Contract Services</v>
      </c>
      <c r="B564" s="42" t="s">
        <v>854</v>
      </c>
      <c r="C564" s="46" t="s">
        <v>271</v>
      </c>
      <c r="D564" s="39" t="s">
        <v>247</v>
      </c>
      <c r="E564" s="81">
        <v>36718</v>
      </c>
      <c r="F564" s="52"/>
      <c r="G564" s="53">
        <v>89520</v>
      </c>
      <c r="H564" s="54">
        <v>5</v>
      </c>
    </row>
    <row r="565" spans="1:8">
      <c r="A565" s="42" t="str">
        <f t="shared" si="26"/>
        <v>Project &amp; Contract Services</v>
      </c>
      <c r="B565" s="42" t="s">
        <v>454</v>
      </c>
      <c r="C565" s="46" t="s">
        <v>245</v>
      </c>
      <c r="D565" s="39" t="s">
        <v>256</v>
      </c>
      <c r="E565" s="81">
        <v>35776</v>
      </c>
      <c r="F565" s="52" t="s">
        <v>257</v>
      </c>
      <c r="G565" s="53">
        <v>86320</v>
      </c>
      <c r="H565" s="54">
        <v>4</v>
      </c>
    </row>
    <row r="566" spans="1:8">
      <c r="A566" s="42" t="s">
        <v>856</v>
      </c>
      <c r="B566" s="42" t="s">
        <v>929</v>
      </c>
      <c r="C566" s="46" t="s">
        <v>285</v>
      </c>
      <c r="D566" s="39" t="s">
        <v>256</v>
      </c>
      <c r="E566" s="81">
        <v>34067</v>
      </c>
      <c r="F566" s="52" t="s">
        <v>267</v>
      </c>
      <c r="G566" s="53">
        <v>86540</v>
      </c>
      <c r="H566" s="54">
        <v>4</v>
      </c>
    </row>
    <row r="567" spans="1:8">
      <c r="A567" s="42" t="str">
        <f t="shared" ref="A567:A598" si="27">A566</f>
        <v>Quality Assurance</v>
      </c>
      <c r="B567" s="42" t="s">
        <v>771</v>
      </c>
      <c r="C567" s="46" t="s">
        <v>280</v>
      </c>
      <c r="D567" s="39" t="s">
        <v>247</v>
      </c>
      <c r="E567" s="81">
        <v>35972</v>
      </c>
      <c r="F567" s="52"/>
      <c r="G567" s="53">
        <v>71710</v>
      </c>
      <c r="H567" s="54">
        <v>5</v>
      </c>
    </row>
    <row r="568" spans="1:8">
      <c r="A568" s="42" t="str">
        <f t="shared" si="27"/>
        <v>Quality Assurance</v>
      </c>
      <c r="B568" s="42" t="s">
        <v>772</v>
      </c>
      <c r="C568" s="46" t="s">
        <v>266</v>
      </c>
      <c r="D568" s="39" t="s">
        <v>256</v>
      </c>
      <c r="E568" s="81">
        <v>35714</v>
      </c>
      <c r="F568" s="52" t="s">
        <v>262</v>
      </c>
      <c r="G568" s="53">
        <v>70020</v>
      </c>
      <c r="H568" s="54">
        <v>3</v>
      </c>
    </row>
    <row r="569" spans="1:8">
      <c r="A569" s="42" t="str">
        <f t="shared" si="27"/>
        <v>Quality Assurance</v>
      </c>
      <c r="B569" s="42" t="s">
        <v>410</v>
      </c>
      <c r="C569" s="46" t="s">
        <v>271</v>
      </c>
      <c r="D569" s="39" t="s">
        <v>256</v>
      </c>
      <c r="E569" s="81">
        <v>34160</v>
      </c>
      <c r="F569" s="52" t="s">
        <v>257</v>
      </c>
      <c r="G569" s="53">
        <v>54200</v>
      </c>
      <c r="H569" s="54">
        <v>4</v>
      </c>
    </row>
    <row r="570" spans="1:8">
      <c r="A570" s="42" t="str">
        <f t="shared" si="27"/>
        <v>Quality Assurance</v>
      </c>
      <c r="B570" s="42" t="s">
        <v>932</v>
      </c>
      <c r="C570" s="46" t="s">
        <v>285</v>
      </c>
      <c r="D570" s="39" t="s">
        <v>247</v>
      </c>
      <c r="E570" s="81">
        <v>33789</v>
      </c>
      <c r="F570" s="52"/>
      <c r="G570" s="53">
        <v>59128</v>
      </c>
      <c r="H570" s="54">
        <v>4</v>
      </c>
    </row>
    <row r="571" spans="1:8">
      <c r="A571" s="42" t="str">
        <f t="shared" si="27"/>
        <v>Quality Assurance</v>
      </c>
      <c r="B571" s="42" t="s">
        <v>711</v>
      </c>
      <c r="C571" s="46" t="s">
        <v>271</v>
      </c>
      <c r="D571" s="39" t="s">
        <v>247</v>
      </c>
      <c r="E571" s="81">
        <v>38321</v>
      </c>
      <c r="F571" s="52"/>
      <c r="G571" s="53">
        <v>37980</v>
      </c>
      <c r="H571" s="54">
        <v>4</v>
      </c>
    </row>
    <row r="572" spans="1:8">
      <c r="A572" s="42" t="str">
        <f t="shared" si="27"/>
        <v>Quality Assurance</v>
      </c>
      <c r="B572" s="42" t="s">
        <v>865</v>
      </c>
      <c r="C572" s="46" t="s">
        <v>285</v>
      </c>
      <c r="D572" s="39" t="s">
        <v>256</v>
      </c>
      <c r="E572" s="81">
        <v>33526</v>
      </c>
      <c r="F572" s="52" t="s">
        <v>267</v>
      </c>
      <c r="G572" s="53">
        <v>79400</v>
      </c>
      <c r="H572" s="54">
        <v>4</v>
      </c>
    </row>
    <row r="573" spans="1:8">
      <c r="A573" s="42" t="str">
        <f t="shared" si="27"/>
        <v>Quality Assurance</v>
      </c>
      <c r="B573" s="42" t="s">
        <v>628</v>
      </c>
      <c r="C573" s="46" t="s">
        <v>285</v>
      </c>
      <c r="D573" s="39" t="s">
        <v>256</v>
      </c>
      <c r="E573" s="81">
        <v>35511</v>
      </c>
      <c r="F573" s="52" t="s">
        <v>283</v>
      </c>
      <c r="G573" s="53">
        <v>73144</v>
      </c>
      <c r="H573" s="54">
        <v>5</v>
      </c>
    </row>
    <row r="574" spans="1:8">
      <c r="A574" s="42" t="str">
        <f t="shared" si="27"/>
        <v>Quality Assurance</v>
      </c>
      <c r="B574" s="42" t="s">
        <v>680</v>
      </c>
      <c r="C574" s="46" t="s">
        <v>245</v>
      </c>
      <c r="D574" s="45" t="s">
        <v>252</v>
      </c>
      <c r="E574" s="105">
        <v>33482</v>
      </c>
      <c r="F574" s="52" t="s">
        <v>257</v>
      </c>
      <c r="G574" s="53">
        <v>29070</v>
      </c>
      <c r="H574" s="54">
        <v>3</v>
      </c>
    </row>
    <row r="575" spans="1:8">
      <c r="A575" s="42" t="str">
        <f t="shared" si="27"/>
        <v>Quality Assurance</v>
      </c>
      <c r="B575" s="42" t="s">
        <v>937</v>
      </c>
      <c r="C575" s="46" t="s">
        <v>245</v>
      </c>
      <c r="D575" s="39" t="s">
        <v>256</v>
      </c>
      <c r="E575" s="81">
        <v>36084</v>
      </c>
      <c r="F575" s="52" t="s">
        <v>257</v>
      </c>
      <c r="G575" s="53">
        <v>33210</v>
      </c>
      <c r="H575" s="54">
        <v>4</v>
      </c>
    </row>
    <row r="576" spans="1:8">
      <c r="A576" s="42" t="str">
        <f t="shared" si="27"/>
        <v>Quality Assurance</v>
      </c>
      <c r="B576" s="42" t="s">
        <v>777</v>
      </c>
      <c r="C576" s="46" t="s">
        <v>266</v>
      </c>
      <c r="D576" s="39" t="s">
        <v>247</v>
      </c>
      <c r="E576" s="81">
        <v>36192</v>
      </c>
      <c r="F576" s="52"/>
      <c r="G576" s="53">
        <v>47620</v>
      </c>
      <c r="H576" s="54">
        <v>5</v>
      </c>
    </row>
    <row r="577" spans="1:8">
      <c r="A577" s="42" t="str">
        <f t="shared" si="27"/>
        <v>Quality Assurance</v>
      </c>
      <c r="B577" s="42" t="s">
        <v>1059</v>
      </c>
      <c r="C577" s="46" t="s">
        <v>271</v>
      </c>
      <c r="D577" s="39" t="s">
        <v>261</v>
      </c>
      <c r="E577" s="81">
        <v>40293</v>
      </c>
      <c r="F577" s="52" t="s">
        <v>257</v>
      </c>
      <c r="G577" s="53">
        <v>11810</v>
      </c>
      <c r="H577" s="54">
        <v>1</v>
      </c>
    </row>
    <row r="578" spans="1:8">
      <c r="A578" s="42" t="str">
        <f t="shared" si="27"/>
        <v>Quality Assurance</v>
      </c>
      <c r="B578" s="42" t="s">
        <v>782</v>
      </c>
      <c r="C578" s="46" t="s">
        <v>271</v>
      </c>
      <c r="D578" s="39" t="s">
        <v>256</v>
      </c>
      <c r="E578" s="81">
        <v>38832</v>
      </c>
      <c r="F578" s="52" t="s">
        <v>276</v>
      </c>
      <c r="G578" s="53">
        <v>29420</v>
      </c>
      <c r="H578" s="54">
        <v>5</v>
      </c>
    </row>
    <row r="579" spans="1:8">
      <c r="A579" s="42" t="str">
        <f t="shared" si="27"/>
        <v>Quality Assurance</v>
      </c>
      <c r="B579" s="42" t="s">
        <v>939</v>
      </c>
      <c r="C579" s="46" t="s">
        <v>271</v>
      </c>
      <c r="D579" s="39" t="s">
        <v>261</v>
      </c>
      <c r="E579" s="81">
        <v>40351</v>
      </c>
      <c r="F579" s="52" t="s">
        <v>283</v>
      </c>
      <c r="G579" s="53">
        <v>20040</v>
      </c>
      <c r="H579" s="54">
        <v>3</v>
      </c>
    </row>
    <row r="580" spans="1:8">
      <c r="A580" s="42" t="str">
        <f t="shared" si="27"/>
        <v>Quality Assurance</v>
      </c>
      <c r="B580" s="42" t="s">
        <v>869</v>
      </c>
      <c r="C580" s="46" t="s">
        <v>271</v>
      </c>
      <c r="D580" s="39" t="s">
        <v>256</v>
      </c>
      <c r="E580" s="81">
        <v>34086</v>
      </c>
      <c r="F580" s="52" t="s">
        <v>257</v>
      </c>
      <c r="G580" s="53">
        <v>31840</v>
      </c>
      <c r="H580" s="54">
        <v>1</v>
      </c>
    </row>
    <row r="581" spans="1:8">
      <c r="A581" s="42" t="str">
        <f t="shared" si="27"/>
        <v>Quality Assurance</v>
      </c>
      <c r="B581" s="42" t="s">
        <v>635</v>
      </c>
      <c r="C581" s="46" t="s">
        <v>285</v>
      </c>
      <c r="D581" s="39" t="s">
        <v>256</v>
      </c>
      <c r="E581" s="81">
        <v>34222</v>
      </c>
      <c r="F581" s="52" t="s">
        <v>257</v>
      </c>
      <c r="G581" s="53">
        <v>62688</v>
      </c>
      <c r="H581" s="54">
        <v>2</v>
      </c>
    </row>
    <row r="582" spans="1:8">
      <c r="A582" s="42" t="str">
        <f t="shared" si="27"/>
        <v>Quality Assurance</v>
      </c>
      <c r="B582" s="42" t="s">
        <v>493</v>
      </c>
      <c r="C582" s="46" t="s">
        <v>271</v>
      </c>
      <c r="D582" s="39" t="s">
        <v>261</v>
      </c>
      <c r="E582" s="81">
        <v>33112</v>
      </c>
      <c r="F582" s="52" t="s">
        <v>267</v>
      </c>
      <c r="G582" s="53">
        <v>24815</v>
      </c>
      <c r="H582" s="54">
        <v>1</v>
      </c>
    </row>
    <row r="583" spans="1:8">
      <c r="A583" s="42" t="str">
        <f t="shared" si="27"/>
        <v>Quality Assurance</v>
      </c>
      <c r="B583" s="42" t="s">
        <v>250</v>
      </c>
      <c r="C583" s="46" t="s">
        <v>266</v>
      </c>
      <c r="D583" s="39" t="s">
        <v>256</v>
      </c>
      <c r="E583" s="81">
        <v>36643</v>
      </c>
      <c r="F583" s="52" t="s">
        <v>283</v>
      </c>
      <c r="G583" s="53">
        <v>71380</v>
      </c>
      <c r="H583" s="54">
        <v>2</v>
      </c>
    </row>
    <row r="584" spans="1:8">
      <c r="A584" s="42" t="str">
        <f t="shared" si="27"/>
        <v>Quality Assurance</v>
      </c>
      <c r="B584" s="42" t="s">
        <v>791</v>
      </c>
      <c r="C584" s="46" t="s">
        <v>285</v>
      </c>
      <c r="D584" s="39" t="s">
        <v>256</v>
      </c>
      <c r="E584" s="81">
        <v>40575</v>
      </c>
      <c r="F584" s="52" t="s">
        <v>276</v>
      </c>
      <c r="G584" s="53">
        <v>74710</v>
      </c>
      <c r="H584" s="54">
        <v>2</v>
      </c>
    </row>
    <row r="585" spans="1:8">
      <c r="A585" s="42" t="str">
        <f t="shared" si="27"/>
        <v>Quality Assurance</v>
      </c>
      <c r="B585" s="42" t="s">
        <v>636</v>
      </c>
      <c r="C585" s="46" t="s">
        <v>285</v>
      </c>
      <c r="D585" s="39" t="s">
        <v>256</v>
      </c>
      <c r="E585" s="81">
        <v>35969</v>
      </c>
      <c r="F585" s="52" t="s">
        <v>257</v>
      </c>
      <c r="G585" s="53">
        <v>74530</v>
      </c>
      <c r="H585" s="54">
        <v>5</v>
      </c>
    </row>
    <row r="586" spans="1:8">
      <c r="A586" s="42" t="str">
        <f t="shared" si="27"/>
        <v>Quality Assurance</v>
      </c>
      <c r="B586" s="42" t="s">
        <v>1032</v>
      </c>
      <c r="C586" s="46" t="s">
        <v>280</v>
      </c>
      <c r="D586" s="39" t="s">
        <v>252</v>
      </c>
      <c r="E586" s="103">
        <v>40452</v>
      </c>
      <c r="F586" s="52"/>
      <c r="G586" s="53">
        <v>9180</v>
      </c>
      <c r="H586" s="54">
        <v>3</v>
      </c>
    </row>
    <row r="587" spans="1:8">
      <c r="A587" s="42" t="str">
        <f t="shared" si="27"/>
        <v>Quality Assurance</v>
      </c>
      <c r="B587" s="42" t="s">
        <v>383</v>
      </c>
      <c r="C587" s="46" t="s">
        <v>251</v>
      </c>
      <c r="D587" s="39" t="s">
        <v>247</v>
      </c>
      <c r="E587" s="81">
        <v>37082</v>
      </c>
      <c r="F587" s="52"/>
      <c r="G587" s="53">
        <v>46780</v>
      </c>
      <c r="H587" s="54">
        <v>2</v>
      </c>
    </row>
    <row r="588" spans="1:8">
      <c r="A588" s="42" t="str">
        <f t="shared" si="27"/>
        <v>Quality Assurance</v>
      </c>
      <c r="B588" s="42" t="s">
        <v>639</v>
      </c>
      <c r="C588" s="46" t="s">
        <v>245</v>
      </c>
      <c r="D588" s="39" t="s">
        <v>256</v>
      </c>
      <c r="E588" s="81">
        <v>37936</v>
      </c>
      <c r="F588" s="52" t="s">
        <v>283</v>
      </c>
      <c r="G588" s="53">
        <v>30920</v>
      </c>
      <c r="H588" s="54">
        <v>5</v>
      </c>
    </row>
    <row r="589" spans="1:8">
      <c r="A589" s="42" t="str">
        <f t="shared" si="27"/>
        <v>Quality Assurance</v>
      </c>
      <c r="B589" s="42" t="s">
        <v>326</v>
      </c>
      <c r="C589" s="46" t="s">
        <v>266</v>
      </c>
      <c r="D589" s="39" t="s">
        <v>247</v>
      </c>
      <c r="E589" s="81">
        <v>36199</v>
      </c>
      <c r="F589" s="52"/>
      <c r="G589" s="53">
        <v>31270</v>
      </c>
      <c r="H589" s="54">
        <v>5</v>
      </c>
    </row>
    <row r="590" spans="1:8">
      <c r="A590" s="42" t="str">
        <f t="shared" si="27"/>
        <v>Quality Assurance</v>
      </c>
      <c r="B590" s="42" t="s">
        <v>965</v>
      </c>
      <c r="C590" s="46" t="s">
        <v>245</v>
      </c>
      <c r="D590" s="39" t="s">
        <v>247</v>
      </c>
      <c r="E590" s="81">
        <v>34726</v>
      </c>
      <c r="F590" s="52"/>
      <c r="G590" s="53">
        <v>33120</v>
      </c>
      <c r="H590" s="54">
        <v>2</v>
      </c>
    </row>
    <row r="591" spans="1:8">
      <c r="A591" s="42" t="str">
        <f t="shared" si="27"/>
        <v>Quality Assurance</v>
      </c>
      <c r="B591" s="42" t="s">
        <v>966</v>
      </c>
      <c r="C591" s="46" t="s">
        <v>251</v>
      </c>
      <c r="D591" s="39" t="s">
        <v>256</v>
      </c>
      <c r="E591" s="81">
        <v>33957</v>
      </c>
      <c r="F591" s="52" t="s">
        <v>262</v>
      </c>
      <c r="G591" s="53">
        <v>59490</v>
      </c>
      <c r="H591" s="54">
        <v>3</v>
      </c>
    </row>
    <row r="592" spans="1:8">
      <c r="A592" s="42" t="str">
        <f t="shared" si="27"/>
        <v>Quality Assurance</v>
      </c>
      <c r="B592" s="42" t="s">
        <v>967</v>
      </c>
      <c r="C592" s="46" t="s">
        <v>271</v>
      </c>
      <c r="D592" s="39" t="s">
        <v>252</v>
      </c>
      <c r="E592" s="81">
        <v>39747</v>
      </c>
      <c r="F592" s="52"/>
      <c r="G592" s="53">
        <v>10572</v>
      </c>
      <c r="H592" s="54">
        <v>4</v>
      </c>
    </row>
    <row r="593" spans="1:8">
      <c r="A593" s="42" t="str">
        <f t="shared" si="27"/>
        <v>Quality Assurance</v>
      </c>
      <c r="B593" s="42" t="s">
        <v>888</v>
      </c>
      <c r="C593" s="46" t="s">
        <v>271</v>
      </c>
      <c r="D593" s="39" t="s">
        <v>256</v>
      </c>
      <c r="E593" s="81">
        <v>36088</v>
      </c>
      <c r="F593" s="52" t="s">
        <v>267</v>
      </c>
      <c r="G593" s="53">
        <v>54580</v>
      </c>
      <c r="H593" s="54">
        <v>4</v>
      </c>
    </row>
    <row r="594" spans="1:8">
      <c r="A594" s="42" t="str">
        <f t="shared" si="27"/>
        <v>Quality Assurance</v>
      </c>
      <c r="B594" s="42" t="s">
        <v>817</v>
      </c>
      <c r="C594" s="46" t="s">
        <v>271</v>
      </c>
      <c r="D594" s="39" t="s">
        <v>256</v>
      </c>
      <c r="E594" s="81">
        <v>34061</v>
      </c>
      <c r="F594" s="52" t="s">
        <v>257</v>
      </c>
      <c r="G594" s="53">
        <v>23320</v>
      </c>
      <c r="H594" s="54">
        <v>4</v>
      </c>
    </row>
    <row r="595" spans="1:8">
      <c r="A595" s="42" t="str">
        <f t="shared" si="27"/>
        <v>Quality Assurance</v>
      </c>
      <c r="B595" s="42" t="s">
        <v>971</v>
      </c>
      <c r="C595" s="46" t="s">
        <v>266</v>
      </c>
      <c r="D595" s="39" t="s">
        <v>247</v>
      </c>
      <c r="E595" s="81">
        <v>40468</v>
      </c>
      <c r="F595" s="52"/>
      <c r="G595" s="53">
        <v>39440</v>
      </c>
      <c r="H595" s="54">
        <v>4</v>
      </c>
    </row>
    <row r="596" spans="1:8">
      <c r="A596" s="42" t="str">
        <f t="shared" si="27"/>
        <v>Quality Assurance</v>
      </c>
      <c r="B596" s="42" t="s">
        <v>648</v>
      </c>
      <c r="C596" s="46" t="s">
        <v>266</v>
      </c>
      <c r="D596" s="39" t="s">
        <v>256</v>
      </c>
      <c r="E596" s="81">
        <v>37793</v>
      </c>
      <c r="F596" s="52" t="s">
        <v>257</v>
      </c>
      <c r="G596" s="53">
        <v>29210</v>
      </c>
      <c r="H596" s="54">
        <v>5</v>
      </c>
    </row>
    <row r="597" spans="1:8">
      <c r="A597" s="42" t="str">
        <f t="shared" si="27"/>
        <v>Quality Assurance</v>
      </c>
      <c r="B597" s="42" t="s">
        <v>895</v>
      </c>
      <c r="C597" s="46" t="s">
        <v>271</v>
      </c>
      <c r="D597" s="39" t="s">
        <v>261</v>
      </c>
      <c r="E597" s="81">
        <v>33391</v>
      </c>
      <c r="F597" s="52" t="s">
        <v>283</v>
      </c>
      <c r="G597" s="53">
        <v>13455</v>
      </c>
      <c r="H597" s="54">
        <v>2</v>
      </c>
    </row>
    <row r="598" spans="1:8">
      <c r="A598" s="42" t="str">
        <f t="shared" si="27"/>
        <v>Quality Assurance</v>
      </c>
      <c r="B598" s="42" t="s">
        <v>699</v>
      </c>
      <c r="C598" s="46" t="s">
        <v>245</v>
      </c>
      <c r="D598" s="39" t="s">
        <v>256</v>
      </c>
      <c r="E598" s="81">
        <v>34670</v>
      </c>
      <c r="F598" s="52" t="s">
        <v>257</v>
      </c>
      <c r="G598" s="53">
        <v>69510</v>
      </c>
      <c r="H598" s="54">
        <v>5</v>
      </c>
    </row>
    <row r="599" spans="1:8">
      <c r="A599" s="42" t="str">
        <f t="shared" ref="A599:A630" si="28">A598</f>
        <v>Quality Assurance</v>
      </c>
      <c r="B599" s="42" t="s">
        <v>652</v>
      </c>
      <c r="C599" s="46" t="s">
        <v>280</v>
      </c>
      <c r="D599" s="39" t="s">
        <v>261</v>
      </c>
      <c r="E599" s="81">
        <v>36196</v>
      </c>
      <c r="F599" s="52" t="s">
        <v>257</v>
      </c>
      <c r="G599" s="53">
        <v>34980</v>
      </c>
      <c r="H599" s="54">
        <v>2</v>
      </c>
    </row>
    <row r="600" spans="1:8">
      <c r="A600" s="42" t="str">
        <f t="shared" si="28"/>
        <v>Quality Assurance</v>
      </c>
      <c r="B600" s="42" t="s">
        <v>977</v>
      </c>
      <c r="C600" s="46" t="s">
        <v>251</v>
      </c>
      <c r="D600" s="45" t="s">
        <v>252</v>
      </c>
      <c r="E600" s="105">
        <v>33846</v>
      </c>
      <c r="F600" s="52"/>
      <c r="G600" s="53">
        <v>35680</v>
      </c>
      <c r="H600" s="54">
        <v>2</v>
      </c>
    </row>
    <row r="601" spans="1:8">
      <c r="A601" s="42" t="str">
        <f t="shared" si="28"/>
        <v>Quality Assurance</v>
      </c>
      <c r="B601" s="42" t="s">
        <v>540</v>
      </c>
      <c r="C601" s="46" t="s">
        <v>245</v>
      </c>
      <c r="D601" s="39" t="s">
        <v>256</v>
      </c>
      <c r="E601" s="81">
        <v>37436</v>
      </c>
      <c r="F601" s="52" t="s">
        <v>267</v>
      </c>
      <c r="G601" s="53">
        <v>64130</v>
      </c>
      <c r="H601" s="54">
        <v>1</v>
      </c>
    </row>
    <row r="602" spans="1:8">
      <c r="A602" s="42" t="str">
        <f t="shared" si="28"/>
        <v>Quality Assurance</v>
      </c>
      <c r="B602" s="42" t="s">
        <v>687</v>
      </c>
      <c r="C602" s="46" t="s">
        <v>271</v>
      </c>
      <c r="D602" s="39" t="s">
        <v>256</v>
      </c>
      <c r="E602" s="81">
        <v>33222</v>
      </c>
      <c r="F602" s="52" t="s">
        <v>257</v>
      </c>
      <c r="G602" s="53">
        <v>53900</v>
      </c>
      <c r="H602" s="54">
        <v>5</v>
      </c>
    </row>
    <row r="603" spans="1:8">
      <c r="A603" s="42" t="str">
        <f t="shared" si="28"/>
        <v>Quality Assurance</v>
      </c>
      <c r="B603" s="42" t="s">
        <v>726</v>
      </c>
      <c r="C603" s="46" t="s">
        <v>271</v>
      </c>
      <c r="D603" s="39" t="s">
        <v>256</v>
      </c>
      <c r="E603" s="81">
        <v>35501</v>
      </c>
      <c r="F603" s="52" t="s">
        <v>283</v>
      </c>
      <c r="G603" s="53">
        <v>37750</v>
      </c>
      <c r="H603" s="54">
        <v>5</v>
      </c>
    </row>
    <row r="604" spans="1:8">
      <c r="A604" s="42" t="str">
        <f t="shared" si="28"/>
        <v>Quality Assurance</v>
      </c>
      <c r="B604" s="42" t="s">
        <v>822</v>
      </c>
      <c r="C604" s="46" t="s">
        <v>251</v>
      </c>
      <c r="D604" s="39" t="s">
        <v>256</v>
      </c>
      <c r="E604" s="81">
        <v>34301</v>
      </c>
      <c r="F604" s="52" t="s">
        <v>257</v>
      </c>
      <c r="G604" s="53">
        <v>73440</v>
      </c>
      <c r="H604" s="54">
        <v>1</v>
      </c>
    </row>
    <row r="605" spans="1:8">
      <c r="A605" s="42" t="str">
        <f t="shared" si="28"/>
        <v>Quality Assurance</v>
      </c>
      <c r="B605" s="42" t="s">
        <v>545</v>
      </c>
      <c r="C605" s="46" t="s">
        <v>245</v>
      </c>
      <c r="D605" s="39" t="s">
        <v>256</v>
      </c>
      <c r="E605" s="81">
        <v>36413</v>
      </c>
      <c r="F605" s="52" t="s">
        <v>257</v>
      </c>
      <c r="G605" s="53">
        <v>40060</v>
      </c>
      <c r="H605" s="54">
        <v>3</v>
      </c>
    </row>
    <row r="606" spans="1:8">
      <c r="A606" s="42" t="str">
        <f t="shared" si="28"/>
        <v>Quality Assurance</v>
      </c>
      <c r="B606" s="42" t="s">
        <v>658</v>
      </c>
      <c r="C606" s="46" t="s">
        <v>251</v>
      </c>
      <c r="D606" s="39" t="s">
        <v>252</v>
      </c>
      <c r="E606" s="81">
        <v>39893</v>
      </c>
      <c r="F606" s="52"/>
      <c r="G606" s="53">
        <v>15744</v>
      </c>
      <c r="H606" s="54">
        <v>3</v>
      </c>
    </row>
    <row r="607" spans="1:8">
      <c r="A607" s="42" t="str">
        <f t="shared" si="28"/>
        <v>Quality Assurance</v>
      </c>
      <c r="B607" s="42" t="s">
        <v>701</v>
      </c>
      <c r="C607" s="46" t="s">
        <v>280</v>
      </c>
      <c r="D607" s="39" t="s">
        <v>261</v>
      </c>
      <c r="E607" s="81">
        <v>36121</v>
      </c>
      <c r="F607" s="52" t="s">
        <v>283</v>
      </c>
      <c r="G607" s="53">
        <v>28880</v>
      </c>
      <c r="H607" s="54">
        <v>3</v>
      </c>
    </row>
    <row r="608" spans="1:8">
      <c r="A608" s="42" t="str">
        <f t="shared" si="28"/>
        <v>Quality Assurance</v>
      </c>
      <c r="B608" s="42" t="s">
        <v>341</v>
      </c>
      <c r="C608" s="46" t="s">
        <v>271</v>
      </c>
      <c r="D608" s="39" t="s">
        <v>256</v>
      </c>
      <c r="E608" s="81">
        <v>33280</v>
      </c>
      <c r="F608" s="52" t="s">
        <v>257</v>
      </c>
      <c r="G608" s="53">
        <v>87950</v>
      </c>
      <c r="H608" s="54">
        <v>4</v>
      </c>
    </row>
    <row r="609" spans="1:8">
      <c r="A609" s="42" t="str">
        <f t="shared" si="28"/>
        <v>Quality Assurance</v>
      </c>
      <c r="B609" s="42" t="s">
        <v>903</v>
      </c>
      <c r="C609" s="46" t="s">
        <v>285</v>
      </c>
      <c r="D609" s="39" t="s">
        <v>256</v>
      </c>
      <c r="E609" s="81">
        <v>39446</v>
      </c>
      <c r="F609" s="52" t="s">
        <v>257</v>
      </c>
      <c r="G609" s="53">
        <v>44650</v>
      </c>
      <c r="H609" s="54">
        <v>1</v>
      </c>
    </row>
    <row r="610" spans="1:8">
      <c r="A610" s="42" t="str">
        <f t="shared" si="28"/>
        <v>Quality Assurance</v>
      </c>
      <c r="B610" s="42" t="s">
        <v>343</v>
      </c>
      <c r="C610" s="46" t="s">
        <v>245</v>
      </c>
      <c r="D610" s="39" t="s">
        <v>261</v>
      </c>
      <c r="E610" s="81">
        <v>33472</v>
      </c>
      <c r="F610" s="52" t="s">
        <v>262</v>
      </c>
      <c r="G610" s="53">
        <v>13800</v>
      </c>
      <c r="H610" s="54">
        <v>3</v>
      </c>
    </row>
    <row r="611" spans="1:8">
      <c r="A611" s="42" t="str">
        <f t="shared" si="28"/>
        <v>Quality Assurance</v>
      </c>
      <c r="B611" s="42" t="s">
        <v>1034</v>
      </c>
      <c r="C611" s="46" t="s">
        <v>245</v>
      </c>
      <c r="D611" s="39" t="s">
        <v>261</v>
      </c>
      <c r="E611" s="103">
        <v>40393</v>
      </c>
      <c r="F611" s="52" t="s">
        <v>257</v>
      </c>
      <c r="G611" s="53">
        <v>16925</v>
      </c>
      <c r="H611" s="54">
        <v>1</v>
      </c>
    </row>
    <row r="612" spans="1:8">
      <c r="A612" s="42" t="str">
        <f t="shared" si="28"/>
        <v>Quality Assurance</v>
      </c>
      <c r="B612" s="42" t="s">
        <v>565</v>
      </c>
      <c r="C612" s="46" t="s">
        <v>271</v>
      </c>
      <c r="D612" s="39" t="s">
        <v>247</v>
      </c>
      <c r="E612" s="81">
        <v>33562</v>
      </c>
      <c r="F612" s="52"/>
      <c r="G612" s="53">
        <v>57500</v>
      </c>
      <c r="H612" s="54">
        <v>1</v>
      </c>
    </row>
    <row r="613" spans="1:8">
      <c r="A613" s="42" t="str">
        <f t="shared" si="28"/>
        <v>Quality Assurance</v>
      </c>
      <c r="B613" s="42" t="s">
        <v>995</v>
      </c>
      <c r="C613" s="46" t="s">
        <v>285</v>
      </c>
      <c r="D613" s="39" t="s">
        <v>261</v>
      </c>
      <c r="E613" s="81">
        <v>39299</v>
      </c>
      <c r="F613" s="52" t="s">
        <v>276</v>
      </c>
      <c r="G613" s="53">
        <v>47760</v>
      </c>
      <c r="H613" s="54">
        <v>3</v>
      </c>
    </row>
    <row r="614" spans="1:8">
      <c r="A614" s="42" t="str">
        <f t="shared" si="28"/>
        <v>Quality Assurance</v>
      </c>
      <c r="B614" s="42" t="s">
        <v>255</v>
      </c>
      <c r="C614" s="46" t="s">
        <v>245</v>
      </c>
      <c r="D614" s="39" t="s">
        <v>256</v>
      </c>
      <c r="E614" s="103">
        <v>40400</v>
      </c>
      <c r="F614" s="52" t="s">
        <v>283</v>
      </c>
      <c r="G614" s="53">
        <v>79150</v>
      </c>
      <c r="H614" s="54">
        <v>2</v>
      </c>
    </row>
    <row r="615" spans="1:8">
      <c r="A615" s="42" t="str">
        <f t="shared" si="28"/>
        <v>Quality Assurance</v>
      </c>
      <c r="B615" s="42" t="s">
        <v>569</v>
      </c>
      <c r="C615" s="46" t="s">
        <v>271</v>
      </c>
      <c r="D615" s="39" t="s">
        <v>247</v>
      </c>
      <c r="E615" s="81">
        <v>34761</v>
      </c>
      <c r="F615" s="52"/>
      <c r="G615" s="53">
        <v>45040</v>
      </c>
      <c r="H615" s="54">
        <v>5</v>
      </c>
    </row>
    <row r="616" spans="1:8">
      <c r="A616" s="42" t="str">
        <f t="shared" si="28"/>
        <v>Quality Assurance</v>
      </c>
      <c r="B616" s="42" t="s">
        <v>661</v>
      </c>
      <c r="C616" s="46" t="s">
        <v>271</v>
      </c>
      <c r="D616" s="39" t="s">
        <v>256</v>
      </c>
      <c r="E616" s="81">
        <v>34800</v>
      </c>
      <c r="F616" s="52" t="s">
        <v>262</v>
      </c>
      <c r="G616" s="53">
        <v>82700</v>
      </c>
      <c r="H616" s="54">
        <v>3</v>
      </c>
    </row>
    <row r="617" spans="1:8">
      <c r="A617" s="42" t="str">
        <f t="shared" si="28"/>
        <v>Quality Assurance</v>
      </c>
      <c r="B617" s="42" t="s">
        <v>999</v>
      </c>
      <c r="C617" s="46" t="s">
        <v>266</v>
      </c>
      <c r="D617" s="39" t="s">
        <v>256</v>
      </c>
      <c r="E617" s="81">
        <v>33320</v>
      </c>
      <c r="F617" s="52" t="s">
        <v>276</v>
      </c>
      <c r="G617" s="53">
        <v>35320</v>
      </c>
      <c r="H617" s="54">
        <v>3</v>
      </c>
    </row>
    <row r="618" spans="1:8">
      <c r="A618" s="42" t="str">
        <f t="shared" si="28"/>
        <v>Quality Assurance</v>
      </c>
      <c r="B618" s="42" t="s">
        <v>415</v>
      </c>
      <c r="C618" s="46" t="s">
        <v>285</v>
      </c>
      <c r="D618" s="39" t="s">
        <v>256</v>
      </c>
      <c r="E618" s="81">
        <v>36175</v>
      </c>
      <c r="F618" s="52" t="s">
        <v>283</v>
      </c>
      <c r="G618" s="53">
        <v>23520</v>
      </c>
      <c r="H618" s="54">
        <v>2</v>
      </c>
    </row>
    <row r="619" spans="1:8">
      <c r="A619" s="42" t="str">
        <f t="shared" si="28"/>
        <v>Quality Assurance</v>
      </c>
      <c r="B619" s="42" t="s">
        <v>406</v>
      </c>
      <c r="C619" s="46" t="s">
        <v>285</v>
      </c>
      <c r="D619" s="39" t="s">
        <v>247</v>
      </c>
      <c r="E619" s="81">
        <v>33578</v>
      </c>
      <c r="F619" s="52"/>
      <c r="G619" s="53">
        <v>50840</v>
      </c>
      <c r="H619" s="54">
        <v>4</v>
      </c>
    </row>
    <row r="620" spans="1:8">
      <c r="A620" s="42" t="str">
        <f t="shared" si="28"/>
        <v>Quality Assurance</v>
      </c>
      <c r="B620" s="42" t="s">
        <v>443</v>
      </c>
      <c r="C620" s="46" t="s">
        <v>271</v>
      </c>
      <c r="D620" s="39" t="s">
        <v>247</v>
      </c>
      <c r="E620" s="81">
        <v>34912</v>
      </c>
      <c r="F620" s="52"/>
      <c r="G620" s="53">
        <v>40560</v>
      </c>
      <c r="H620" s="54">
        <v>5</v>
      </c>
    </row>
    <row r="621" spans="1:8">
      <c r="A621" s="42" t="str">
        <f t="shared" si="28"/>
        <v>Quality Assurance</v>
      </c>
      <c r="B621" s="42" t="s">
        <v>592</v>
      </c>
      <c r="C621" s="46" t="s">
        <v>271</v>
      </c>
      <c r="D621" s="39" t="s">
        <v>256</v>
      </c>
      <c r="E621" s="81">
        <v>33642</v>
      </c>
      <c r="F621" s="52" t="s">
        <v>257</v>
      </c>
      <c r="G621" s="53">
        <v>79770</v>
      </c>
      <c r="H621" s="54">
        <v>4</v>
      </c>
    </row>
    <row r="622" spans="1:8">
      <c r="A622" s="42" t="str">
        <f t="shared" si="28"/>
        <v>Quality Assurance</v>
      </c>
      <c r="B622" s="42" t="s">
        <v>833</v>
      </c>
      <c r="C622" s="46" t="s">
        <v>266</v>
      </c>
      <c r="D622" s="39" t="s">
        <v>256</v>
      </c>
      <c r="E622" s="81">
        <v>36569</v>
      </c>
      <c r="F622" s="52" t="s">
        <v>283</v>
      </c>
      <c r="G622" s="53">
        <v>75060</v>
      </c>
      <c r="H622" s="54">
        <v>5</v>
      </c>
    </row>
    <row r="623" spans="1:8">
      <c r="A623" s="42" t="str">
        <f t="shared" si="28"/>
        <v>Quality Assurance</v>
      </c>
      <c r="B623" s="42" t="s">
        <v>355</v>
      </c>
      <c r="C623" s="46" t="s">
        <v>245</v>
      </c>
      <c r="D623" s="39" t="s">
        <v>247</v>
      </c>
      <c r="E623" s="81">
        <v>36350</v>
      </c>
      <c r="F623" s="52"/>
      <c r="G623" s="53">
        <v>27380</v>
      </c>
      <c r="H623" s="54">
        <v>3</v>
      </c>
    </row>
    <row r="624" spans="1:8">
      <c r="A624" s="42" t="str">
        <f t="shared" si="28"/>
        <v>Quality Assurance</v>
      </c>
      <c r="B624" s="42" t="s">
        <v>1009</v>
      </c>
      <c r="C624" s="46" t="s">
        <v>251</v>
      </c>
      <c r="D624" s="39" t="s">
        <v>256</v>
      </c>
      <c r="E624" s="81">
        <v>35857</v>
      </c>
      <c r="F624" s="52" t="s">
        <v>283</v>
      </c>
      <c r="G624" s="53">
        <v>82110</v>
      </c>
      <c r="H624" s="54">
        <v>3</v>
      </c>
    </row>
    <row r="625" spans="1:8">
      <c r="A625" s="42" t="str">
        <f t="shared" si="28"/>
        <v>Quality Assurance</v>
      </c>
      <c r="B625" s="42" t="s">
        <v>836</v>
      </c>
      <c r="C625" s="46" t="s">
        <v>245</v>
      </c>
      <c r="D625" s="39" t="s">
        <v>247</v>
      </c>
      <c r="E625" s="81">
        <v>39922</v>
      </c>
      <c r="F625" s="52"/>
      <c r="G625" s="53">
        <v>25790</v>
      </c>
      <c r="H625" s="54">
        <v>3</v>
      </c>
    </row>
    <row r="626" spans="1:8">
      <c r="A626" s="42" t="str">
        <f t="shared" si="28"/>
        <v>Quality Assurance</v>
      </c>
      <c r="B626" s="42" t="s">
        <v>1013</v>
      </c>
      <c r="C626" s="46" t="s">
        <v>285</v>
      </c>
      <c r="D626" s="39" t="s">
        <v>256</v>
      </c>
      <c r="E626" s="81">
        <v>39047</v>
      </c>
      <c r="F626" s="52" t="s">
        <v>283</v>
      </c>
      <c r="G626" s="53">
        <v>65880</v>
      </c>
      <c r="H626" s="54">
        <v>5</v>
      </c>
    </row>
    <row r="627" spans="1:8">
      <c r="A627" s="42" t="str">
        <f t="shared" si="28"/>
        <v>Quality Assurance</v>
      </c>
      <c r="B627" s="42" t="s">
        <v>363</v>
      </c>
      <c r="C627" s="46" t="s">
        <v>280</v>
      </c>
      <c r="D627" s="39" t="s">
        <v>256</v>
      </c>
      <c r="E627" s="81">
        <v>35667</v>
      </c>
      <c r="F627" s="52" t="s">
        <v>257</v>
      </c>
      <c r="G627" s="53">
        <v>40920</v>
      </c>
      <c r="H627" s="54">
        <v>4</v>
      </c>
    </row>
    <row r="628" spans="1:8">
      <c r="A628" s="42" t="str">
        <f t="shared" si="28"/>
        <v>Quality Assurance</v>
      </c>
      <c r="B628" s="42" t="s">
        <v>924</v>
      </c>
      <c r="C628" s="46" t="s">
        <v>285</v>
      </c>
      <c r="D628" s="39" t="s">
        <v>256</v>
      </c>
      <c r="E628" s="81">
        <v>38347</v>
      </c>
      <c r="F628" s="52" t="s">
        <v>283</v>
      </c>
      <c r="G628" s="53">
        <v>81340</v>
      </c>
      <c r="H628" s="54">
        <v>2</v>
      </c>
    </row>
    <row r="629" spans="1:8">
      <c r="A629" s="42" t="str">
        <f t="shared" si="28"/>
        <v>Quality Assurance</v>
      </c>
      <c r="B629" s="42" t="s">
        <v>746</v>
      </c>
      <c r="C629" s="46" t="s">
        <v>245</v>
      </c>
      <c r="D629" s="39" t="s">
        <v>252</v>
      </c>
      <c r="E629" s="81">
        <v>36059</v>
      </c>
      <c r="F629" s="52"/>
      <c r="G629" s="53">
        <v>18500</v>
      </c>
      <c r="H629" s="54">
        <v>5</v>
      </c>
    </row>
    <row r="630" spans="1:8">
      <c r="A630" s="42" t="str">
        <f t="shared" si="28"/>
        <v>Quality Assurance</v>
      </c>
      <c r="B630" s="42" t="s">
        <v>1018</v>
      </c>
      <c r="C630" s="46" t="s">
        <v>285</v>
      </c>
      <c r="D630" s="39" t="s">
        <v>256</v>
      </c>
      <c r="E630" s="81">
        <v>35379</v>
      </c>
      <c r="F630" s="52" t="s">
        <v>276</v>
      </c>
      <c r="G630" s="53">
        <v>67230</v>
      </c>
      <c r="H630" s="54">
        <v>4</v>
      </c>
    </row>
    <row r="631" spans="1:8">
      <c r="A631" s="42" t="str">
        <f t="shared" ref="A631:A638" si="29">A630</f>
        <v>Quality Assurance</v>
      </c>
      <c r="B631" s="42" t="s">
        <v>926</v>
      </c>
      <c r="C631" s="46" t="s">
        <v>266</v>
      </c>
      <c r="D631" s="39" t="s">
        <v>256</v>
      </c>
      <c r="E631" s="81">
        <v>39728</v>
      </c>
      <c r="F631" s="52" t="s">
        <v>257</v>
      </c>
      <c r="G631" s="53">
        <v>82370</v>
      </c>
      <c r="H631" s="54">
        <v>5</v>
      </c>
    </row>
    <row r="632" spans="1:8">
      <c r="A632" s="42" t="str">
        <f t="shared" si="29"/>
        <v>Quality Assurance</v>
      </c>
      <c r="B632" s="42" t="s">
        <v>675</v>
      </c>
      <c r="C632" s="46" t="s">
        <v>245</v>
      </c>
      <c r="D632" s="39" t="s">
        <v>256</v>
      </c>
      <c r="E632" s="81">
        <v>39815</v>
      </c>
      <c r="F632" s="52" t="s">
        <v>283</v>
      </c>
      <c r="G632" s="53">
        <v>72060</v>
      </c>
      <c r="H632" s="54">
        <v>2</v>
      </c>
    </row>
    <row r="633" spans="1:8">
      <c r="A633" s="42" t="str">
        <f t="shared" si="29"/>
        <v>Quality Assurance</v>
      </c>
      <c r="B633" s="42" t="s">
        <v>613</v>
      </c>
      <c r="C633" s="46" t="s">
        <v>271</v>
      </c>
      <c r="D633" s="39" t="s">
        <v>247</v>
      </c>
      <c r="E633" s="81">
        <v>33774</v>
      </c>
      <c r="F633" s="52"/>
      <c r="G633" s="53">
        <v>32190</v>
      </c>
      <c r="H633" s="54">
        <v>3</v>
      </c>
    </row>
    <row r="634" spans="1:8">
      <c r="A634" s="42" t="str">
        <f t="shared" si="29"/>
        <v>Quality Assurance</v>
      </c>
      <c r="B634" s="42" t="s">
        <v>368</v>
      </c>
      <c r="C634" s="46" t="s">
        <v>251</v>
      </c>
      <c r="D634" s="39" t="s">
        <v>256</v>
      </c>
      <c r="E634" s="81">
        <v>38377</v>
      </c>
      <c r="F634" s="52" t="s">
        <v>257</v>
      </c>
      <c r="G634" s="53">
        <v>41060</v>
      </c>
      <c r="H634" s="54">
        <v>3</v>
      </c>
    </row>
    <row r="635" spans="1:8">
      <c r="A635" s="42" t="str">
        <f t="shared" si="29"/>
        <v>Quality Assurance</v>
      </c>
      <c r="B635" s="42" t="s">
        <v>927</v>
      </c>
      <c r="C635" s="46" t="s">
        <v>285</v>
      </c>
      <c r="D635" s="39" t="s">
        <v>256</v>
      </c>
      <c r="E635" s="81">
        <v>35918</v>
      </c>
      <c r="F635" s="52" t="s">
        <v>262</v>
      </c>
      <c r="G635" s="53">
        <v>73740</v>
      </c>
      <c r="H635" s="54">
        <v>4</v>
      </c>
    </row>
    <row r="636" spans="1:8">
      <c r="A636" s="42" t="str">
        <f t="shared" si="29"/>
        <v>Quality Assurance</v>
      </c>
      <c r="B636" s="42" t="s">
        <v>1022</v>
      </c>
      <c r="C636" s="46" t="s">
        <v>271</v>
      </c>
      <c r="D636" s="39" t="s">
        <v>247</v>
      </c>
      <c r="E636" s="81">
        <v>36787</v>
      </c>
      <c r="F636" s="52"/>
      <c r="G636" s="53">
        <v>89640</v>
      </c>
      <c r="H636" s="54">
        <v>4</v>
      </c>
    </row>
    <row r="637" spans="1:8">
      <c r="A637" s="42" t="str">
        <f t="shared" si="29"/>
        <v>Quality Assurance</v>
      </c>
      <c r="B637" s="42" t="s">
        <v>616</v>
      </c>
      <c r="C637" s="46" t="s">
        <v>285</v>
      </c>
      <c r="D637" s="39" t="s">
        <v>256</v>
      </c>
      <c r="E637" s="81">
        <v>36143</v>
      </c>
      <c r="F637" s="52" t="s">
        <v>283</v>
      </c>
      <c r="G637" s="53">
        <v>72090</v>
      </c>
      <c r="H637" s="54">
        <v>5</v>
      </c>
    </row>
    <row r="638" spans="1:8">
      <c r="A638" s="42" t="str">
        <f t="shared" si="29"/>
        <v>Quality Assurance</v>
      </c>
      <c r="B638" s="42" t="s">
        <v>370</v>
      </c>
      <c r="C638" s="46" t="s">
        <v>266</v>
      </c>
      <c r="D638" s="39" t="s">
        <v>256</v>
      </c>
      <c r="E638" s="81">
        <v>34213</v>
      </c>
      <c r="F638" s="52" t="s">
        <v>257</v>
      </c>
      <c r="G638" s="53">
        <v>72900</v>
      </c>
      <c r="H638" s="54">
        <v>3</v>
      </c>
    </row>
    <row r="639" spans="1:8">
      <c r="A639" s="42" t="s">
        <v>930</v>
      </c>
      <c r="B639" s="42" t="s">
        <v>467</v>
      </c>
      <c r="C639" s="46" t="s">
        <v>285</v>
      </c>
      <c r="D639" s="39" t="s">
        <v>256</v>
      </c>
      <c r="E639" s="81">
        <v>34425</v>
      </c>
      <c r="F639" s="52" t="s">
        <v>283</v>
      </c>
      <c r="G639" s="53">
        <v>73850</v>
      </c>
      <c r="H639" s="54">
        <v>2</v>
      </c>
    </row>
    <row r="640" spans="1:8">
      <c r="A640" s="42" t="str">
        <f t="shared" ref="A640:A671" si="30">A639</f>
        <v>Quality Control</v>
      </c>
      <c r="B640" s="42" t="s">
        <v>862</v>
      </c>
      <c r="C640" s="46" t="s">
        <v>285</v>
      </c>
      <c r="D640" s="39" t="s">
        <v>261</v>
      </c>
      <c r="E640" s="81">
        <v>37141</v>
      </c>
      <c r="F640" s="52" t="s">
        <v>276</v>
      </c>
      <c r="G640" s="53">
        <v>15910</v>
      </c>
      <c r="H640" s="54">
        <v>3</v>
      </c>
    </row>
    <row r="641" spans="1:8">
      <c r="A641" s="42" t="str">
        <f t="shared" si="30"/>
        <v>Quality Control</v>
      </c>
      <c r="B641" s="42" t="s">
        <v>773</v>
      </c>
      <c r="C641" s="46" t="s">
        <v>271</v>
      </c>
      <c r="D641" s="39" t="s">
        <v>247</v>
      </c>
      <c r="E641" s="81">
        <v>36704</v>
      </c>
      <c r="F641" s="52"/>
      <c r="G641" s="53">
        <v>57760</v>
      </c>
      <c r="H641" s="54">
        <v>3</v>
      </c>
    </row>
    <row r="642" spans="1:8">
      <c r="A642" s="42" t="str">
        <f t="shared" si="30"/>
        <v>Quality Control</v>
      </c>
      <c r="B642" s="42" t="s">
        <v>470</v>
      </c>
      <c r="C642" s="46" t="s">
        <v>266</v>
      </c>
      <c r="D642" s="39" t="s">
        <v>256</v>
      </c>
      <c r="E642" s="81">
        <v>33385</v>
      </c>
      <c r="F642" s="52" t="s">
        <v>257</v>
      </c>
      <c r="G642" s="53">
        <v>89140</v>
      </c>
      <c r="H642" s="54">
        <v>1</v>
      </c>
    </row>
    <row r="643" spans="1:8">
      <c r="A643" s="42" t="str">
        <f t="shared" si="30"/>
        <v>Quality Control</v>
      </c>
      <c r="B643" s="42" t="s">
        <v>311</v>
      </c>
      <c r="C643" s="46" t="s">
        <v>245</v>
      </c>
      <c r="D643" s="39" t="s">
        <v>247</v>
      </c>
      <c r="E643" s="81">
        <v>38289</v>
      </c>
      <c r="F643" s="52"/>
      <c r="G643" s="53">
        <v>71830</v>
      </c>
      <c r="H643" s="54">
        <v>3</v>
      </c>
    </row>
    <row r="644" spans="1:8">
      <c r="A644" s="42" t="str">
        <f t="shared" si="30"/>
        <v>Quality Control</v>
      </c>
      <c r="B644" s="42" t="s">
        <v>775</v>
      </c>
      <c r="C644" s="46" t="s">
        <v>285</v>
      </c>
      <c r="D644" s="39" t="s">
        <v>247</v>
      </c>
      <c r="E644" s="81">
        <v>35338</v>
      </c>
      <c r="F644" s="52"/>
      <c r="G644" s="53">
        <v>87830</v>
      </c>
      <c r="H644" s="54">
        <v>2</v>
      </c>
    </row>
    <row r="645" spans="1:8">
      <c r="A645" s="42" t="str">
        <f t="shared" si="30"/>
        <v>Quality Control</v>
      </c>
      <c r="B645" s="42" t="s">
        <v>776</v>
      </c>
      <c r="C645" s="46" t="s">
        <v>285</v>
      </c>
      <c r="D645" s="39" t="s">
        <v>256</v>
      </c>
      <c r="E645" s="81">
        <v>35958</v>
      </c>
      <c r="F645" s="52" t="s">
        <v>283</v>
      </c>
      <c r="G645" s="53">
        <v>61420</v>
      </c>
      <c r="H645" s="54">
        <v>4</v>
      </c>
    </row>
    <row r="646" spans="1:8">
      <c r="A646" s="42" t="str">
        <f t="shared" si="30"/>
        <v>Quality Control</v>
      </c>
      <c r="B646" s="42" t="s">
        <v>314</v>
      </c>
      <c r="C646" s="46" t="s">
        <v>266</v>
      </c>
      <c r="D646" s="39" t="s">
        <v>247</v>
      </c>
      <c r="E646" s="81">
        <v>36673</v>
      </c>
      <c r="F646" s="52" t="s">
        <v>283</v>
      </c>
      <c r="G646" s="53">
        <v>69410</v>
      </c>
      <c r="H646" s="54">
        <v>4</v>
      </c>
    </row>
    <row r="647" spans="1:8">
      <c r="A647" s="42" t="str">
        <f t="shared" si="30"/>
        <v>Quality Control</v>
      </c>
      <c r="B647" s="42" t="s">
        <v>482</v>
      </c>
      <c r="C647" s="46" t="s">
        <v>251</v>
      </c>
      <c r="D647" s="39" t="s">
        <v>256</v>
      </c>
      <c r="E647" s="81">
        <v>35156</v>
      </c>
      <c r="F647" s="52" t="s">
        <v>283</v>
      </c>
      <c r="G647" s="53">
        <v>86260</v>
      </c>
      <c r="H647" s="54">
        <v>3</v>
      </c>
    </row>
    <row r="648" spans="1:8">
      <c r="A648" s="42" t="str">
        <f t="shared" si="30"/>
        <v>Quality Control</v>
      </c>
      <c r="B648" s="42" t="s">
        <v>630</v>
      </c>
      <c r="C648" s="46" t="s">
        <v>285</v>
      </c>
      <c r="D648" s="39" t="s">
        <v>256</v>
      </c>
      <c r="E648" s="81">
        <v>36991</v>
      </c>
      <c r="F648" s="52" t="s">
        <v>257</v>
      </c>
      <c r="G648" s="53">
        <v>63670</v>
      </c>
      <c r="H648" s="54">
        <v>5</v>
      </c>
    </row>
    <row r="649" spans="1:8">
      <c r="A649" s="42" t="str">
        <f t="shared" si="30"/>
        <v>Quality Control</v>
      </c>
      <c r="B649" s="42" t="s">
        <v>315</v>
      </c>
      <c r="C649" s="46" t="s">
        <v>271</v>
      </c>
      <c r="D649" s="39" t="s">
        <v>256</v>
      </c>
      <c r="E649" s="81">
        <v>36893</v>
      </c>
      <c r="F649" s="52" t="s">
        <v>283</v>
      </c>
      <c r="G649" s="53">
        <v>33640</v>
      </c>
      <c r="H649" s="54">
        <v>3</v>
      </c>
    </row>
    <row r="650" spans="1:8">
      <c r="A650" s="42" t="str">
        <f t="shared" si="30"/>
        <v>Quality Control</v>
      </c>
      <c r="B650" s="42" t="s">
        <v>683</v>
      </c>
      <c r="C650" s="46" t="s">
        <v>285</v>
      </c>
      <c r="D650" s="39" t="s">
        <v>247</v>
      </c>
      <c r="E650" s="81">
        <v>38073</v>
      </c>
      <c r="F650" s="52"/>
      <c r="G650" s="53">
        <v>39300</v>
      </c>
      <c r="H650" s="54">
        <v>2</v>
      </c>
    </row>
    <row r="651" spans="1:8">
      <c r="A651" s="42" t="str">
        <f t="shared" si="30"/>
        <v>Quality Control</v>
      </c>
      <c r="B651" s="42" t="s">
        <v>781</v>
      </c>
      <c r="C651" s="46" t="s">
        <v>285</v>
      </c>
      <c r="D651" s="39" t="s">
        <v>256</v>
      </c>
      <c r="E651" s="81">
        <v>33186</v>
      </c>
      <c r="F651" s="52" t="s">
        <v>257</v>
      </c>
      <c r="G651" s="53">
        <v>40940</v>
      </c>
      <c r="H651" s="54">
        <v>3</v>
      </c>
    </row>
    <row r="652" spans="1:8">
      <c r="A652" s="42" t="str">
        <f t="shared" si="30"/>
        <v>Quality Control</v>
      </c>
      <c r="B652" s="42" t="s">
        <v>868</v>
      </c>
      <c r="C652" s="46" t="s">
        <v>285</v>
      </c>
      <c r="D652" s="39" t="s">
        <v>261</v>
      </c>
      <c r="E652" s="81">
        <v>35150</v>
      </c>
      <c r="F652" s="52" t="s">
        <v>257</v>
      </c>
      <c r="G652" s="53">
        <v>49405</v>
      </c>
      <c r="H652" s="54">
        <v>4</v>
      </c>
    </row>
    <row r="653" spans="1:8">
      <c r="A653" s="42" t="str">
        <f t="shared" si="30"/>
        <v>Quality Control</v>
      </c>
      <c r="B653" s="42" t="s">
        <v>783</v>
      </c>
      <c r="C653" s="46" t="s">
        <v>285</v>
      </c>
      <c r="D653" s="39" t="s">
        <v>256</v>
      </c>
      <c r="E653" s="81">
        <v>33823</v>
      </c>
      <c r="F653" s="52" t="s">
        <v>283</v>
      </c>
      <c r="G653" s="53">
        <v>82760</v>
      </c>
      <c r="H653" s="54">
        <v>4</v>
      </c>
    </row>
    <row r="654" spans="1:8">
      <c r="A654" s="42" t="str">
        <f t="shared" si="30"/>
        <v>Quality Control</v>
      </c>
      <c r="B654" s="42" t="s">
        <v>785</v>
      </c>
      <c r="C654" s="46" t="s">
        <v>245</v>
      </c>
      <c r="D654" s="39" t="s">
        <v>256</v>
      </c>
      <c r="E654" s="81">
        <v>40568</v>
      </c>
      <c r="F654" s="52" t="s">
        <v>257</v>
      </c>
      <c r="G654" s="53">
        <v>46390</v>
      </c>
      <c r="H654" s="54">
        <v>5</v>
      </c>
    </row>
    <row r="655" spans="1:8">
      <c r="A655" s="42" t="str">
        <f t="shared" si="30"/>
        <v>Quality Control</v>
      </c>
      <c r="B655" s="42" t="s">
        <v>870</v>
      </c>
      <c r="C655" s="46" t="s">
        <v>285</v>
      </c>
      <c r="D655" s="39" t="s">
        <v>247</v>
      </c>
      <c r="E655" s="81">
        <v>40372</v>
      </c>
      <c r="F655" s="52"/>
      <c r="G655" s="53">
        <v>75100</v>
      </c>
      <c r="H655" s="54">
        <v>4</v>
      </c>
    </row>
    <row r="656" spans="1:8">
      <c r="A656" s="42" t="str">
        <f t="shared" si="30"/>
        <v>Quality Control</v>
      </c>
      <c r="B656" s="42" t="s">
        <v>371</v>
      </c>
      <c r="C656" s="46" t="s">
        <v>271</v>
      </c>
      <c r="D656" s="39" t="s">
        <v>247</v>
      </c>
      <c r="E656" s="81">
        <v>39283</v>
      </c>
      <c r="F656" s="52"/>
      <c r="G656" s="53">
        <v>74470</v>
      </c>
      <c r="H656" s="54">
        <v>3</v>
      </c>
    </row>
    <row r="657" spans="1:8">
      <c r="A657" s="42" t="str">
        <f t="shared" si="30"/>
        <v>Quality Control</v>
      </c>
      <c r="B657" s="42" t="s">
        <v>941</v>
      </c>
      <c r="C657" s="46" t="s">
        <v>271</v>
      </c>
      <c r="D657" s="39" t="s">
        <v>256</v>
      </c>
      <c r="E657" s="81">
        <v>39283</v>
      </c>
      <c r="F657" s="52" t="s">
        <v>257</v>
      </c>
      <c r="G657" s="53">
        <v>24980</v>
      </c>
      <c r="H657" s="54">
        <v>3</v>
      </c>
    </row>
    <row r="658" spans="1:8">
      <c r="A658" s="42" t="str">
        <f t="shared" si="30"/>
        <v>Quality Control</v>
      </c>
      <c r="B658" s="42" t="s">
        <v>943</v>
      </c>
      <c r="C658" s="46" t="s">
        <v>285</v>
      </c>
      <c r="D658" s="39" t="s">
        <v>256</v>
      </c>
      <c r="E658" s="81">
        <v>40106</v>
      </c>
      <c r="F658" s="52" t="s">
        <v>262</v>
      </c>
      <c r="G658" s="53">
        <v>51180</v>
      </c>
      <c r="H658" s="54">
        <v>3</v>
      </c>
    </row>
    <row r="659" spans="1:8">
      <c r="A659" s="42" t="str">
        <f t="shared" si="30"/>
        <v>Quality Control</v>
      </c>
      <c r="B659" s="42" t="s">
        <v>944</v>
      </c>
      <c r="C659" s="46" t="s">
        <v>271</v>
      </c>
      <c r="D659" s="39" t="s">
        <v>256</v>
      </c>
      <c r="E659" s="81">
        <v>33247</v>
      </c>
      <c r="F659" s="52" t="s">
        <v>257</v>
      </c>
      <c r="G659" s="53">
        <v>62740</v>
      </c>
      <c r="H659" s="54">
        <v>4</v>
      </c>
    </row>
    <row r="660" spans="1:8">
      <c r="A660" s="42" t="str">
        <f t="shared" si="30"/>
        <v>Quality Control</v>
      </c>
      <c r="B660" s="42" t="s">
        <v>318</v>
      </c>
      <c r="C660" s="46" t="s">
        <v>280</v>
      </c>
      <c r="D660" s="39" t="s">
        <v>261</v>
      </c>
      <c r="E660" s="81">
        <v>35842</v>
      </c>
      <c r="F660" s="52" t="s">
        <v>267</v>
      </c>
      <c r="G660" s="53">
        <v>39530</v>
      </c>
      <c r="H660" s="54">
        <v>5</v>
      </c>
    </row>
    <row r="661" spans="1:8">
      <c r="A661" s="42" t="str">
        <f t="shared" si="30"/>
        <v>Quality Control</v>
      </c>
      <c r="B661" s="42" t="s">
        <v>789</v>
      </c>
      <c r="C661" s="46" t="s">
        <v>271</v>
      </c>
      <c r="D661" s="39" t="s">
        <v>247</v>
      </c>
      <c r="E661" s="81">
        <v>34135</v>
      </c>
      <c r="F661" s="52"/>
      <c r="G661" s="53">
        <v>78590</v>
      </c>
      <c r="H661" s="54">
        <v>1</v>
      </c>
    </row>
    <row r="662" spans="1:8">
      <c r="A662" s="42" t="str">
        <f t="shared" si="30"/>
        <v>Quality Control</v>
      </c>
      <c r="B662" s="42" t="s">
        <v>790</v>
      </c>
      <c r="C662" s="46" t="s">
        <v>280</v>
      </c>
      <c r="D662" s="39" t="s">
        <v>256</v>
      </c>
      <c r="E662" s="81">
        <v>40175</v>
      </c>
      <c r="F662" s="52" t="s">
        <v>267</v>
      </c>
      <c r="G662" s="53">
        <v>34690</v>
      </c>
      <c r="H662" s="54">
        <v>2</v>
      </c>
    </row>
    <row r="663" spans="1:8">
      <c r="A663" s="42" t="str">
        <f t="shared" si="30"/>
        <v>Quality Control</v>
      </c>
      <c r="B663" s="42" t="s">
        <v>424</v>
      </c>
      <c r="C663" s="46" t="s">
        <v>271</v>
      </c>
      <c r="D663" s="39" t="s">
        <v>256</v>
      </c>
      <c r="E663" s="81">
        <v>35408</v>
      </c>
      <c r="F663" s="52" t="s">
        <v>283</v>
      </c>
      <c r="G663" s="53">
        <v>34330</v>
      </c>
      <c r="H663" s="54">
        <v>3</v>
      </c>
    </row>
    <row r="664" spans="1:8">
      <c r="A664" s="42" t="str">
        <f t="shared" si="30"/>
        <v>Quality Control</v>
      </c>
      <c r="B664" s="42" t="s">
        <v>513</v>
      </c>
      <c r="C664" s="46" t="s">
        <v>285</v>
      </c>
      <c r="D664" s="39" t="s">
        <v>256</v>
      </c>
      <c r="E664" s="81">
        <v>35364</v>
      </c>
      <c r="F664" s="52" t="s">
        <v>257</v>
      </c>
      <c r="G664" s="53">
        <v>27130</v>
      </c>
      <c r="H664" s="54">
        <v>5</v>
      </c>
    </row>
    <row r="665" spans="1:8">
      <c r="A665" s="42" t="str">
        <f t="shared" si="30"/>
        <v>Quality Control</v>
      </c>
      <c r="B665" s="42" t="s">
        <v>515</v>
      </c>
      <c r="C665" s="46" t="s">
        <v>245</v>
      </c>
      <c r="D665" s="39" t="s">
        <v>247</v>
      </c>
      <c r="E665" s="81">
        <v>36765</v>
      </c>
      <c r="F665" s="52"/>
      <c r="G665" s="53">
        <v>74500</v>
      </c>
      <c r="H665" s="54">
        <v>4</v>
      </c>
    </row>
    <row r="666" spans="1:8">
      <c r="A666" s="42" t="str">
        <f t="shared" si="30"/>
        <v>Quality Control</v>
      </c>
      <c r="B666" s="42" t="s">
        <v>322</v>
      </c>
      <c r="C666" s="46" t="s">
        <v>245</v>
      </c>
      <c r="D666" s="39" t="s">
        <v>247</v>
      </c>
      <c r="E666" s="81">
        <v>38044</v>
      </c>
      <c r="F666" s="52"/>
      <c r="G666" s="53">
        <v>57410</v>
      </c>
      <c r="H666" s="54">
        <v>2</v>
      </c>
    </row>
    <row r="667" spans="1:8">
      <c r="A667" s="42" t="str">
        <f t="shared" si="30"/>
        <v>Quality Control</v>
      </c>
      <c r="B667" s="42" t="s">
        <v>757</v>
      </c>
      <c r="C667" s="46" t="s">
        <v>266</v>
      </c>
      <c r="D667" s="39" t="s">
        <v>256</v>
      </c>
      <c r="E667" s="81">
        <v>33681</v>
      </c>
      <c r="F667" s="52" t="s">
        <v>262</v>
      </c>
      <c r="G667" s="53">
        <v>46550</v>
      </c>
      <c r="H667" s="54">
        <v>4</v>
      </c>
    </row>
    <row r="668" spans="1:8">
      <c r="A668" s="42" t="str">
        <f t="shared" si="30"/>
        <v>Quality Control</v>
      </c>
      <c r="B668" s="42" t="s">
        <v>520</v>
      </c>
      <c r="C668" s="46" t="s">
        <v>245</v>
      </c>
      <c r="D668" s="39" t="s">
        <v>256</v>
      </c>
      <c r="E668" s="81">
        <v>33832</v>
      </c>
      <c r="F668" s="52" t="s">
        <v>257</v>
      </c>
      <c r="G668" s="53">
        <v>39160</v>
      </c>
      <c r="H668" s="54">
        <v>3</v>
      </c>
    </row>
    <row r="669" spans="1:8">
      <c r="A669" s="42" t="str">
        <f t="shared" si="30"/>
        <v>Quality Control</v>
      </c>
      <c r="B669" s="42" t="s">
        <v>953</v>
      </c>
      <c r="C669" s="46" t="s">
        <v>285</v>
      </c>
      <c r="D669" s="39" t="s">
        <v>252</v>
      </c>
      <c r="E669" s="81">
        <v>38646</v>
      </c>
      <c r="F669" s="52"/>
      <c r="G669" s="53">
        <v>37344</v>
      </c>
      <c r="H669" s="54">
        <v>2</v>
      </c>
    </row>
    <row r="670" spans="1:8">
      <c r="A670" s="42" t="str">
        <f t="shared" si="30"/>
        <v>Quality Control</v>
      </c>
      <c r="B670" s="42" t="s">
        <v>881</v>
      </c>
      <c r="C670" s="46" t="s">
        <v>245</v>
      </c>
      <c r="D670" s="39" t="s">
        <v>256</v>
      </c>
      <c r="E670" s="81">
        <v>36269</v>
      </c>
      <c r="F670" s="52" t="s">
        <v>283</v>
      </c>
      <c r="G670" s="53">
        <v>61330</v>
      </c>
      <c r="H670" s="54">
        <v>1</v>
      </c>
    </row>
    <row r="671" spans="1:8">
      <c r="A671" s="42" t="str">
        <f t="shared" si="30"/>
        <v>Quality Control</v>
      </c>
      <c r="B671" s="42" t="s">
        <v>956</v>
      </c>
      <c r="C671" s="46" t="s">
        <v>251</v>
      </c>
      <c r="D671" s="39" t="s">
        <v>247</v>
      </c>
      <c r="E671" s="103">
        <v>40253</v>
      </c>
      <c r="F671" s="52"/>
      <c r="G671" s="53">
        <v>59350</v>
      </c>
      <c r="H671" s="54">
        <v>5</v>
      </c>
    </row>
    <row r="672" spans="1:8">
      <c r="A672" s="42" t="str">
        <f t="shared" ref="A672:A703" si="31">A671</f>
        <v>Quality Control</v>
      </c>
      <c r="B672" s="42" t="s">
        <v>961</v>
      </c>
      <c r="C672" s="46" t="s">
        <v>285</v>
      </c>
      <c r="D672" s="39" t="s">
        <v>247</v>
      </c>
      <c r="E672" s="81">
        <v>40263</v>
      </c>
      <c r="F672" s="52" t="s">
        <v>267</v>
      </c>
      <c r="G672" s="53">
        <v>71190</v>
      </c>
      <c r="H672" s="54">
        <v>4</v>
      </c>
    </row>
    <row r="673" spans="1:8">
      <c r="A673" s="42" t="str">
        <f t="shared" si="31"/>
        <v>Quality Control</v>
      </c>
      <c r="B673" s="42" t="s">
        <v>524</v>
      </c>
      <c r="C673" s="46" t="s">
        <v>266</v>
      </c>
      <c r="D673" s="39" t="s">
        <v>256</v>
      </c>
      <c r="E673" s="81">
        <v>39899</v>
      </c>
      <c r="F673" s="52" t="s">
        <v>257</v>
      </c>
      <c r="G673" s="53">
        <v>24790</v>
      </c>
      <c r="H673" s="54">
        <v>3</v>
      </c>
    </row>
    <row r="674" spans="1:8">
      <c r="A674" s="42" t="str">
        <f t="shared" si="31"/>
        <v>Quality Control</v>
      </c>
      <c r="B674" s="42" t="s">
        <v>962</v>
      </c>
      <c r="C674" s="46" t="s">
        <v>285</v>
      </c>
      <c r="D674" s="39" t="s">
        <v>247</v>
      </c>
      <c r="E674" s="81">
        <v>37803</v>
      </c>
      <c r="F674" s="52"/>
      <c r="G674" s="53">
        <v>78100</v>
      </c>
      <c r="H674" s="54">
        <v>3</v>
      </c>
    </row>
    <row r="675" spans="1:8">
      <c r="A675" s="42" t="str">
        <f t="shared" si="31"/>
        <v>Quality Control</v>
      </c>
      <c r="B675" s="42" t="s">
        <v>886</v>
      </c>
      <c r="C675" s="46" t="s">
        <v>271</v>
      </c>
      <c r="D675" s="39" t="s">
        <v>256</v>
      </c>
      <c r="E675" s="81">
        <v>34989</v>
      </c>
      <c r="F675" s="52" t="s">
        <v>257</v>
      </c>
      <c r="G675" s="53">
        <v>50570</v>
      </c>
      <c r="H675" s="54">
        <v>4</v>
      </c>
    </row>
    <row r="676" spans="1:8">
      <c r="A676" s="42" t="str">
        <f t="shared" si="31"/>
        <v>Quality Control</v>
      </c>
      <c r="B676" s="42" t="s">
        <v>643</v>
      </c>
      <c r="C676" s="46" t="s">
        <v>285</v>
      </c>
      <c r="D676" s="39" t="s">
        <v>256</v>
      </c>
      <c r="E676" s="81">
        <v>36082</v>
      </c>
      <c r="F676" s="52" t="s">
        <v>283</v>
      </c>
      <c r="G676" s="53">
        <v>82400</v>
      </c>
      <c r="H676" s="54">
        <v>2</v>
      </c>
    </row>
    <row r="677" spans="1:8">
      <c r="A677" s="42" t="str">
        <f t="shared" si="31"/>
        <v>Quality Control</v>
      </c>
      <c r="B677" s="42" t="s">
        <v>532</v>
      </c>
      <c r="C677" s="46" t="s">
        <v>285</v>
      </c>
      <c r="D677" s="39" t="s">
        <v>261</v>
      </c>
      <c r="E677" s="81">
        <v>39802</v>
      </c>
      <c r="F677" s="52" t="s">
        <v>276</v>
      </c>
      <c r="G677" s="53">
        <v>22535</v>
      </c>
      <c r="H677" s="54">
        <v>3</v>
      </c>
    </row>
    <row r="678" spans="1:8">
      <c r="A678" s="42" t="str">
        <f t="shared" si="31"/>
        <v>Quality Control</v>
      </c>
      <c r="B678" s="42" t="s">
        <v>534</v>
      </c>
      <c r="C678" s="46" t="s">
        <v>266</v>
      </c>
      <c r="D678" s="39" t="s">
        <v>247</v>
      </c>
      <c r="E678" s="103">
        <v>40236</v>
      </c>
      <c r="F678" s="52"/>
      <c r="G678" s="53">
        <v>45830</v>
      </c>
      <c r="H678" s="54">
        <v>4</v>
      </c>
    </row>
    <row r="679" spans="1:8">
      <c r="A679" s="42" t="str">
        <f t="shared" si="31"/>
        <v>Quality Control</v>
      </c>
      <c r="B679" s="42" t="s">
        <v>892</v>
      </c>
      <c r="C679" s="46" t="s">
        <v>285</v>
      </c>
      <c r="D679" s="39" t="s">
        <v>256</v>
      </c>
      <c r="E679" s="81">
        <v>34740</v>
      </c>
      <c r="F679" s="52" t="s">
        <v>267</v>
      </c>
      <c r="G679" s="53">
        <v>77840</v>
      </c>
      <c r="H679" s="54">
        <v>2</v>
      </c>
    </row>
    <row r="680" spans="1:8">
      <c r="A680" s="42" t="str">
        <f t="shared" si="31"/>
        <v>Quality Control</v>
      </c>
      <c r="B680" s="42" t="s">
        <v>536</v>
      </c>
      <c r="C680" s="46" t="s">
        <v>245</v>
      </c>
      <c r="D680" s="39" t="s">
        <v>256</v>
      </c>
      <c r="E680" s="103">
        <v>40603</v>
      </c>
      <c r="F680" s="52" t="s">
        <v>267</v>
      </c>
      <c r="G680" s="53">
        <v>44260</v>
      </c>
      <c r="H680" s="54">
        <v>1</v>
      </c>
    </row>
    <row r="681" spans="1:8">
      <c r="A681" s="42" t="str">
        <f t="shared" si="31"/>
        <v>Quality Control</v>
      </c>
      <c r="B681" s="42" t="s">
        <v>334</v>
      </c>
      <c r="C681" s="46" t="s">
        <v>245</v>
      </c>
      <c r="D681" s="39" t="s">
        <v>261</v>
      </c>
      <c r="E681" s="81">
        <v>33349</v>
      </c>
      <c r="F681" s="52" t="s">
        <v>276</v>
      </c>
      <c r="G681" s="53">
        <v>16015</v>
      </c>
      <c r="H681" s="54">
        <v>3</v>
      </c>
    </row>
    <row r="682" spans="1:8">
      <c r="A682" s="42" t="str">
        <f t="shared" si="31"/>
        <v>Quality Control</v>
      </c>
      <c r="B682" s="42" t="s">
        <v>647</v>
      </c>
      <c r="C682" s="46" t="s">
        <v>271</v>
      </c>
      <c r="D682" s="39" t="s">
        <v>252</v>
      </c>
      <c r="E682" s="81">
        <v>36329</v>
      </c>
      <c r="F682" s="52"/>
      <c r="G682" s="53">
        <v>39764</v>
      </c>
      <c r="H682" s="54">
        <v>1</v>
      </c>
    </row>
    <row r="683" spans="1:8">
      <c r="A683" s="42" t="str">
        <f t="shared" si="31"/>
        <v>Quality Control</v>
      </c>
      <c r="B683" s="42" t="s">
        <v>894</v>
      </c>
      <c r="C683" s="46" t="s">
        <v>280</v>
      </c>
      <c r="D683" s="39" t="s">
        <v>256</v>
      </c>
      <c r="E683" s="81">
        <v>40018</v>
      </c>
      <c r="F683" s="52" t="s">
        <v>283</v>
      </c>
      <c r="G683" s="53">
        <v>34990</v>
      </c>
      <c r="H683" s="54">
        <v>3</v>
      </c>
    </row>
    <row r="684" spans="1:8">
      <c r="A684" s="42" t="str">
        <f t="shared" si="31"/>
        <v>Quality Control</v>
      </c>
      <c r="B684" s="42" t="s">
        <v>653</v>
      </c>
      <c r="C684" s="46" t="s">
        <v>271</v>
      </c>
      <c r="D684" s="39" t="s">
        <v>256</v>
      </c>
      <c r="E684" s="81">
        <v>36466</v>
      </c>
      <c r="F684" s="52" t="s">
        <v>283</v>
      </c>
      <c r="G684" s="53">
        <v>68410</v>
      </c>
      <c r="H684" s="54">
        <v>5</v>
      </c>
    </row>
    <row r="685" spans="1:8">
      <c r="A685" s="42" t="str">
        <f t="shared" si="31"/>
        <v>Quality Control</v>
      </c>
      <c r="B685" s="42" t="s">
        <v>979</v>
      </c>
      <c r="C685" s="46" t="s">
        <v>285</v>
      </c>
      <c r="D685" s="39" t="s">
        <v>261</v>
      </c>
      <c r="E685" s="81">
        <v>35186</v>
      </c>
      <c r="F685" s="52" t="s">
        <v>276</v>
      </c>
      <c r="G685" s="53">
        <v>32835</v>
      </c>
      <c r="H685" s="54">
        <v>2</v>
      </c>
    </row>
    <row r="686" spans="1:8">
      <c r="A686" s="42" t="str">
        <f t="shared" si="31"/>
        <v>Quality Control</v>
      </c>
      <c r="B686" s="42" t="s">
        <v>982</v>
      </c>
      <c r="C686" s="46" t="s">
        <v>271</v>
      </c>
      <c r="D686" s="39" t="s">
        <v>247</v>
      </c>
      <c r="E686" s="81">
        <v>39040</v>
      </c>
      <c r="F686" s="52"/>
      <c r="G686" s="53">
        <v>62150</v>
      </c>
      <c r="H686" s="54">
        <v>4</v>
      </c>
    </row>
    <row r="687" spans="1:8">
      <c r="A687" s="42" t="str">
        <f t="shared" si="31"/>
        <v>Quality Control</v>
      </c>
      <c r="B687" s="42" t="s">
        <v>398</v>
      </c>
      <c r="C687" s="46" t="s">
        <v>245</v>
      </c>
      <c r="D687" s="39" t="s">
        <v>256</v>
      </c>
      <c r="E687" s="81">
        <v>39362</v>
      </c>
      <c r="F687" s="52" t="s">
        <v>262</v>
      </c>
      <c r="G687" s="53">
        <v>42020</v>
      </c>
      <c r="H687" s="54">
        <v>5</v>
      </c>
    </row>
    <row r="688" spans="1:8">
      <c r="A688" s="42" t="str">
        <f t="shared" si="31"/>
        <v>Quality Control</v>
      </c>
      <c r="B688" s="42" t="s">
        <v>542</v>
      </c>
      <c r="C688" s="46" t="s">
        <v>271</v>
      </c>
      <c r="D688" s="39" t="s">
        <v>256</v>
      </c>
      <c r="E688" s="81">
        <v>33613</v>
      </c>
      <c r="F688" s="52" t="s">
        <v>586</v>
      </c>
      <c r="G688" s="53">
        <v>56900</v>
      </c>
      <c r="H688" s="54">
        <v>5</v>
      </c>
    </row>
    <row r="689" spans="1:8">
      <c r="A689" s="42" t="str">
        <f t="shared" si="31"/>
        <v>Quality Control</v>
      </c>
      <c r="B689" s="42" t="s">
        <v>656</v>
      </c>
      <c r="C689" s="46" t="s">
        <v>271</v>
      </c>
      <c r="D689" s="39" t="s">
        <v>256</v>
      </c>
      <c r="E689" s="81">
        <v>39864</v>
      </c>
      <c r="F689" s="52" t="s">
        <v>257</v>
      </c>
      <c r="G689" s="53">
        <v>64320</v>
      </c>
      <c r="H689" s="54">
        <v>5</v>
      </c>
    </row>
    <row r="690" spans="1:8">
      <c r="A690" s="42" t="str">
        <f t="shared" si="31"/>
        <v>Quality Control</v>
      </c>
      <c r="B690" s="42" t="s">
        <v>823</v>
      </c>
      <c r="C690" s="46" t="s">
        <v>251</v>
      </c>
      <c r="D690" s="39" t="s">
        <v>256</v>
      </c>
      <c r="E690" s="81">
        <v>34832</v>
      </c>
      <c r="F690" s="52" t="s">
        <v>257</v>
      </c>
      <c r="G690" s="53">
        <v>31910</v>
      </c>
      <c r="H690" s="54">
        <v>5</v>
      </c>
    </row>
    <row r="691" spans="1:8">
      <c r="A691" s="42" t="str">
        <f t="shared" si="31"/>
        <v>Quality Control</v>
      </c>
      <c r="B691" s="42" t="s">
        <v>897</v>
      </c>
      <c r="C691" s="46" t="s">
        <v>285</v>
      </c>
      <c r="D691" s="39" t="s">
        <v>247</v>
      </c>
      <c r="E691" s="81">
        <v>39959</v>
      </c>
      <c r="F691" s="52"/>
      <c r="G691" s="53">
        <v>79460</v>
      </c>
      <c r="H691" s="54">
        <v>5</v>
      </c>
    </row>
    <row r="692" spans="1:8">
      <c r="A692" s="42" t="str">
        <f t="shared" si="31"/>
        <v>Quality Control</v>
      </c>
      <c r="B692" s="42" t="s">
        <v>985</v>
      </c>
      <c r="C692" s="46" t="s">
        <v>245</v>
      </c>
      <c r="D692" s="39" t="s">
        <v>247</v>
      </c>
      <c r="E692" s="81">
        <v>35451</v>
      </c>
      <c r="F692" s="52"/>
      <c r="G692" s="53">
        <v>25120</v>
      </c>
      <c r="H692" s="54">
        <v>2</v>
      </c>
    </row>
    <row r="693" spans="1:8">
      <c r="A693" s="42" t="str">
        <f t="shared" si="31"/>
        <v>Quality Control</v>
      </c>
      <c r="B693" s="42" t="s">
        <v>553</v>
      </c>
      <c r="C693" s="46" t="s">
        <v>271</v>
      </c>
      <c r="D693" s="39" t="s">
        <v>247</v>
      </c>
      <c r="E693" s="81">
        <v>36637</v>
      </c>
      <c r="F693" s="52"/>
      <c r="G693" s="53">
        <v>57600</v>
      </c>
      <c r="H693" s="54">
        <v>3</v>
      </c>
    </row>
    <row r="694" spans="1:8">
      <c r="A694" s="42" t="str">
        <f t="shared" si="31"/>
        <v>Quality Control</v>
      </c>
      <c r="B694" s="42" t="s">
        <v>988</v>
      </c>
      <c r="C694" s="46" t="s">
        <v>271</v>
      </c>
      <c r="D694" s="39" t="s">
        <v>256</v>
      </c>
      <c r="E694" s="81">
        <v>33269</v>
      </c>
      <c r="F694" s="52" t="s">
        <v>283</v>
      </c>
      <c r="G694" s="53">
        <v>24840</v>
      </c>
      <c r="H694" s="54">
        <v>1</v>
      </c>
    </row>
    <row r="695" spans="1:8">
      <c r="A695" s="42" t="str">
        <f t="shared" si="31"/>
        <v>Quality Control</v>
      </c>
      <c r="B695" s="42" t="s">
        <v>460</v>
      </c>
      <c r="C695" s="46" t="s">
        <v>285</v>
      </c>
      <c r="D695" s="39" t="s">
        <v>256</v>
      </c>
      <c r="E695" s="81">
        <v>34034</v>
      </c>
      <c r="F695" s="52" t="s">
        <v>267</v>
      </c>
      <c r="G695" s="53">
        <v>45180</v>
      </c>
      <c r="H695" s="54">
        <v>5</v>
      </c>
    </row>
    <row r="696" spans="1:8">
      <c r="A696" s="42" t="str">
        <f t="shared" si="31"/>
        <v>Quality Control</v>
      </c>
      <c r="B696" s="42" t="s">
        <v>693</v>
      </c>
      <c r="C696" s="46" t="s">
        <v>271</v>
      </c>
      <c r="D696" s="39" t="s">
        <v>256</v>
      </c>
      <c r="E696" s="81">
        <v>39348</v>
      </c>
      <c r="F696" s="52" t="s">
        <v>257</v>
      </c>
      <c r="G696" s="53">
        <v>46220</v>
      </c>
      <c r="H696" s="54">
        <v>2</v>
      </c>
    </row>
    <row r="697" spans="1:8">
      <c r="A697" s="42" t="str">
        <f t="shared" si="31"/>
        <v>Quality Control</v>
      </c>
      <c r="B697" s="42" t="s">
        <v>562</v>
      </c>
      <c r="C697" s="46" t="s">
        <v>271</v>
      </c>
      <c r="D697" s="39" t="s">
        <v>256</v>
      </c>
      <c r="E697" s="81">
        <v>36009</v>
      </c>
      <c r="F697" s="52" t="s">
        <v>257</v>
      </c>
      <c r="G697" s="53">
        <v>75120</v>
      </c>
      <c r="H697" s="54">
        <v>5</v>
      </c>
    </row>
    <row r="698" spans="1:8">
      <c r="A698" s="42" t="str">
        <f t="shared" si="31"/>
        <v>Quality Control</v>
      </c>
      <c r="B698" s="42" t="s">
        <v>825</v>
      </c>
      <c r="C698" s="46" t="s">
        <v>245</v>
      </c>
      <c r="D698" s="39" t="s">
        <v>261</v>
      </c>
      <c r="E698" s="81">
        <v>37782</v>
      </c>
      <c r="F698" s="52" t="s">
        <v>276</v>
      </c>
      <c r="G698" s="53">
        <v>17735</v>
      </c>
      <c r="H698" s="54">
        <v>3</v>
      </c>
    </row>
    <row r="699" spans="1:8">
      <c r="A699" s="42" t="str">
        <f t="shared" si="31"/>
        <v>Quality Control</v>
      </c>
      <c r="B699" s="42" t="s">
        <v>991</v>
      </c>
      <c r="C699" s="46" t="s">
        <v>245</v>
      </c>
      <c r="D699" s="39" t="s">
        <v>252</v>
      </c>
      <c r="E699" s="81">
        <v>33158</v>
      </c>
      <c r="F699" s="52"/>
      <c r="G699" s="53">
        <v>33232</v>
      </c>
      <c r="H699" s="54">
        <v>4</v>
      </c>
    </row>
    <row r="700" spans="1:8">
      <c r="A700" s="42" t="str">
        <f t="shared" si="31"/>
        <v>Quality Control</v>
      </c>
      <c r="B700" s="42" t="s">
        <v>993</v>
      </c>
      <c r="C700" s="46" t="s">
        <v>271</v>
      </c>
      <c r="D700" s="39" t="s">
        <v>247</v>
      </c>
      <c r="E700" s="81">
        <v>36729</v>
      </c>
      <c r="F700" s="52"/>
      <c r="G700" s="53">
        <v>45420</v>
      </c>
      <c r="H700" s="54">
        <v>1</v>
      </c>
    </row>
    <row r="701" spans="1:8">
      <c r="A701" s="42" t="str">
        <f t="shared" si="31"/>
        <v>Quality Control</v>
      </c>
      <c r="B701" s="42" t="s">
        <v>440</v>
      </c>
      <c r="C701" s="46" t="s">
        <v>271</v>
      </c>
      <c r="D701" s="39" t="s">
        <v>256</v>
      </c>
      <c r="E701" s="81">
        <v>37229</v>
      </c>
      <c r="F701" s="52" t="s">
        <v>283</v>
      </c>
      <c r="G701" s="53">
        <v>25310</v>
      </c>
      <c r="H701" s="54">
        <v>4</v>
      </c>
    </row>
    <row r="702" spans="1:8">
      <c r="A702" s="42" t="str">
        <f t="shared" si="31"/>
        <v>Quality Control</v>
      </c>
      <c r="B702" s="42" t="s">
        <v>441</v>
      </c>
      <c r="C702" s="46" t="s">
        <v>271</v>
      </c>
      <c r="D702" s="39" t="s">
        <v>256</v>
      </c>
      <c r="E702" s="81">
        <v>35497</v>
      </c>
      <c r="F702" s="52" t="s">
        <v>257</v>
      </c>
      <c r="G702" s="53">
        <v>78710</v>
      </c>
      <c r="H702" s="54">
        <v>4</v>
      </c>
    </row>
    <row r="703" spans="1:8">
      <c r="A703" s="42" t="str">
        <f t="shared" si="31"/>
        <v>Quality Control</v>
      </c>
      <c r="B703" s="42" t="s">
        <v>574</v>
      </c>
      <c r="C703" s="46" t="s">
        <v>271</v>
      </c>
      <c r="D703" s="39" t="s">
        <v>256</v>
      </c>
      <c r="E703" s="81">
        <v>33993</v>
      </c>
      <c r="F703" s="52" t="s">
        <v>283</v>
      </c>
      <c r="G703" s="53">
        <v>45500</v>
      </c>
      <c r="H703" s="54">
        <v>3</v>
      </c>
    </row>
    <row r="704" spans="1:8">
      <c r="A704" s="42" t="str">
        <f t="shared" ref="A704:A732" si="32">A703</f>
        <v>Quality Control</v>
      </c>
      <c r="B704" s="42" t="s">
        <v>575</v>
      </c>
      <c r="C704" s="46" t="s">
        <v>266</v>
      </c>
      <c r="D704" s="39" t="s">
        <v>261</v>
      </c>
      <c r="E704" s="81">
        <v>35807</v>
      </c>
      <c r="F704" s="52" t="s">
        <v>257</v>
      </c>
      <c r="G704" s="53">
        <v>48835</v>
      </c>
      <c r="H704" s="54">
        <v>5</v>
      </c>
    </row>
    <row r="705" spans="1:8">
      <c r="A705" s="42" t="str">
        <f t="shared" si="32"/>
        <v>Quality Control</v>
      </c>
      <c r="B705" s="42" t="s">
        <v>579</v>
      </c>
      <c r="C705" s="46" t="s">
        <v>280</v>
      </c>
      <c r="D705" s="39" t="s">
        <v>261</v>
      </c>
      <c r="E705" s="81">
        <v>40152</v>
      </c>
      <c r="F705" s="52" t="s">
        <v>283</v>
      </c>
      <c r="G705" s="53">
        <v>28680</v>
      </c>
      <c r="H705" s="54">
        <v>1</v>
      </c>
    </row>
    <row r="706" spans="1:8">
      <c r="A706" s="42" t="str">
        <f t="shared" si="32"/>
        <v>Quality Control</v>
      </c>
      <c r="B706" s="42" t="s">
        <v>461</v>
      </c>
      <c r="C706" s="46" t="s">
        <v>266</v>
      </c>
      <c r="D706" s="39" t="s">
        <v>256</v>
      </c>
      <c r="E706" s="81">
        <v>36078</v>
      </c>
      <c r="F706" s="52" t="s">
        <v>276</v>
      </c>
      <c r="G706" s="53">
        <v>79610</v>
      </c>
      <c r="H706" s="54">
        <v>2</v>
      </c>
    </row>
    <row r="707" spans="1:8">
      <c r="A707" s="42" t="str">
        <f t="shared" si="32"/>
        <v>Quality Control</v>
      </c>
      <c r="B707" s="42" t="s">
        <v>830</v>
      </c>
      <c r="C707" s="46" t="s">
        <v>285</v>
      </c>
      <c r="D707" s="39" t="s">
        <v>261</v>
      </c>
      <c r="E707" s="81">
        <v>37138</v>
      </c>
      <c r="F707" s="52" t="s">
        <v>262</v>
      </c>
      <c r="G707" s="53">
        <v>31110</v>
      </c>
      <c r="H707" s="54">
        <v>1</v>
      </c>
    </row>
    <row r="708" spans="1:8">
      <c r="A708" s="42" t="str">
        <f t="shared" si="32"/>
        <v>Quality Control</v>
      </c>
      <c r="B708" s="42" t="s">
        <v>445</v>
      </c>
      <c r="C708" s="46" t="s">
        <v>271</v>
      </c>
      <c r="D708" s="39" t="s">
        <v>256</v>
      </c>
      <c r="E708" s="81">
        <v>40634</v>
      </c>
      <c r="F708" s="52" t="s">
        <v>257</v>
      </c>
      <c r="G708" s="53">
        <v>47440</v>
      </c>
      <c r="H708" s="54">
        <v>3</v>
      </c>
    </row>
    <row r="709" spans="1:8">
      <c r="A709" s="42" t="str">
        <f t="shared" si="32"/>
        <v>Quality Control</v>
      </c>
      <c r="B709" s="42" t="s">
        <v>741</v>
      </c>
      <c r="C709" s="46" t="s">
        <v>285</v>
      </c>
      <c r="D709" s="39" t="s">
        <v>256</v>
      </c>
      <c r="E709" s="81">
        <v>35715</v>
      </c>
      <c r="F709" s="52" t="s">
        <v>283</v>
      </c>
      <c r="G709" s="53">
        <v>32120</v>
      </c>
      <c r="H709" s="54">
        <v>1</v>
      </c>
    </row>
    <row r="710" spans="1:8">
      <c r="A710" s="42" t="str">
        <f t="shared" si="32"/>
        <v>Quality Control</v>
      </c>
      <c r="B710" s="42" t="s">
        <v>447</v>
      </c>
      <c r="C710" s="46" t="s">
        <v>271</v>
      </c>
      <c r="D710" s="39" t="s">
        <v>252</v>
      </c>
      <c r="E710" s="81">
        <v>35402</v>
      </c>
      <c r="F710" s="52"/>
      <c r="G710" s="53">
        <v>33508</v>
      </c>
      <c r="H710" s="54">
        <v>4</v>
      </c>
    </row>
    <row r="711" spans="1:8">
      <c r="A711" s="42" t="str">
        <f t="shared" si="32"/>
        <v>Quality Control</v>
      </c>
      <c r="B711" s="42" t="s">
        <v>837</v>
      </c>
      <c r="C711" s="46" t="s">
        <v>271</v>
      </c>
      <c r="D711" s="39" t="s">
        <v>256</v>
      </c>
      <c r="E711" s="81">
        <v>35695</v>
      </c>
      <c r="F711" s="52" t="s">
        <v>257</v>
      </c>
      <c r="G711" s="53">
        <v>60100</v>
      </c>
      <c r="H711" s="54">
        <v>1</v>
      </c>
    </row>
    <row r="712" spans="1:8">
      <c r="A712" s="42" t="str">
        <f t="shared" si="32"/>
        <v>Quality Control</v>
      </c>
      <c r="B712" s="42" t="s">
        <v>838</v>
      </c>
      <c r="C712" s="46" t="s">
        <v>266</v>
      </c>
      <c r="D712" s="39" t="s">
        <v>247</v>
      </c>
      <c r="E712" s="81">
        <v>34425</v>
      </c>
      <c r="F712" s="52"/>
      <c r="G712" s="53">
        <v>63310</v>
      </c>
      <c r="H712" s="54">
        <v>3</v>
      </c>
    </row>
    <row r="713" spans="1:8">
      <c r="A713" s="42" t="str">
        <f t="shared" si="32"/>
        <v>Quality Control</v>
      </c>
      <c r="B713" s="42" t="s">
        <v>448</v>
      </c>
      <c r="C713" s="46" t="s">
        <v>251</v>
      </c>
      <c r="D713" s="39" t="s">
        <v>256</v>
      </c>
      <c r="E713" s="81">
        <v>35024</v>
      </c>
      <c r="F713" s="52" t="s">
        <v>283</v>
      </c>
      <c r="G713" s="53">
        <v>73072</v>
      </c>
      <c r="H713" s="54">
        <v>5</v>
      </c>
    </row>
    <row r="714" spans="1:8">
      <c r="A714" s="42" t="str">
        <f t="shared" si="32"/>
        <v>Quality Control</v>
      </c>
      <c r="B714" s="42" t="s">
        <v>357</v>
      </c>
      <c r="C714" s="46" t="s">
        <v>251</v>
      </c>
      <c r="D714" s="39" t="s">
        <v>247</v>
      </c>
      <c r="E714" s="81">
        <v>39529</v>
      </c>
      <c r="F714" s="52"/>
      <c r="G714" s="53">
        <v>35620</v>
      </c>
      <c r="H714" s="54">
        <v>4</v>
      </c>
    </row>
    <row r="715" spans="1:8">
      <c r="A715" s="42" t="str">
        <f t="shared" si="32"/>
        <v>Quality Control</v>
      </c>
      <c r="B715" s="42" t="s">
        <v>358</v>
      </c>
      <c r="C715" s="46" t="s">
        <v>271</v>
      </c>
      <c r="D715" s="39" t="s">
        <v>256</v>
      </c>
      <c r="E715" s="81">
        <v>37348</v>
      </c>
      <c r="F715" s="52" t="s">
        <v>262</v>
      </c>
      <c r="G715" s="53">
        <v>85880</v>
      </c>
      <c r="H715" s="54">
        <v>3</v>
      </c>
    </row>
    <row r="716" spans="1:8">
      <c r="A716" s="42" t="str">
        <f t="shared" si="32"/>
        <v>Quality Control</v>
      </c>
      <c r="B716" s="42" t="s">
        <v>1012</v>
      </c>
      <c r="C716" s="46" t="s">
        <v>285</v>
      </c>
      <c r="D716" s="39" t="s">
        <v>247</v>
      </c>
      <c r="E716" s="81">
        <v>35992</v>
      </c>
      <c r="F716" s="52"/>
      <c r="G716" s="53">
        <v>68260</v>
      </c>
      <c r="H716" s="54">
        <v>5</v>
      </c>
    </row>
    <row r="717" spans="1:8">
      <c r="A717" s="42" t="str">
        <f t="shared" si="32"/>
        <v>Quality Control</v>
      </c>
      <c r="B717" s="42" t="s">
        <v>597</v>
      </c>
      <c r="C717" s="46" t="s">
        <v>266</v>
      </c>
      <c r="D717" s="39" t="s">
        <v>247</v>
      </c>
      <c r="E717" s="81">
        <v>34159</v>
      </c>
      <c r="F717" s="52"/>
      <c r="G717" s="53">
        <v>35240</v>
      </c>
      <c r="H717" s="54">
        <v>3</v>
      </c>
    </row>
    <row r="718" spans="1:8">
      <c r="A718" s="42" t="str">
        <f t="shared" si="32"/>
        <v>Quality Control</v>
      </c>
      <c r="B718" s="42" t="s">
        <v>839</v>
      </c>
      <c r="C718" s="46" t="s">
        <v>271</v>
      </c>
      <c r="D718" s="39" t="s">
        <v>252</v>
      </c>
      <c r="E718" s="81">
        <v>35946</v>
      </c>
      <c r="F718" s="52"/>
      <c r="G718" s="53">
        <v>14332</v>
      </c>
      <c r="H718" s="54">
        <v>5</v>
      </c>
    </row>
    <row r="719" spans="1:8">
      <c r="A719" s="42" t="str">
        <f t="shared" si="32"/>
        <v>Quality Control</v>
      </c>
      <c r="B719" s="42" t="s">
        <v>601</v>
      </c>
      <c r="C719" s="46" t="s">
        <v>280</v>
      </c>
      <c r="D719" s="39" t="s">
        <v>256</v>
      </c>
      <c r="E719" s="81">
        <v>39602</v>
      </c>
      <c r="F719" s="52" t="s">
        <v>257</v>
      </c>
      <c r="G719" s="53">
        <v>79380</v>
      </c>
      <c r="H719" s="54">
        <v>5</v>
      </c>
    </row>
    <row r="720" spans="1:8">
      <c r="A720" s="42" t="str">
        <f t="shared" si="32"/>
        <v>Quality Control</v>
      </c>
      <c r="B720" s="42" t="s">
        <v>743</v>
      </c>
      <c r="C720" s="46" t="s">
        <v>245</v>
      </c>
      <c r="D720" s="39" t="s">
        <v>256</v>
      </c>
      <c r="E720" s="81">
        <v>34028</v>
      </c>
      <c r="F720" s="52" t="s">
        <v>283</v>
      </c>
      <c r="G720" s="53">
        <v>66824</v>
      </c>
      <c r="H720" s="54">
        <v>2</v>
      </c>
    </row>
    <row r="721" spans="1:8">
      <c r="A721" s="42" t="str">
        <f t="shared" si="32"/>
        <v>Quality Control</v>
      </c>
      <c r="B721" s="42" t="s">
        <v>1017</v>
      </c>
      <c r="C721" s="46" t="s">
        <v>271</v>
      </c>
      <c r="D721" s="39" t="s">
        <v>256</v>
      </c>
      <c r="E721" s="81">
        <v>35526</v>
      </c>
      <c r="F721" s="52" t="s">
        <v>283</v>
      </c>
      <c r="G721" s="53">
        <v>32390</v>
      </c>
      <c r="H721" s="54">
        <v>2</v>
      </c>
    </row>
    <row r="722" spans="1:8">
      <c r="A722" s="42" t="str">
        <f t="shared" si="32"/>
        <v>Quality Control</v>
      </c>
      <c r="B722" s="42" t="s">
        <v>303</v>
      </c>
      <c r="C722" s="46" t="s">
        <v>271</v>
      </c>
      <c r="D722" s="39" t="s">
        <v>256</v>
      </c>
      <c r="E722" s="81">
        <v>38237</v>
      </c>
      <c r="F722" s="52" t="s">
        <v>283</v>
      </c>
      <c r="G722" s="53">
        <v>31910</v>
      </c>
      <c r="H722" s="54">
        <v>5</v>
      </c>
    </row>
    <row r="723" spans="1:8">
      <c r="A723" s="42" t="str">
        <f t="shared" si="32"/>
        <v>Quality Control</v>
      </c>
      <c r="B723" s="42" t="s">
        <v>921</v>
      </c>
      <c r="C723" s="46" t="s">
        <v>266</v>
      </c>
      <c r="D723" s="39" t="s">
        <v>247</v>
      </c>
      <c r="E723" s="81">
        <v>39830</v>
      </c>
      <c r="F723" s="52"/>
      <c r="G723" s="53">
        <v>78520</v>
      </c>
      <c r="H723" s="54">
        <v>4</v>
      </c>
    </row>
    <row r="724" spans="1:8">
      <c r="A724" s="42" t="str">
        <f t="shared" si="32"/>
        <v>Quality Control</v>
      </c>
      <c r="B724" s="42" t="s">
        <v>607</v>
      </c>
      <c r="C724" s="46" t="s">
        <v>245</v>
      </c>
      <c r="D724" s="39" t="s">
        <v>247</v>
      </c>
      <c r="E724" s="81">
        <v>33820</v>
      </c>
      <c r="F724" s="52"/>
      <c r="G724" s="53">
        <v>70300</v>
      </c>
      <c r="H724" s="54">
        <v>3</v>
      </c>
    </row>
    <row r="725" spans="1:8">
      <c r="A725" s="42" t="str">
        <f t="shared" si="32"/>
        <v>Quality Control</v>
      </c>
      <c r="B725" s="42" t="s">
        <v>451</v>
      </c>
      <c r="C725" s="46" t="s">
        <v>245</v>
      </c>
      <c r="D725" s="39" t="s">
        <v>256</v>
      </c>
      <c r="E725" s="81">
        <v>39069</v>
      </c>
      <c r="F725" s="52" t="s">
        <v>267</v>
      </c>
      <c r="G725" s="53">
        <v>37670</v>
      </c>
      <c r="H725" s="54">
        <v>3</v>
      </c>
    </row>
    <row r="726" spans="1:8">
      <c r="A726" s="42" t="str">
        <f t="shared" si="32"/>
        <v>Quality Control</v>
      </c>
      <c r="B726" s="42" t="s">
        <v>609</v>
      </c>
      <c r="C726" s="46" t="s">
        <v>285</v>
      </c>
      <c r="D726" s="39" t="s">
        <v>247</v>
      </c>
      <c r="E726" s="81">
        <v>38793</v>
      </c>
      <c r="F726" s="52"/>
      <c r="G726" s="53">
        <v>85930</v>
      </c>
      <c r="H726" s="54">
        <v>2</v>
      </c>
    </row>
    <row r="727" spans="1:8">
      <c r="A727" s="42" t="str">
        <f t="shared" si="32"/>
        <v>Quality Control</v>
      </c>
      <c r="B727" s="42" t="s">
        <v>846</v>
      </c>
      <c r="C727" s="46" t="s">
        <v>245</v>
      </c>
      <c r="D727" s="39" t="s">
        <v>256</v>
      </c>
      <c r="E727" s="81">
        <v>33513</v>
      </c>
      <c r="F727" s="52" t="s">
        <v>267</v>
      </c>
      <c r="G727" s="53">
        <v>44560</v>
      </c>
      <c r="H727" s="54">
        <v>2</v>
      </c>
    </row>
    <row r="728" spans="1:8">
      <c r="A728" s="42" t="str">
        <f t="shared" si="32"/>
        <v>Quality Control</v>
      </c>
      <c r="B728" s="42" t="s">
        <v>304</v>
      </c>
      <c r="C728" s="46" t="s">
        <v>266</v>
      </c>
      <c r="D728" s="39" t="s">
        <v>252</v>
      </c>
      <c r="E728" s="81">
        <v>35861</v>
      </c>
      <c r="F728" s="52"/>
      <c r="G728" s="53">
        <v>12836</v>
      </c>
      <c r="H728" s="54">
        <v>5</v>
      </c>
    </row>
    <row r="729" spans="1:8">
      <c r="A729" s="42" t="str">
        <f t="shared" si="32"/>
        <v>Quality Control</v>
      </c>
      <c r="B729" s="42" t="s">
        <v>848</v>
      </c>
      <c r="C729" s="46" t="s">
        <v>285</v>
      </c>
      <c r="D729" s="39" t="s">
        <v>247</v>
      </c>
      <c r="E729" s="103">
        <v>40404</v>
      </c>
      <c r="F729" s="52"/>
      <c r="G729" s="53">
        <v>39550</v>
      </c>
      <c r="H729" s="54">
        <v>5</v>
      </c>
    </row>
    <row r="730" spans="1:8">
      <c r="A730" s="42" t="str">
        <f t="shared" si="32"/>
        <v>Quality Control</v>
      </c>
      <c r="B730" s="42" t="s">
        <v>676</v>
      </c>
      <c r="C730" s="46" t="s">
        <v>280</v>
      </c>
      <c r="D730" s="39" t="s">
        <v>256</v>
      </c>
      <c r="E730" s="81">
        <v>33881</v>
      </c>
      <c r="F730" s="52" t="s">
        <v>276</v>
      </c>
      <c r="G730" s="53">
        <v>46910</v>
      </c>
      <c r="H730" s="54">
        <v>3</v>
      </c>
    </row>
    <row r="731" spans="1:8">
      <c r="A731" s="42" t="str">
        <f t="shared" si="32"/>
        <v>Quality Control</v>
      </c>
      <c r="B731" s="42" t="s">
        <v>2374</v>
      </c>
      <c r="C731" s="46" t="s">
        <v>285</v>
      </c>
      <c r="D731" s="39" t="s">
        <v>256</v>
      </c>
      <c r="E731" s="81">
        <v>33573</v>
      </c>
      <c r="F731" s="52" t="s">
        <v>276</v>
      </c>
      <c r="G731" s="53">
        <v>71680</v>
      </c>
      <c r="H731" s="54">
        <v>4</v>
      </c>
    </row>
    <row r="732" spans="1:8">
      <c r="A732" s="42" t="str">
        <f t="shared" si="32"/>
        <v>Quality Control</v>
      </c>
      <c r="B732" s="42" t="s">
        <v>928</v>
      </c>
      <c r="C732" s="46" t="s">
        <v>266</v>
      </c>
      <c r="D732" s="39" t="s">
        <v>256</v>
      </c>
      <c r="E732" s="81">
        <v>39678</v>
      </c>
      <c r="F732" s="52" t="s">
        <v>283</v>
      </c>
      <c r="G732" s="53">
        <v>80090</v>
      </c>
      <c r="H732" s="54">
        <v>2</v>
      </c>
    </row>
    <row r="733" spans="1:8">
      <c r="A733" s="42" t="s">
        <v>1025</v>
      </c>
      <c r="B733" s="42" t="s">
        <v>416</v>
      </c>
      <c r="C733" s="46" t="s">
        <v>280</v>
      </c>
      <c r="D733" s="39" t="s">
        <v>261</v>
      </c>
      <c r="E733" s="81">
        <v>39535</v>
      </c>
      <c r="F733" s="52" t="s">
        <v>276</v>
      </c>
      <c r="G733" s="53">
        <v>49080</v>
      </c>
      <c r="H733" s="54">
        <v>5</v>
      </c>
    </row>
    <row r="734" spans="1:8">
      <c r="A734" s="42" t="str">
        <f t="shared" ref="A734:A737" si="33">A733</f>
        <v>Research Center</v>
      </c>
      <c r="B734" s="42" t="s">
        <v>769</v>
      </c>
      <c r="C734" s="46" t="s">
        <v>266</v>
      </c>
      <c r="D734" s="39" t="s">
        <v>256</v>
      </c>
      <c r="E734" s="81">
        <v>35990</v>
      </c>
      <c r="F734" s="52" t="s">
        <v>276</v>
      </c>
      <c r="G734" s="53">
        <v>36890</v>
      </c>
      <c r="H734" s="54">
        <v>1</v>
      </c>
    </row>
    <row r="735" spans="1:8">
      <c r="A735" s="42" t="str">
        <f t="shared" si="33"/>
        <v>Research Center</v>
      </c>
      <c r="B735" s="42" t="s">
        <v>423</v>
      </c>
      <c r="C735" s="46" t="s">
        <v>271</v>
      </c>
      <c r="D735" s="39" t="s">
        <v>247</v>
      </c>
      <c r="E735" s="81">
        <v>36011</v>
      </c>
      <c r="F735" s="52"/>
      <c r="G735" s="53">
        <v>45050</v>
      </c>
      <c r="H735" s="54">
        <v>1</v>
      </c>
    </row>
    <row r="736" spans="1:8">
      <c r="A736" s="42" t="str">
        <f t="shared" si="33"/>
        <v>Research Center</v>
      </c>
      <c r="B736" s="42" t="s">
        <v>736</v>
      </c>
      <c r="C736" s="46" t="s">
        <v>271</v>
      </c>
      <c r="D736" s="39" t="s">
        <v>261</v>
      </c>
      <c r="E736" s="103">
        <v>40516</v>
      </c>
      <c r="F736" s="52" t="s">
        <v>283</v>
      </c>
      <c r="G736" s="53">
        <v>28625</v>
      </c>
      <c r="H736" s="54">
        <v>1</v>
      </c>
    </row>
    <row r="737" spans="1:8">
      <c r="A737" s="42" t="str">
        <f t="shared" si="33"/>
        <v>Research Center</v>
      </c>
      <c r="B737" s="42" t="s">
        <v>663</v>
      </c>
      <c r="C737" s="46" t="s">
        <v>266</v>
      </c>
      <c r="D737" s="39" t="s">
        <v>252</v>
      </c>
      <c r="E737" s="81">
        <v>40574</v>
      </c>
      <c r="F737" s="52"/>
      <c r="G737" s="53">
        <v>28424</v>
      </c>
      <c r="H737" s="54">
        <v>4</v>
      </c>
    </row>
    <row r="738" spans="1:8">
      <c r="A738" s="42" t="s">
        <v>1031</v>
      </c>
      <c r="B738" s="42" t="s">
        <v>631</v>
      </c>
      <c r="C738" s="46" t="s">
        <v>271</v>
      </c>
      <c r="D738" s="39" t="s">
        <v>247</v>
      </c>
      <c r="E738" s="81">
        <v>37641</v>
      </c>
      <c r="F738" s="52"/>
      <c r="G738" s="53">
        <v>31970</v>
      </c>
      <c r="H738" s="54">
        <v>5</v>
      </c>
    </row>
    <row r="739" spans="1:8">
      <c r="A739" s="42" t="str">
        <f t="shared" ref="A739:A742" si="34">A738</f>
        <v>Research/Development</v>
      </c>
      <c r="B739" s="42" t="s">
        <v>806</v>
      </c>
      <c r="C739" s="46" t="s">
        <v>285</v>
      </c>
      <c r="D739" s="39" t="s">
        <v>247</v>
      </c>
      <c r="E739" s="81">
        <v>38912</v>
      </c>
      <c r="F739" s="52"/>
      <c r="G739" s="53">
        <v>80330</v>
      </c>
      <c r="H739" s="54">
        <v>4</v>
      </c>
    </row>
    <row r="740" spans="1:8">
      <c r="A740" s="42" t="str">
        <f t="shared" si="34"/>
        <v>Research/Development</v>
      </c>
      <c r="B740" s="42" t="s">
        <v>808</v>
      </c>
      <c r="C740" s="46" t="s">
        <v>280</v>
      </c>
      <c r="D740" s="39" t="s">
        <v>261</v>
      </c>
      <c r="E740" s="81">
        <v>37620</v>
      </c>
      <c r="F740" s="52" t="s">
        <v>257</v>
      </c>
      <c r="G740" s="53">
        <v>24460</v>
      </c>
      <c r="H740" s="54">
        <v>1</v>
      </c>
    </row>
    <row r="741" spans="1:8">
      <c r="A741" s="42" t="str">
        <f t="shared" si="34"/>
        <v>Research/Development</v>
      </c>
      <c r="B741" s="42" t="s">
        <v>997</v>
      </c>
      <c r="C741" s="46" t="s">
        <v>266</v>
      </c>
      <c r="D741" s="39" t="s">
        <v>252</v>
      </c>
      <c r="E741" s="81">
        <v>36458</v>
      </c>
      <c r="F741" s="52"/>
      <c r="G741" s="53">
        <v>32536</v>
      </c>
      <c r="H741" s="54">
        <v>2</v>
      </c>
    </row>
    <row r="742" spans="1:8">
      <c r="A742" s="42" t="str">
        <f t="shared" si="34"/>
        <v>Research/Development</v>
      </c>
      <c r="B742" s="42" t="s">
        <v>359</v>
      </c>
      <c r="C742" s="46" t="s">
        <v>266</v>
      </c>
      <c r="D742" s="39" t="s">
        <v>261</v>
      </c>
      <c r="E742" s="81">
        <v>34163</v>
      </c>
      <c r="F742" s="52" t="s">
        <v>262</v>
      </c>
      <c r="G742" s="53">
        <v>18895</v>
      </c>
      <c r="H742" s="54">
        <v>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G23"/>
  <sheetViews>
    <sheetView zoomScale="175" zoomScaleNormal="175" zoomScalePageLayoutView="175" workbookViewId="0">
      <selection activeCell="D4" sqref="D4"/>
    </sheetView>
  </sheetViews>
  <sheetFormatPr defaultColWidth="9.140625" defaultRowHeight="15"/>
  <cols>
    <col min="1" max="1" width="10.140625" style="122" bestFit="1" customWidth="1"/>
    <col min="2" max="2" width="10.42578125" style="122" bestFit="1" customWidth="1"/>
    <col min="3" max="3" width="12.85546875" style="122" bestFit="1" customWidth="1"/>
    <col min="4" max="4" width="27.42578125" style="122" customWidth="1"/>
    <col min="5" max="5" width="9.7109375" style="122" bestFit="1" customWidth="1"/>
    <col min="6" max="6" width="8.28515625" style="122" bestFit="1" customWidth="1"/>
    <col min="7" max="7" width="22.28515625" style="122" customWidth="1"/>
    <col min="8" max="8" width="3.42578125" style="122" bestFit="1" customWidth="1"/>
    <col min="9" max="9" width="6" style="122" bestFit="1" customWidth="1"/>
    <col min="10" max="16384" width="9.140625" style="122"/>
  </cols>
  <sheetData>
    <row r="1" spans="1:7">
      <c r="A1" s="124" t="s">
        <v>2432</v>
      </c>
      <c r="B1" s="124" t="s">
        <v>2431</v>
      </c>
      <c r="C1" s="124" t="s">
        <v>2430</v>
      </c>
      <c r="D1" s="122" t="s">
        <v>3154</v>
      </c>
      <c r="E1" s="124" t="s">
        <v>2429</v>
      </c>
      <c r="F1" s="124" t="s">
        <v>1065</v>
      </c>
    </row>
    <row r="2" spans="1:7">
      <c r="A2" s="122" t="s">
        <v>2428</v>
      </c>
      <c r="B2" s="122" t="s">
        <v>2419</v>
      </c>
      <c r="C2" s="122" t="s">
        <v>283</v>
      </c>
      <c r="D2" s="122" t="s">
        <v>2355</v>
      </c>
      <c r="E2" s="254">
        <v>46.95</v>
      </c>
      <c r="F2" s="122">
        <v>30</v>
      </c>
      <c r="G2" s="122" t="s">
        <v>2427</v>
      </c>
    </row>
    <row r="3" spans="1:7">
      <c r="A3" s="122" t="s">
        <v>2426</v>
      </c>
      <c r="B3" s="122" t="s">
        <v>2425</v>
      </c>
      <c r="C3" s="122" t="s">
        <v>2389</v>
      </c>
      <c r="D3" s="122" t="s">
        <v>2352</v>
      </c>
      <c r="E3" s="254"/>
    </row>
    <row r="4" spans="1:7">
      <c r="A4" s="122" t="s">
        <v>2424</v>
      </c>
      <c r="B4" s="122" t="s">
        <v>2423</v>
      </c>
      <c r="D4" s="122" t="s">
        <v>3150</v>
      </c>
      <c r="E4" s="254"/>
    </row>
    <row r="5" spans="1:7">
      <c r="A5" s="122" t="s">
        <v>2422</v>
      </c>
      <c r="B5" s="122" t="s">
        <v>2421</v>
      </c>
      <c r="D5" s="122" t="s">
        <v>2347</v>
      </c>
      <c r="E5" s="254"/>
    </row>
    <row r="6" spans="1:7">
      <c r="A6" s="122" t="s">
        <v>2420</v>
      </c>
      <c r="B6" s="122" t="s">
        <v>2419</v>
      </c>
      <c r="C6" s="122" t="s">
        <v>2418</v>
      </c>
      <c r="D6" s="122" t="s">
        <v>3151</v>
      </c>
      <c r="E6" s="254"/>
    </row>
    <row r="7" spans="1:7">
      <c r="A7" s="122" t="s">
        <v>2417</v>
      </c>
      <c r="B7" s="122" t="s">
        <v>2416</v>
      </c>
      <c r="D7" s="122" t="s">
        <v>3152</v>
      </c>
      <c r="E7" s="254"/>
    </row>
    <row r="8" spans="1:7">
      <c r="A8" s="122" t="s">
        <v>2415</v>
      </c>
      <c r="B8" s="122" t="s">
        <v>2414</v>
      </c>
      <c r="C8" s="122" t="s">
        <v>2413</v>
      </c>
      <c r="D8" s="122" t="s">
        <v>2337</v>
      </c>
      <c r="E8" s="254"/>
    </row>
    <row r="9" spans="1:7">
      <c r="A9" s="122" t="s">
        <v>2412</v>
      </c>
      <c r="B9" s="122" t="s">
        <v>2411</v>
      </c>
      <c r="C9" s="122" t="s">
        <v>276</v>
      </c>
      <c r="D9" s="122" t="s">
        <v>2334</v>
      </c>
      <c r="E9" s="254"/>
    </row>
    <row r="10" spans="1:7">
      <c r="A10" s="122" t="s">
        <v>2410</v>
      </c>
      <c r="B10" s="122" t="s">
        <v>2409</v>
      </c>
      <c r="C10" s="122" t="s">
        <v>2396</v>
      </c>
      <c r="D10" s="122" t="s">
        <v>3153</v>
      </c>
      <c r="E10" s="254"/>
    </row>
    <row r="11" spans="1:7">
      <c r="A11" s="122" t="s">
        <v>2408</v>
      </c>
      <c r="B11" s="122" t="s">
        <v>2407</v>
      </c>
      <c r="C11" s="122" t="s">
        <v>2406</v>
      </c>
      <c r="D11" s="122" t="s">
        <v>2324</v>
      </c>
      <c r="E11" s="254"/>
    </row>
    <row r="12" spans="1:7">
      <c r="A12" s="122" t="s">
        <v>2405</v>
      </c>
      <c r="B12" s="122" t="s">
        <v>2404</v>
      </c>
      <c r="D12" s="122" t="s">
        <v>2319</v>
      </c>
      <c r="E12" s="254"/>
    </row>
    <row r="13" spans="1:7">
      <c r="A13" s="122" t="s">
        <v>2403</v>
      </c>
      <c r="B13" s="122" t="s">
        <v>2402</v>
      </c>
      <c r="C13" s="122" t="s">
        <v>2401</v>
      </c>
      <c r="D13" s="122" t="s">
        <v>2316</v>
      </c>
      <c r="E13" s="254"/>
    </row>
    <row r="14" spans="1:7">
      <c r="A14" s="122" t="s">
        <v>2400</v>
      </c>
      <c r="B14" s="122" t="s">
        <v>2399</v>
      </c>
      <c r="D14" s="122" t="s">
        <v>2311</v>
      </c>
      <c r="E14" s="254"/>
    </row>
    <row r="15" spans="1:7">
      <c r="A15" s="122" t="s">
        <v>2398</v>
      </c>
      <c r="B15" s="122" t="s">
        <v>2397</v>
      </c>
      <c r="C15" s="122" t="s">
        <v>2396</v>
      </c>
      <c r="D15" s="122" t="s">
        <v>3155</v>
      </c>
      <c r="E15" s="254"/>
    </row>
    <row r="16" spans="1:7">
      <c r="A16" s="122" t="s">
        <v>2395</v>
      </c>
      <c r="B16" s="122" t="s">
        <v>2394</v>
      </c>
      <c r="C16" s="122" t="s">
        <v>276</v>
      </c>
      <c r="D16" s="122" t="s">
        <v>2301</v>
      </c>
      <c r="E16" s="254"/>
    </row>
    <row r="17" spans="1:5">
      <c r="A17" s="122" t="s">
        <v>2393</v>
      </c>
      <c r="B17" s="122" t="s">
        <v>2392</v>
      </c>
      <c r="D17" s="122" t="s">
        <v>2298</v>
      </c>
      <c r="E17" s="254"/>
    </row>
    <row r="18" spans="1:5">
      <c r="A18" s="122" t="s">
        <v>2391</v>
      </c>
      <c r="B18" s="122" t="s">
        <v>2390</v>
      </c>
      <c r="C18" s="122" t="s">
        <v>2389</v>
      </c>
      <c r="D18" s="122" t="s">
        <v>2293</v>
      </c>
      <c r="E18" s="254"/>
    </row>
    <row r="19" spans="1:5">
      <c r="A19" s="122" t="s">
        <v>2388</v>
      </c>
      <c r="B19" s="122" t="s">
        <v>2387</v>
      </c>
      <c r="C19" s="122" t="s">
        <v>267</v>
      </c>
      <c r="D19" s="122" t="s">
        <v>2288</v>
      </c>
      <c r="E19" s="254"/>
    </row>
    <row r="20" spans="1:5">
      <c r="E20" s="254"/>
    </row>
    <row r="21" spans="1:5">
      <c r="E21" s="254"/>
    </row>
    <row r="22" spans="1:5">
      <c r="E22" s="254"/>
    </row>
    <row r="23" spans="1:5">
      <c r="E23" s="254"/>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P762"/>
  <sheetViews>
    <sheetView tabSelected="1" zoomScaleNormal="100" zoomScalePageLayoutView="160" workbookViewId="0">
      <selection activeCell="I2" sqref="A1:J742"/>
    </sheetView>
  </sheetViews>
  <sheetFormatPr defaultColWidth="9.140625" defaultRowHeight="15"/>
  <cols>
    <col min="1" max="1" width="19.5703125" style="39" bestFit="1" customWidth="1"/>
    <col min="2" max="2" width="8.28515625" style="54" bestFit="1" customWidth="1"/>
    <col min="3" max="3" width="27.28515625" style="39" bestFit="1" customWidth="1"/>
    <col min="4" max="4" width="11.7109375" style="79" bestFit="1" customWidth="1"/>
    <col min="5" max="5" width="14" style="80" bestFit="1" customWidth="1"/>
    <col min="6" max="6" width="9.7109375" style="39" bestFit="1" customWidth="1"/>
    <col min="7" max="7" width="16" style="81" customWidth="1"/>
    <col min="8" max="8" width="10.85546875" style="81" bestFit="1" customWidth="1"/>
    <col min="9" max="9" width="10.7109375" style="83" customWidth="1"/>
    <col min="10" max="12" width="9.140625" style="122"/>
    <col min="13" max="13" width="9.7109375" style="122" bestFit="1" customWidth="1"/>
    <col min="14" max="14" width="9.140625" style="122" customWidth="1"/>
    <col min="15" max="15" width="27.28515625" style="122" bestFit="1" customWidth="1"/>
    <col min="16" max="16384" width="9.140625" style="122"/>
  </cols>
  <sheetData>
    <row r="1" spans="1:16">
      <c r="A1" s="26" t="s">
        <v>229</v>
      </c>
      <c r="B1" s="27" t="s">
        <v>230</v>
      </c>
      <c r="C1" s="28" t="s">
        <v>231</v>
      </c>
      <c r="D1" s="29" t="s">
        <v>2271</v>
      </c>
      <c r="E1" s="30" t="s">
        <v>233</v>
      </c>
      <c r="F1" s="28" t="s">
        <v>234</v>
      </c>
      <c r="G1" s="28" t="s">
        <v>239</v>
      </c>
      <c r="H1" s="31" t="s">
        <v>235</v>
      </c>
      <c r="I1" s="31" t="s">
        <v>236</v>
      </c>
      <c r="J1" s="33" t="s">
        <v>237</v>
      </c>
      <c r="N1" s="122" t="s">
        <v>256</v>
      </c>
      <c r="P1" s="42" t="s">
        <v>246</v>
      </c>
    </row>
    <row r="2" spans="1:16" ht="16.5">
      <c r="A2" s="39" t="s">
        <v>470</v>
      </c>
      <c r="B2" s="46" t="s">
        <v>271</v>
      </c>
      <c r="C2" s="39" t="s">
        <v>465</v>
      </c>
      <c r="D2" s="72">
        <v>806508287</v>
      </c>
      <c r="E2" s="73">
        <v>2528801464</v>
      </c>
      <c r="F2" s="39" t="s">
        <v>256</v>
      </c>
      <c r="G2" s="256">
        <v>66740</v>
      </c>
      <c r="H2" s="255">
        <v>35458</v>
      </c>
      <c r="I2" s="105" t="str">
        <f>CHOOSE(MONTH(H2),"January","February","March","April","May","June","July","August","September","October","November","December")</f>
        <v>January</v>
      </c>
      <c r="J2" s="51">
        <f ca="1">DATEDIF(H2,TODAY(),"Y")</f>
        <v>19</v>
      </c>
      <c r="N2" s="122" t="s">
        <v>261</v>
      </c>
      <c r="P2" s="42" t="s">
        <v>272</v>
      </c>
    </row>
    <row r="3" spans="1:16" ht="16.5">
      <c r="A3" s="39" t="s">
        <v>933</v>
      </c>
      <c r="B3" s="46" t="s">
        <v>271</v>
      </c>
      <c r="C3" s="39" t="s">
        <v>856</v>
      </c>
      <c r="D3" s="72">
        <v>180832423</v>
      </c>
      <c r="E3" s="73">
        <v>9198097539</v>
      </c>
      <c r="F3" s="39" t="s">
        <v>256</v>
      </c>
      <c r="G3" s="256">
        <v>60300</v>
      </c>
      <c r="H3" s="255">
        <v>35076</v>
      </c>
      <c r="I3" s="105" t="str">
        <f>CHOOSE(MONTH(H3),"January","February","March","April","May","June","July","August","September","October","November","December")</f>
        <v>January</v>
      </c>
      <c r="J3" s="51">
        <f ca="1">DATEDIF(H3,TODAY(),"Y")</f>
        <v>20</v>
      </c>
      <c r="N3" s="122" t="s">
        <v>252</v>
      </c>
      <c r="P3" s="42" t="s">
        <v>296</v>
      </c>
    </row>
    <row r="4" spans="1:16" ht="16.5">
      <c r="A4" s="39" t="s">
        <v>630</v>
      </c>
      <c r="B4" s="46" t="s">
        <v>271</v>
      </c>
      <c r="C4" s="39" t="s">
        <v>381</v>
      </c>
      <c r="D4" s="72">
        <v>925049144</v>
      </c>
      <c r="E4" s="73">
        <v>2524752921</v>
      </c>
      <c r="F4" s="39" t="s">
        <v>256</v>
      </c>
      <c r="G4" s="256">
        <v>32940</v>
      </c>
      <c r="H4" s="255">
        <v>39817</v>
      </c>
      <c r="I4" s="105" t="str">
        <f>CHOOSE(MONTH(H4),"January","February","March","April","May","June","July","August","September","October","November","December")</f>
        <v>January</v>
      </c>
      <c r="J4" s="51">
        <f ca="1">DATEDIF(H4,TODAY(),"Y")</f>
        <v>7</v>
      </c>
      <c r="N4" s="122" t="s">
        <v>247</v>
      </c>
      <c r="P4" s="42" t="s">
        <v>307</v>
      </c>
    </row>
    <row r="5" spans="1:16" ht="16.5">
      <c r="A5" s="39" t="s">
        <v>939</v>
      </c>
      <c r="B5" s="46" t="s">
        <v>245</v>
      </c>
      <c r="C5" s="39" t="s">
        <v>465</v>
      </c>
      <c r="D5" s="72">
        <v>566726453</v>
      </c>
      <c r="E5" s="73">
        <v>9192168237</v>
      </c>
      <c r="F5" s="39" t="s">
        <v>256</v>
      </c>
      <c r="G5" s="256">
        <v>60070</v>
      </c>
      <c r="H5" s="255">
        <v>33981</v>
      </c>
      <c r="I5" s="105" t="str">
        <f>CHOOSE(MONTH(H5),"January","February","March","April","May","June","July","August","September","October","November","December")</f>
        <v>January</v>
      </c>
      <c r="J5" s="51">
        <f ca="1">DATEDIF(H5,TODAY(),"Y")</f>
        <v>23</v>
      </c>
      <c r="P5" s="42" t="s">
        <v>312</v>
      </c>
    </row>
    <row r="6" spans="1:16" ht="16.5">
      <c r="A6" s="39" t="s">
        <v>783</v>
      </c>
      <c r="B6" s="46" t="s">
        <v>245</v>
      </c>
      <c r="C6" s="39" t="s">
        <v>750</v>
      </c>
      <c r="D6" s="72">
        <v>360904659</v>
      </c>
      <c r="E6" s="73">
        <v>2523766803</v>
      </c>
      <c r="F6" s="39" t="s">
        <v>256</v>
      </c>
      <c r="G6" s="256">
        <v>61150</v>
      </c>
      <c r="H6" s="255">
        <v>34357</v>
      </c>
      <c r="I6" s="105" t="str">
        <f>CHOOSE(MONTH(H6),"January","February","March","April","May","June","July","August","September","October","November","December")</f>
        <v>January</v>
      </c>
      <c r="J6" s="51">
        <f ca="1">DATEDIF(H6,TODAY(),"Y")</f>
        <v>22</v>
      </c>
      <c r="P6" s="42" t="s">
        <v>372</v>
      </c>
    </row>
    <row r="7" spans="1:16" ht="16.5">
      <c r="A7" s="39" t="s">
        <v>491</v>
      </c>
      <c r="B7" s="46" t="s">
        <v>271</v>
      </c>
      <c r="C7" s="39" t="s">
        <v>930</v>
      </c>
      <c r="D7" s="72">
        <v>671823263</v>
      </c>
      <c r="E7" s="73">
        <v>2526718651</v>
      </c>
      <c r="F7" s="39" t="s">
        <v>256</v>
      </c>
      <c r="G7" s="256">
        <v>71730</v>
      </c>
      <c r="H7" s="255">
        <v>37267</v>
      </c>
      <c r="I7" s="105" t="str">
        <f>CHOOSE(MONTH(H7),"January","February","March","April","May","June","July","August","September","October","November","December")</f>
        <v>January</v>
      </c>
      <c r="J7" s="51">
        <f ca="1">DATEDIF(H7,TODAY(),"Y")</f>
        <v>14</v>
      </c>
      <c r="P7" s="42" t="s">
        <v>381</v>
      </c>
    </row>
    <row r="8" spans="1:16" ht="16.5">
      <c r="A8" s="39" t="s">
        <v>504</v>
      </c>
      <c r="B8" s="46" t="s">
        <v>245</v>
      </c>
      <c r="C8" s="39" t="s">
        <v>296</v>
      </c>
      <c r="D8" s="72">
        <v>278431222</v>
      </c>
      <c r="E8" s="73">
        <v>9196699611</v>
      </c>
      <c r="F8" s="39" t="s">
        <v>256</v>
      </c>
      <c r="G8" s="256">
        <v>67407</v>
      </c>
      <c r="H8" s="255">
        <v>36163</v>
      </c>
      <c r="I8" s="105" t="str">
        <f>CHOOSE(MONTH(H8),"January","February","March","April","May","June","July","August","September","October","November","December")</f>
        <v>January</v>
      </c>
      <c r="J8" s="51">
        <f ca="1">DATEDIF(H8,TODAY(),"Y")</f>
        <v>17</v>
      </c>
      <c r="P8" s="42" t="s">
        <v>391</v>
      </c>
    </row>
    <row r="9" spans="1:16" ht="16.5">
      <c r="A9" s="39" t="s">
        <v>754</v>
      </c>
      <c r="B9" s="46" t="s">
        <v>271</v>
      </c>
      <c r="C9" s="39" t="s">
        <v>417</v>
      </c>
      <c r="D9" s="72">
        <v>113699123</v>
      </c>
      <c r="E9" s="73">
        <v>2526563683</v>
      </c>
      <c r="F9" s="39" t="s">
        <v>256</v>
      </c>
      <c r="G9" s="256">
        <v>46230</v>
      </c>
      <c r="H9" s="255">
        <v>35822</v>
      </c>
      <c r="I9" s="105" t="str">
        <f>CHOOSE(MONTH(H9),"January","February","March","April","May","June","July","August","September","October","November","December")</f>
        <v>January</v>
      </c>
      <c r="J9" s="51">
        <f ca="1">DATEDIF(H9,TODAY(),"Y")</f>
        <v>18</v>
      </c>
      <c r="P9" s="42" t="s">
        <v>411</v>
      </c>
    </row>
    <row r="10" spans="1:16" ht="16.5">
      <c r="A10" s="39" t="s">
        <v>755</v>
      </c>
      <c r="B10" s="46" t="s">
        <v>285</v>
      </c>
      <c r="C10" s="39" t="s">
        <v>750</v>
      </c>
      <c r="D10" s="72">
        <v>198564686</v>
      </c>
      <c r="E10" s="78">
        <v>2523355100</v>
      </c>
      <c r="F10" s="39" t="s">
        <v>256</v>
      </c>
      <c r="G10" s="256">
        <v>37840</v>
      </c>
      <c r="H10" s="255">
        <v>38730</v>
      </c>
      <c r="I10" s="105" t="str">
        <f>CHOOSE(MONTH(H10),"January","February","March","April","May","June","July","August","September","October","November","December")</f>
        <v>January</v>
      </c>
      <c r="J10" s="51">
        <f ca="1">DATEDIF(H10,TODAY(),"Y")</f>
        <v>10</v>
      </c>
      <c r="P10" s="42" t="s">
        <v>417</v>
      </c>
    </row>
    <row r="11" spans="1:16" ht="16.5">
      <c r="A11" s="39" t="s">
        <v>427</v>
      </c>
      <c r="B11" s="46" t="s">
        <v>280</v>
      </c>
      <c r="C11" s="39" t="s">
        <v>417</v>
      </c>
      <c r="D11" s="72">
        <v>525507320</v>
      </c>
      <c r="E11" s="73">
        <v>2523938131</v>
      </c>
      <c r="F11" s="39" t="s">
        <v>256</v>
      </c>
      <c r="G11" s="256">
        <v>73030</v>
      </c>
      <c r="H11" s="255">
        <v>36902</v>
      </c>
      <c r="I11" s="105" t="str">
        <f>CHOOSE(MONTH(H11),"January","February","March","April","May","June","July","August","September","October","November","December")</f>
        <v>January</v>
      </c>
      <c r="J11" s="51">
        <f ca="1">DATEDIF(H11,TODAY(),"Y")</f>
        <v>15</v>
      </c>
      <c r="P11" s="42" t="s">
        <v>456</v>
      </c>
    </row>
    <row r="12" spans="1:16" ht="16.5">
      <c r="A12" s="39" t="s">
        <v>639</v>
      </c>
      <c r="B12" s="46" t="s">
        <v>251</v>
      </c>
      <c r="C12" s="39" t="s">
        <v>930</v>
      </c>
      <c r="D12" s="72">
        <v>688769770</v>
      </c>
      <c r="E12" s="73">
        <v>9192416398</v>
      </c>
      <c r="F12" s="39" t="s">
        <v>256</v>
      </c>
      <c r="G12" s="256">
        <v>35460</v>
      </c>
      <c r="H12" s="255">
        <v>35075</v>
      </c>
      <c r="I12" s="105" t="str">
        <f>CHOOSE(MONTH(H12),"January","February","March","April","May","June","July","August","September","October","November","December")</f>
        <v>January</v>
      </c>
      <c r="J12" s="51">
        <f ca="1">DATEDIF(H12,TODAY(),"Y")</f>
        <v>20</v>
      </c>
      <c r="P12" s="42" t="s">
        <v>465</v>
      </c>
    </row>
    <row r="13" spans="1:16" ht="16.5">
      <c r="A13" s="39" t="s">
        <v>641</v>
      </c>
      <c r="B13" s="46" t="s">
        <v>285</v>
      </c>
      <c r="C13" s="39" t="s">
        <v>856</v>
      </c>
      <c r="D13" s="72">
        <v>826508763</v>
      </c>
      <c r="E13" s="73">
        <v>2526801348</v>
      </c>
      <c r="F13" s="39" t="s">
        <v>256</v>
      </c>
      <c r="G13" s="256">
        <v>22475</v>
      </c>
      <c r="H13" s="255">
        <v>39822</v>
      </c>
      <c r="I13" s="105" t="str">
        <f>CHOOSE(MONTH(H13),"January","February","March","April","May","June","July","August","September","October","November","December")</f>
        <v>January</v>
      </c>
      <c r="J13" s="51">
        <f ca="1">DATEDIF(H13,TODAY(),"Y")</f>
        <v>7</v>
      </c>
      <c r="P13" s="42" t="s">
        <v>618</v>
      </c>
    </row>
    <row r="14" spans="1:16" ht="16.5">
      <c r="A14" s="39" t="s">
        <v>805</v>
      </c>
      <c r="B14" s="46" t="s">
        <v>280</v>
      </c>
      <c r="C14" s="39" t="s">
        <v>465</v>
      </c>
      <c r="D14" s="72">
        <v>504914685</v>
      </c>
      <c r="E14" s="73">
        <v>9195250630</v>
      </c>
      <c r="F14" s="39" t="s">
        <v>256</v>
      </c>
      <c r="G14" s="256">
        <v>38730</v>
      </c>
      <c r="H14" s="255">
        <v>36906</v>
      </c>
      <c r="I14" s="105" t="str">
        <f>CHOOSE(MONTH(H14),"January","February","March","April","May","June","July","August","September","October","November","December")</f>
        <v>January</v>
      </c>
      <c r="J14" s="51">
        <f ca="1">DATEDIF(H14,TODAY(),"Y")</f>
        <v>15</v>
      </c>
      <c r="P14" s="42" t="s">
        <v>626</v>
      </c>
    </row>
    <row r="15" spans="1:16" ht="16.5">
      <c r="A15" s="39" t="s">
        <v>964</v>
      </c>
      <c r="B15" s="46" t="s">
        <v>245</v>
      </c>
      <c r="C15" s="39" t="s">
        <v>626</v>
      </c>
      <c r="D15" s="72">
        <v>738946277</v>
      </c>
      <c r="E15" s="73">
        <v>9194331646</v>
      </c>
      <c r="F15" s="39" t="s">
        <v>256</v>
      </c>
      <c r="G15" s="256">
        <v>31690</v>
      </c>
      <c r="H15" s="255">
        <v>36921</v>
      </c>
      <c r="I15" s="105" t="str">
        <f>CHOOSE(MONTH(H15),"January","February","March","April","May","June","July","August","September","October","November","December")</f>
        <v>January</v>
      </c>
      <c r="J15" s="51">
        <f ca="1">DATEDIF(H15,TODAY(),"Y")</f>
        <v>15</v>
      </c>
      <c r="P15" s="42" t="s">
        <v>678</v>
      </c>
    </row>
    <row r="16" spans="1:16" ht="16.5">
      <c r="A16" s="39" t="s">
        <v>385</v>
      </c>
      <c r="B16" s="46" t="s">
        <v>271</v>
      </c>
      <c r="C16" s="39" t="s">
        <v>312</v>
      </c>
      <c r="D16" s="72">
        <v>242099349</v>
      </c>
      <c r="E16" s="73">
        <v>2526576057</v>
      </c>
      <c r="F16" s="39" t="s">
        <v>256</v>
      </c>
      <c r="G16" s="256">
        <v>75150</v>
      </c>
      <c r="H16" s="255">
        <v>37260</v>
      </c>
      <c r="I16" s="105" t="str">
        <f>CHOOSE(MONTH(H16),"January","February","March","April","May","June","July","August","September","October","November","December")</f>
        <v>January</v>
      </c>
      <c r="J16" s="51">
        <f ca="1">DATEDIF(H16,TODAY(),"Y")</f>
        <v>14</v>
      </c>
      <c r="P16" s="42" t="s">
        <v>700</v>
      </c>
    </row>
    <row r="17" spans="1:16" ht="16.5">
      <c r="A17" s="39" t="s">
        <v>890</v>
      </c>
      <c r="B17" s="46" t="s">
        <v>245</v>
      </c>
      <c r="C17" s="39" t="s">
        <v>705</v>
      </c>
      <c r="D17" s="72">
        <v>294130565</v>
      </c>
      <c r="E17" s="73">
        <v>9193744359</v>
      </c>
      <c r="F17" s="39" t="s">
        <v>256</v>
      </c>
      <c r="G17" s="256">
        <v>29130</v>
      </c>
      <c r="H17" s="255">
        <v>36907</v>
      </c>
      <c r="I17" s="105" t="str">
        <f>CHOOSE(MONTH(H17),"January","February","March","April","May","June","July","August","September","October","November","December")</f>
        <v>January</v>
      </c>
      <c r="J17" s="51">
        <f ca="1">DATEDIF(H17,TODAY(),"Y")</f>
        <v>15</v>
      </c>
      <c r="P17" s="42" t="s">
        <v>705</v>
      </c>
    </row>
    <row r="18" spans="1:16" ht="16.5">
      <c r="A18" s="39" t="s">
        <v>816</v>
      </c>
      <c r="B18" s="46" t="s">
        <v>266</v>
      </c>
      <c r="C18" s="39" t="s">
        <v>705</v>
      </c>
      <c r="D18" s="72">
        <v>443238477</v>
      </c>
      <c r="E18" s="73">
        <v>9198624601</v>
      </c>
      <c r="F18" s="39" t="s">
        <v>256</v>
      </c>
      <c r="G18" s="256">
        <v>48190</v>
      </c>
      <c r="H18" s="255">
        <v>36164</v>
      </c>
      <c r="I18" s="105" t="str">
        <f>CHOOSE(MONTH(H18),"January","February","March","April","May","June","July","August","September","October","November","December")</f>
        <v>January</v>
      </c>
      <c r="J18" s="51">
        <f ca="1">DATEDIF(H18,TODAY(),"Y")</f>
        <v>17</v>
      </c>
      <c r="P18" s="42" t="s">
        <v>750</v>
      </c>
    </row>
    <row r="19" spans="1:16" ht="16.5">
      <c r="A19" s="39" t="s">
        <v>894</v>
      </c>
      <c r="B19" s="46" t="s">
        <v>280</v>
      </c>
      <c r="C19" s="39" t="s">
        <v>856</v>
      </c>
      <c r="D19" s="72">
        <v>269873478</v>
      </c>
      <c r="E19" s="73">
        <v>9198244224</v>
      </c>
      <c r="F19" s="39" t="s">
        <v>256</v>
      </c>
      <c r="G19" s="256">
        <v>41770</v>
      </c>
      <c r="H19" s="255">
        <v>40193</v>
      </c>
      <c r="I19" s="105" t="str">
        <f>CHOOSE(MONTH(H19),"January","February","March","April","May","June","July","August","September","October","November","December")</f>
        <v>January</v>
      </c>
      <c r="J19" s="51">
        <f ca="1">DATEDIF(H19,TODAY(),"Y")</f>
        <v>6</v>
      </c>
      <c r="P19" s="42" t="s">
        <v>767</v>
      </c>
    </row>
    <row r="20" spans="1:16" ht="16.5">
      <c r="A20" s="39" t="s">
        <v>687</v>
      </c>
      <c r="B20" s="46" t="s">
        <v>285</v>
      </c>
      <c r="C20" s="39" t="s">
        <v>767</v>
      </c>
      <c r="D20" s="72">
        <v>953109212</v>
      </c>
      <c r="E20" s="73">
        <v>9191664940</v>
      </c>
      <c r="F20" s="39" t="s">
        <v>256</v>
      </c>
      <c r="G20" s="256">
        <v>21648</v>
      </c>
      <c r="H20" s="255">
        <v>35087</v>
      </c>
      <c r="I20" s="105" t="str">
        <f>CHOOSE(MONTH(H20),"January","February","March","April","May","June","July","August","September","October","November","December")</f>
        <v>January</v>
      </c>
      <c r="J20" s="51">
        <f ca="1">DATEDIF(H20,TODAY(),"Y")</f>
        <v>20</v>
      </c>
      <c r="P20" s="42" t="s">
        <v>856</v>
      </c>
    </row>
    <row r="21" spans="1:16" ht="16.5">
      <c r="A21" s="39" t="s">
        <v>898</v>
      </c>
      <c r="B21" s="46" t="s">
        <v>271</v>
      </c>
      <c r="C21" s="39" t="s">
        <v>930</v>
      </c>
      <c r="D21" s="72">
        <v>693214759</v>
      </c>
      <c r="E21" s="73">
        <v>9192683895</v>
      </c>
      <c r="F21" s="39" t="s">
        <v>256</v>
      </c>
      <c r="G21" s="256">
        <v>47280</v>
      </c>
      <c r="H21" s="255">
        <v>38737</v>
      </c>
      <c r="I21" s="105" t="str">
        <f>CHOOSE(MONTH(H21),"January","February","March","April","May","June","July","August","September","October","November","December")</f>
        <v>January</v>
      </c>
      <c r="J21" s="51">
        <f ca="1">DATEDIF(H21,TODAY(),"Y")</f>
        <v>10</v>
      </c>
      <c r="P21" s="42" t="s">
        <v>930</v>
      </c>
    </row>
    <row r="22" spans="1:16" ht="16.5">
      <c r="A22" s="39" t="s">
        <v>729</v>
      </c>
      <c r="B22" s="46" t="s">
        <v>271</v>
      </c>
      <c r="C22" s="39" t="s">
        <v>312</v>
      </c>
      <c r="D22" s="72">
        <v>831188207</v>
      </c>
      <c r="E22" s="73">
        <v>9192121334</v>
      </c>
      <c r="F22" s="39" t="s">
        <v>256</v>
      </c>
      <c r="G22" s="256">
        <v>59330</v>
      </c>
      <c r="H22" s="255">
        <v>40209</v>
      </c>
      <c r="I22" s="105" t="str">
        <f>CHOOSE(MONTH(H22),"January","February","March","April","May","June","July","August","September","October","November","December")</f>
        <v>January</v>
      </c>
      <c r="J22" s="51">
        <f ca="1">DATEDIF(H22,TODAY(),"Y")</f>
        <v>6</v>
      </c>
      <c r="P22" s="42" t="s">
        <v>1025</v>
      </c>
    </row>
    <row r="23" spans="1:16" ht="16.5">
      <c r="A23" s="39" t="s">
        <v>553</v>
      </c>
      <c r="B23" s="46" t="s">
        <v>245</v>
      </c>
      <c r="C23" s="39" t="s">
        <v>856</v>
      </c>
      <c r="D23" s="72">
        <v>426014550</v>
      </c>
      <c r="E23" s="73">
        <v>2522889182</v>
      </c>
      <c r="F23" s="39" t="s">
        <v>256</v>
      </c>
      <c r="G23" s="256">
        <v>38940</v>
      </c>
      <c r="H23" s="255">
        <v>40567</v>
      </c>
      <c r="I23" s="105" t="str">
        <f>CHOOSE(MONTH(H23),"January","February","March","April","May","June","July","August","September","October","November","December")</f>
        <v>January</v>
      </c>
      <c r="J23" s="51">
        <f ca="1">DATEDIF(H23,TODAY(),"Y")</f>
        <v>5</v>
      </c>
      <c r="P23" s="42" t="s">
        <v>1031</v>
      </c>
    </row>
    <row r="24" spans="1:16" ht="16.5">
      <c r="A24" s="39" t="s">
        <v>557</v>
      </c>
      <c r="B24" s="46" t="s">
        <v>271</v>
      </c>
      <c r="C24" s="39" t="s">
        <v>312</v>
      </c>
      <c r="D24" s="72">
        <v>436693732</v>
      </c>
      <c r="E24" s="73">
        <v>2524077699</v>
      </c>
      <c r="F24" s="39" t="s">
        <v>256</v>
      </c>
      <c r="G24" s="256">
        <v>69420</v>
      </c>
      <c r="H24" s="255">
        <v>34721</v>
      </c>
      <c r="I24" s="105" t="str">
        <f>CHOOSE(MONTH(H24),"January","February","March","April","May","June","July","August","September","October","November","December")</f>
        <v>January</v>
      </c>
      <c r="J24" s="51">
        <f ca="1">DATEDIF(H24,TODAY(),"Y")</f>
        <v>21</v>
      </c>
    </row>
    <row r="25" spans="1:16" ht="16.5">
      <c r="A25" s="39" t="s">
        <v>460</v>
      </c>
      <c r="B25" s="46" t="s">
        <v>285</v>
      </c>
      <c r="C25" s="39" t="s">
        <v>930</v>
      </c>
      <c r="D25" s="72">
        <v>163350417</v>
      </c>
      <c r="E25" s="73">
        <v>2526466230</v>
      </c>
      <c r="F25" s="39" t="s">
        <v>256</v>
      </c>
      <c r="G25" s="256">
        <v>77760</v>
      </c>
      <c r="H25" s="255">
        <v>35811</v>
      </c>
      <c r="I25" s="105" t="str">
        <f>CHOOSE(MONTH(H25),"January","February","March","April","May","June","July","August","September","October","November","December")</f>
        <v>January</v>
      </c>
      <c r="J25" s="51">
        <f ca="1">DATEDIF(H25,TODAY(),"Y")</f>
        <v>18</v>
      </c>
    </row>
    <row r="26" spans="1:16" ht="16.5">
      <c r="A26" s="39" t="s">
        <v>563</v>
      </c>
      <c r="B26" s="46" t="s">
        <v>271</v>
      </c>
      <c r="C26" s="39" t="s">
        <v>705</v>
      </c>
      <c r="D26" s="72">
        <v>934447306</v>
      </c>
      <c r="E26" s="73">
        <v>2525981242</v>
      </c>
      <c r="F26" s="39" t="s">
        <v>256</v>
      </c>
      <c r="G26" s="256">
        <v>26185</v>
      </c>
      <c r="H26" s="255">
        <v>34350</v>
      </c>
      <c r="I26" s="105" t="str">
        <f>CHOOSE(MONTH(H26),"January","February","March","April","May","June","July","August","September","October","November","December")</f>
        <v>January</v>
      </c>
      <c r="J26" s="51">
        <f ca="1">DATEDIF(H26,TODAY(),"Y")</f>
        <v>22</v>
      </c>
    </row>
    <row r="27" spans="1:16" ht="16.5">
      <c r="A27" s="39" t="s">
        <v>414</v>
      </c>
      <c r="B27" s="46" t="s">
        <v>251</v>
      </c>
      <c r="C27" s="39" t="s">
        <v>272</v>
      </c>
      <c r="D27" s="72">
        <v>975603308</v>
      </c>
      <c r="E27" s="73">
        <v>9192693355</v>
      </c>
      <c r="F27" s="39" t="s">
        <v>256</v>
      </c>
      <c r="G27" s="256">
        <v>54500</v>
      </c>
      <c r="H27" s="255">
        <v>35825</v>
      </c>
      <c r="I27" s="105" t="str">
        <f>CHOOSE(MONTH(H27),"January","February","March","April","May","June","July","August","September","October","November","December")</f>
        <v>January</v>
      </c>
      <c r="J27" s="51">
        <f ca="1">DATEDIF(H27,TODAY(),"Y")</f>
        <v>18</v>
      </c>
    </row>
    <row r="28" spans="1:16" ht="16.5">
      <c r="A28" s="39" t="s">
        <v>999</v>
      </c>
      <c r="B28" s="46" t="s">
        <v>266</v>
      </c>
      <c r="C28" s="39" t="s">
        <v>381</v>
      </c>
      <c r="D28" s="72">
        <v>452692136</v>
      </c>
      <c r="E28" s="73">
        <v>2524106437</v>
      </c>
      <c r="F28" s="39" t="s">
        <v>256</v>
      </c>
      <c r="G28" s="256">
        <v>70730</v>
      </c>
      <c r="H28" s="255">
        <v>35079</v>
      </c>
      <c r="I28" s="105" t="str">
        <f>CHOOSE(MONTH(H28),"January","February","March","April","May","June","July","August","September","October","November","December")</f>
        <v>January</v>
      </c>
      <c r="J28" s="51">
        <f ca="1">DATEDIF(H28,TODAY(),"Y")</f>
        <v>20</v>
      </c>
    </row>
    <row r="29" spans="1:16" ht="16.5">
      <c r="A29" s="39" t="s">
        <v>406</v>
      </c>
      <c r="B29" s="46" t="s">
        <v>285</v>
      </c>
      <c r="C29" s="39" t="s">
        <v>930</v>
      </c>
      <c r="D29" s="72">
        <v>771110153</v>
      </c>
      <c r="E29" s="73">
        <v>9196799516</v>
      </c>
      <c r="F29" s="39" t="s">
        <v>256</v>
      </c>
      <c r="G29" s="256">
        <v>11044</v>
      </c>
      <c r="H29" s="255">
        <v>36526</v>
      </c>
      <c r="I29" s="105" t="str">
        <f>CHOOSE(MONTH(H29),"January","February","March","April","May","June","July","August","September","October","November","December")</f>
        <v>January</v>
      </c>
      <c r="J29" s="51">
        <f ca="1">DATEDIF(H29,TODAY(),"Y")</f>
        <v>16</v>
      </c>
    </row>
    <row r="30" spans="1:16" ht="16.5">
      <c r="A30" s="39" t="s">
        <v>355</v>
      </c>
      <c r="B30" s="46" t="s">
        <v>271</v>
      </c>
      <c r="C30" s="39" t="s">
        <v>381</v>
      </c>
      <c r="D30" s="72">
        <v>943671719</v>
      </c>
      <c r="E30" s="73">
        <v>9193517837</v>
      </c>
      <c r="F30" s="39" t="s">
        <v>256</v>
      </c>
      <c r="G30" s="256">
        <v>46780</v>
      </c>
      <c r="H30" s="255">
        <v>35070</v>
      </c>
      <c r="I30" s="105" t="str">
        <f>CHOOSE(MONTH(H30),"January","February","March","April","May","June","July","August","September","October","November","December")</f>
        <v>January</v>
      </c>
      <c r="J30" s="51">
        <f ca="1">DATEDIF(H30,TODAY(),"Y")</f>
        <v>20</v>
      </c>
    </row>
    <row r="31" spans="1:16" ht="16.5">
      <c r="A31" s="39" t="s">
        <v>838</v>
      </c>
      <c r="B31" s="46" t="s">
        <v>285</v>
      </c>
      <c r="C31" s="39" t="s">
        <v>856</v>
      </c>
      <c r="D31" s="72">
        <v>331251341</v>
      </c>
      <c r="E31" s="73">
        <v>2528678875</v>
      </c>
      <c r="F31" s="39" t="s">
        <v>256</v>
      </c>
      <c r="G31" s="256">
        <v>35680</v>
      </c>
      <c r="H31" s="255">
        <v>34364</v>
      </c>
      <c r="I31" s="105" t="str">
        <f>CHOOSE(MONTH(H31),"January","February","March","April","May","June","July","August","September","October","November","December")</f>
        <v>January</v>
      </c>
      <c r="J31" s="51">
        <f ca="1">DATEDIF(H31,TODAY(),"Y")</f>
        <v>22</v>
      </c>
    </row>
    <row r="32" spans="1:16" ht="16.5">
      <c r="A32" s="39" t="s">
        <v>1010</v>
      </c>
      <c r="B32" s="46" t="s">
        <v>285</v>
      </c>
      <c r="C32" s="39" t="s">
        <v>465</v>
      </c>
      <c r="D32" s="72">
        <v>903618594</v>
      </c>
      <c r="E32" s="73">
        <v>9194733288</v>
      </c>
      <c r="F32" s="39" t="s">
        <v>256</v>
      </c>
      <c r="G32" s="256">
        <v>64130</v>
      </c>
      <c r="H32" s="255">
        <v>35090</v>
      </c>
      <c r="I32" s="105" t="str">
        <f>CHOOSE(MONTH(H32),"January","February","March","April","May","June","July","August","September","October","November","December")</f>
        <v>January</v>
      </c>
      <c r="J32" s="51">
        <f ca="1">DATEDIF(H32,TODAY(),"Y")</f>
        <v>20</v>
      </c>
    </row>
    <row r="33" spans="1:10" ht="16.5">
      <c r="A33" s="39" t="s">
        <v>742</v>
      </c>
      <c r="B33" s="46" t="s">
        <v>285</v>
      </c>
      <c r="C33" s="39" t="s">
        <v>678</v>
      </c>
      <c r="D33" s="72">
        <v>802700229</v>
      </c>
      <c r="E33" s="73">
        <v>2524264889</v>
      </c>
      <c r="F33" s="39" t="s">
        <v>256</v>
      </c>
      <c r="G33" s="256">
        <v>16925</v>
      </c>
      <c r="H33" s="255">
        <v>37270</v>
      </c>
      <c r="I33" s="105" t="str">
        <f>CHOOSE(MONTH(H33),"January","February","March","April","May","June","July","August","September","October","November","December")</f>
        <v>January</v>
      </c>
      <c r="J33" s="51">
        <f ca="1">DATEDIF(H33,TODAY(),"Y")</f>
        <v>14</v>
      </c>
    </row>
    <row r="34" spans="1:10" ht="16.5">
      <c r="A34" s="39" t="s">
        <v>600</v>
      </c>
      <c r="B34" s="46" t="s">
        <v>280</v>
      </c>
      <c r="C34" s="39" t="s">
        <v>465</v>
      </c>
      <c r="D34" s="72">
        <v>312019803</v>
      </c>
      <c r="E34" s="73">
        <v>9197961953</v>
      </c>
      <c r="F34" s="39" t="s">
        <v>256</v>
      </c>
      <c r="G34" s="256">
        <v>45040</v>
      </c>
      <c r="H34" s="255">
        <v>37992</v>
      </c>
      <c r="I34" s="105" t="str">
        <f>CHOOSE(MONTH(H34),"January","February","March","April","May","June","July","August","September","October","November","December")</f>
        <v>January</v>
      </c>
      <c r="J34" s="51">
        <f ca="1">DATEDIF(H34,TODAY(),"Y")</f>
        <v>12</v>
      </c>
    </row>
    <row r="35" spans="1:10" ht="16.5">
      <c r="A35" s="39" t="s">
        <v>287</v>
      </c>
      <c r="B35" s="46" t="s">
        <v>285</v>
      </c>
      <c r="C35" s="39" t="s">
        <v>465</v>
      </c>
      <c r="D35" s="72">
        <v>249929042</v>
      </c>
      <c r="E35" s="73">
        <v>2525790872</v>
      </c>
      <c r="F35" s="39" t="s">
        <v>256</v>
      </c>
      <c r="G35" s="256">
        <v>75060</v>
      </c>
      <c r="H35" s="255">
        <v>36186</v>
      </c>
      <c r="I35" s="105" t="str">
        <f>CHOOSE(MONTH(H35),"January","February","March","April","May","June","July","August","September","October","November","December")</f>
        <v>January</v>
      </c>
      <c r="J35" s="51">
        <f ca="1">DATEDIF(H35,TODAY(),"Y")</f>
        <v>17</v>
      </c>
    </row>
    <row r="36" spans="1:10" ht="16.5">
      <c r="A36" s="39" t="s">
        <v>841</v>
      </c>
      <c r="B36" s="46" t="s">
        <v>285</v>
      </c>
      <c r="C36" s="39" t="s">
        <v>750</v>
      </c>
      <c r="D36" s="72">
        <v>174483231</v>
      </c>
      <c r="E36" s="73">
        <v>9196733291</v>
      </c>
      <c r="F36" s="39" t="s">
        <v>256</v>
      </c>
      <c r="G36" s="256">
        <v>82110</v>
      </c>
      <c r="H36" s="255">
        <v>38363</v>
      </c>
      <c r="I36" s="105" t="str">
        <f>CHOOSE(MONTH(H36),"January","February","March","April","May","June","July","August","September","October","November","December")</f>
        <v>January</v>
      </c>
      <c r="J36" s="51">
        <f ca="1">DATEDIF(H36,TODAY(),"Y")</f>
        <v>11</v>
      </c>
    </row>
    <row r="37" spans="1:10" ht="16.5">
      <c r="A37" s="39" t="s">
        <v>922</v>
      </c>
      <c r="B37" s="46" t="s">
        <v>285</v>
      </c>
      <c r="C37" s="39" t="s">
        <v>307</v>
      </c>
      <c r="D37" s="72">
        <v>682791418</v>
      </c>
      <c r="E37" s="73">
        <v>9194603155</v>
      </c>
      <c r="F37" s="39" t="s">
        <v>256</v>
      </c>
      <c r="G37" s="256">
        <v>46390</v>
      </c>
      <c r="H37" s="255">
        <v>36190</v>
      </c>
      <c r="I37" s="105" t="str">
        <f>CHOOSE(MONTH(H37),"January","February","March","April","May","June","July","August","September","October","November","December")</f>
        <v>January</v>
      </c>
      <c r="J37" s="51">
        <f ca="1">DATEDIF(H37,TODAY(),"Y")</f>
        <v>17</v>
      </c>
    </row>
    <row r="38" spans="1:10" ht="16.5">
      <c r="A38" s="39" t="s">
        <v>846</v>
      </c>
      <c r="B38" s="46" t="s">
        <v>285</v>
      </c>
      <c r="C38" s="39" t="s">
        <v>767</v>
      </c>
      <c r="D38" s="72">
        <v>967035612</v>
      </c>
      <c r="E38" s="73">
        <v>2528842613</v>
      </c>
      <c r="F38" s="39" t="s">
        <v>256</v>
      </c>
      <c r="G38" s="256">
        <v>78100</v>
      </c>
      <c r="H38" s="255">
        <v>34716</v>
      </c>
      <c r="I38" s="105" t="str">
        <f>CHOOSE(MONTH(H38),"January","February","March","April","May","June","July","August","September","October","November","December")</f>
        <v>January</v>
      </c>
      <c r="J38" s="51">
        <f ca="1">DATEDIF(H38,TODAY(),"Y")</f>
        <v>21</v>
      </c>
    </row>
    <row r="39" spans="1:10" ht="16.5">
      <c r="A39" s="39" t="s">
        <v>367</v>
      </c>
      <c r="B39" s="46" t="s">
        <v>280</v>
      </c>
      <c r="C39" s="39" t="s">
        <v>381</v>
      </c>
      <c r="D39" s="72">
        <v>313651312</v>
      </c>
      <c r="E39" s="73">
        <v>2526092172</v>
      </c>
      <c r="F39" s="39" t="s">
        <v>256</v>
      </c>
      <c r="G39" s="256">
        <v>24840</v>
      </c>
      <c r="H39" s="255">
        <v>40193</v>
      </c>
      <c r="I39" s="105" t="str">
        <f>CHOOSE(MONTH(H39),"January","February","March","April","May","June","July","August","September","October","November","December")</f>
        <v>January</v>
      </c>
      <c r="J39" s="51">
        <f ca="1">DATEDIF(H39,TODAY(),"Y")</f>
        <v>6</v>
      </c>
    </row>
    <row r="40" spans="1:10" ht="16.5">
      <c r="A40" s="39" t="s">
        <v>1022</v>
      </c>
      <c r="B40" s="46" t="s">
        <v>271</v>
      </c>
      <c r="C40" s="39" t="s">
        <v>930</v>
      </c>
      <c r="D40" s="72">
        <v>855663308</v>
      </c>
      <c r="E40" s="73">
        <v>9195797109</v>
      </c>
      <c r="F40" s="39" t="s">
        <v>256</v>
      </c>
      <c r="G40" s="256">
        <v>31110</v>
      </c>
      <c r="H40" s="255">
        <v>38720</v>
      </c>
      <c r="I40" s="105" t="str">
        <f>CHOOSE(MONTH(H40),"January","February","March","April","May","June","July","August","September","October","November","December")</f>
        <v>January</v>
      </c>
      <c r="J40" s="51">
        <f ca="1">DATEDIF(H40,TODAY(),"Y")</f>
        <v>10</v>
      </c>
    </row>
    <row r="41" spans="1:10" ht="16.5">
      <c r="A41" s="39" t="s">
        <v>370</v>
      </c>
      <c r="B41" s="46" t="s">
        <v>245</v>
      </c>
      <c r="C41" s="39" t="s">
        <v>767</v>
      </c>
      <c r="D41" s="72">
        <v>151277827</v>
      </c>
      <c r="E41" s="73">
        <v>9197179128</v>
      </c>
      <c r="F41" s="39" t="s">
        <v>256</v>
      </c>
      <c r="G41" s="256">
        <v>32390</v>
      </c>
      <c r="H41" s="255">
        <v>35435</v>
      </c>
      <c r="I41" s="105" t="str">
        <f>CHOOSE(MONTH(H41),"January","February","March","April","May","June","July","August","September","October","November","December")</f>
        <v>January</v>
      </c>
      <c r="J41" s="51">
        <f ca="1">DATEDIF(H41,TODAY(),"Y")</f>
        <v>19</v>
      </c>
    </row>
    <row r="42" spans="1:10" ht="16.5">
      <c r="A42" s="39" t="s">
        <v>454</v>
      </c>
      <c r="B42" s="46" t="s">
        <v>285</v>
      </c>
      <c r="C42" s="39" t="s">
        <v>856</v>
      </c>
      <c r="D42" s="72">
        <v>708082156</v>
      </c>
      <c r="E42" s="73">
        <v>9194919822</v>
      </c>
      <c r="F42" s="39" t="s">
        <v>256</v>
      </c>
      <c r="G42" s="256">
        <v>31910</v>
      </c>
      <c r="H42" s="255">
        <v>41294</v>
      </c>
      <c r="I42" s="105" t="str">
        <f>CHOOSE(MONTH(H42),"January","February","March","April","May","June","July","August","September","October","November","December")</f>
        <v>January</v>
      </c>
      <c r="J42" s="51">
        <f ca="1">DATEDIF(H42,TODAY(),"Y")</f>
        <v>3</v>
      </c>
    </row>
    <row r="43" spans="1:10" ht="16.5">
      <c r="A43" s="39" t="s">
        <v>855</v>
      </c>
      <c r="B43" s="46" t="s">
        <v>285</v>
      </c>
      <c r="C43" s="39" t="s">
        <v>930</v>
      </c>
      <c r="D43" s="72">
        <v>627494412</v>
      </c>
      <c r="E43" s="73">
        <v>2528249735</v>
      </c>
      <c r="F43" s="39" t="s">
        <v>256</v>
      </c>
      <c r="G43" s="256">
        <v>45710</v>
      </c>
      <c r="H43" s="255">
        <v>34756</v>
      </c>
      <c r="I43" s="105" t="str">
        <f>CHOOSE(MONTH(H43),"January","February","March","April","May","June","July","August","September","October","November","December")</f>
        <v>February</v>
      </c>
      <c r="J43" s="51">
        <f ca="1">DATEDIF(H43,TODAY(),"Y")</f>
        <v>21</v>
      </c>
    </row>
    <row r="44" spans="1:10" ht="16.5">
      <c r="A44" s="39" t="s">
        <v>617</v>
      </c>
      <c r="B44" s="46" t="s">
        <v>285</v>
      </c>
      <c r="C44" s="39" t="s">
        <v>767</v>
      </c>
      <c r="D44" s="72">
        <v>765512793</v>
      </c>
      <c r="E44" s="73">
        <v>9197686976</v>
      </c>
      <c r="F44" s="39" t="s">
        <v>256</v>
      </c>
      <c r="G44" s="256">
        <v>49530</v>
      </c>
      <c r="H44" s="255">
        <v>37674</v>
      </c>
      <c r="I44" s="105" t="str">
        <f>CHOOSE(MONTH(H44),"January","February","March","April","May","June","July","August","September","October","November","December")</f>
        <v>February</v>
      </c>
      <c r="J44" s="51">
        <f ca="1">DATEDIF(H44,TODAY(),"Y")</f>
        <v>13</v>
      </c>
    </row>
    <row r="45" spans="1:10" ht="16.5">
      <c r="A45" s="39" t="s">
        <v>706</v>
      </c>
      <c r="B45" s="46" t="s">
        <v>280</v>
      </c>
      <c r="C45" s="39" t="s">
        <v>930</v>
      </c>
      <c r="D45" s="72">
        <v>651999482</v>
      </c>
      <c r="E45" s="73">
        <v>2523014821</v>
      </c>
      <c r="F45" s="39" t="s">
        <v>256</v>
      </c>
      <c r="G45" s="256">
        <v>14712</v>
      </c>
      <c r="H45" s="255">
        <v>34741</v>
      </c>
      <c r="I45" s="105" t="str">
        <f>CHOOSE(MONTH(H45),"January","February","March","April","May","June","July","August","September","October","November","December")</f>
        <v>February</v>
      </c>
      <c r="J45" s="51">
        <f ca="1">DATEDIF(H45,TODAY(),"Y")</f>
        <v>21</v>
      </c>
    </row>
    <row r="46" spans="1:10" ht="16.5">
      <c r="A46" s="39" t="s">
        <v>1024</v>
      </c>
      <c r="B46" s="46" t="s">
        <v>285</v>
      </c>
      <c r="C46" s="39" t="s">
        <v>312</v>
      </c>
      <c r="D46" s="72">
        <v>496260023</v>
      </c>
      <c r="E46" s="73">
        <v>2523962015</v>
      </c>
      <c r="F46" s="39" t="s">
        <v>256</v>
      </c>
      <c r="G46" s="256">
        <v>58650</v>
      </c>
      <c r="H46" s="255">
        <v>36584</v>
      </c>
      <c r="I46" s="105" t="str">
        <f>CHOOSE(MONTH(H46),"January","February","March","April","May","June","July","August","September","October","November","December")</f>
        <v>February</v>
      </c>
      <c r="J46" s="51">
        <f ca="1">DATEDIF(H46,TODAY(),"Y")</f>
        <v>16</v>
      </c>
    </row>
    <row r="47" spans="1:10" ht="16.5">
      <c r="A47" s="39" t="s">
        <v>935</v>
      </c>
      <c r="B47" s="46" t="s">
        <v>285</v>
      </c>
      <c r="C47" s="39" t="s">
        <v>705</v>
      </c>
      <c r="D47" s="72">
        <v>555718765</v>
      </c>
      <c r="E47" s="73">
        <v>2524618773</v>
      </c>
      <c r="F47" s="39" t="s">
        <v>256</v>
      </c>
      <c r="G47" s="256">
        <v>87030</v>
      </c>
      <c r="H47" s="255">
        <v>36948</v>
      </c>
      <c r="I47" s="105" t="str">
        <f>CHOOSE(MONTH(H47),"January","February","March","April","May","June","July","August","September","October","November","December")</f>
        <v>February</v>
      </c>
      <c r="J47" s="51">
        <f ca="1">DATEDIF(H47,TODAY(),"Y")</f>
        <v>15</v>
      </c>
    </row>
    <row r="48" spans="1:10" ht="16.5">
      <c r="A48" s="39" t="s">
        <v>869</v>
      </c>
      <c r="B48" s="46" t="s">
        <v>285</v>
      </c>
      <c r="C48" s="39" t="s">
        <v>626</v>
      </c>
      <c r="D48" s="72">
        <v>751878224</v>
      </c>
      <c r="E48" s="73">
        <v>9194713628</v>
      </c>
      <c r="F48" s="39" t="s">
        <v>256</v>
      </c>
      <c r="G48" s="256">
        <v>30445</v>
      </c>
      <c r="H48" s="255">
        <v>38023</v>
      </c>
      <c r="I48" s="105" t="str">
        <f>CHOOSE(MONTH(H48),"January","February","March","April","May","June","July","August","September","October","November","December")</f>
        <v>February</v>
      </c>
      <c r="J48" s="51">
        <f ca="1">DATEDIF(H48,TODAY(),"Y")</f>
        <v>12</v>
      </c>
    </row>
    <row r="49" spans="1:10" ht="16.5">
      <c r="A49" s="39" t="s">
        <v>371</v>
      </c>
      <c r="B49" s="46" t="s">
        <v>251</v>
      </c>
      <c r="C49" s="39" t="s">
        <v>626</v>
      </c>
      <c r="D49" s="72">
        <v>159415552</v>
      </c>
      <c r="E49" s="73">
        <v>9194221208</v>
      </c>
      <c r="F49" s="39" t="s">
        <v>256</v>
      </c>
      <c r="G49" s="256">
        <v>27180</v>
      </c>
      <c r="H49" s="255">
        <v>39497</v>
      </c>
      <c r="I49" s="105" t="str">
        <f>CHOOSE(MONTH(H49),"January","February","March","April","May","June","July","August","September","October","November","December")</f>
        <v>February</v>
      </c>
      <c r="J49" s="51">
        <f ca="1">DATEDIF(H49,TODAY(),"Y")</f>
        <v>8</v>
      </c>
    </row>
    <row r="50" spans="1:10" ht="16.5">
      <c r="A50" s="39" t="s">
        <v>317</v>
      </c>
      <c r="B50" s="46" t="s">
        <v>285</v>
      </c>
      <c r="C50" s="39" t="s">
        <v>626</v>
      </c>
      <c r="D50" s="72">
        <v>567266382</v>
      </c>
      <c r="E50" s="73">
        <v>2521683770</v>
      </c>
      <c r="F50" s="39" t="s">
        <v>256</v>
      </c>
      <c r="G50" s="256">
        <v>62790</v>
      </c>
      <c r="H50" s="255">
        <v>40964</v>
      </c>
      <c r="I50" s="105" t="str">
        <f>CHOOSE(MONTH(H50),"January","February","March","April","May","June","July","August","September","October","November","December")</f>
        <v>February</v>
      </c>
      <c r="J50" s="51">
        <f ca="1">DATEDIF(H50,TODAY(),"Y")</f>
        <v>4</v>
      </c>
    </row>
    <row r="51" spans="1:10" ht="16.5">
      <c r="A51" s="39" t="s">
        <v>393</v>
      </c>
      <c r="B51" s="46" t="s">
        <v>271</v>
      </c>
      <c r="C51" s="39" t="s">
        <v>456</v>
      </c>
      <c r="D51" s="72">
        <v>861884260</v>
      </c>
      <c r="E51" s="73">
        <v>9196632360</v>
      </c>
      <c r="F51" s="39" t="s">
        <v>256</v>
      </c>
      <c r="G51" s="256">
        <v>26510</v>
      </c>
      <c r="H51" s="255">
        <v>34027</v>
      </c>
      <c r="I51" s="105" t="str">
        <f>CHOOSE(MONTH(H51),"January","February","March","April","May","June","July","August","September","October","November","December")</f>
        <v>February</v>
      </c>
      <c r="J51" s="51">
        <f ca="1">DATEDIF(H51,TODAY(),"Y")</f>
        <v>23</v>
      </c>
    </row>
    <row r="52" spans="1:10" ht="16.5">
      <c r="A52" s="39" t="s">
        <v>788</v>
      </c>
      <c r="B52" s="46" t="s">
        <v>285</v>
      </c>
      <c r="C52" s="39" t="s">
        <v>312</v>
      </c>
      <c r="D52" s="72">
        <v>411058865</v>
      </c>
      <c r="E52" s="73">
        <v>2523883919</v>
      </c>
      <c r="F52" s="39" t="s">
        <v>256</v>
      </c>
      <c r="G52" s="256">
        <v>58410</v>
      </c>
      <c r="H52" s="255">
        <v>35123</v>
      </c>
      <c r="I52" s="105" t="str">
        <f>CHOOSE(MONTH(H52),"January","February","March","April","May","June","July","August","September","October","November","December")</f>
        <v>February</v>
      </c>
      <c r="J52" s="51">
        <f ca="1">DATEDIF(H52,TODAY(),"Y")</f>
        <v>20</v>
      </c>
    </row>
    <row r="53" spans="1:10" ht="16.5">
      <c r="A53" s="39" t="s">
        <v>887</v>
      </c>
      <c r="B53" s="46" t="s">
        <v>285</v>
      </c>
      <c r="C53" s="39" t="s">
        <v>372</v>
      </c>
      <c r="D53" s="72">
        <v>272036635</v>
      </c>
      <c r="E53" s="73">
        <v>2521656242</v>
      </c>
      <c r="F53" s="39" t="s">
        <v>256</v>
      </c>
      <c r="G53" s="256">
        <v>43680</v>
      </c>
      <c r="H53" s="255">
        <v>38776</v>
      </c>
      <c r="I53" s="105" t="str">
        <f>CHOOSE(MONTH(H53),"January","February","March","April","May","June","July","August","September","October","November","December")</f>
        <v>February</v>
      </c>
      <c r="J53" s="51">
        <f ca="1">DATEDIF(H53,TODAY(),"Y")</f>
        <v>10</v>
      </c>
    </row>
    <row r="54" spans="1:10" ht="16.5">
      <c r="A54" s="39" t="s">
        <v>397</v>
      </c>
      <c r="B54" s="46" t="s">
        <v>285</v>
      </c>
      <c r="C54" s="39" t="s">
        <v>465</v>
      </c>
      <c r="D54" s="72">
        <v>243062914</v>
      </c>
      <c r="E54" s="73">
        <v>9194018412</v>
      </c>
      <c r="F54" s="39" t="s">
        <v>256</v>
      </c>
      <c r="G54" s="256">
        <v>58250</v>
      </c>
      <c r="H54" s="255">
        <v>34742</v>
      </c>
      <c r="I54" s="105" t="str">
        <f>CHOOSE(MONTH(H54),"January","February","March","April","May","June","July","August","September","October","November","December")</f>
        <v>February</v>
      </c>
      <c r="J54" s="51">
        <f ca="1">DATEDIF(H54,TODAY(),"Y")</f>
        <v>21</v>
      </c>
    </row>
    <row r="55" spans="1:10" ht="16.5">
      <c r="A55" s="39" t="s">
        <v>537</v>
      </c>
      <c r="B55" s="46" t="s">
        <v>285</v>
      </c>
      <c r="C55" s="39" t="s">
        <v>465</v>
      </c>
      <c r="D55" s="72">
        <v>291715078</v>
      </c>
      <c r="E55" s="73">
        <v>9197662359</v>
      </c>
      <c r="F55" s="39" t="s">
        <v>256</v>
      </c>
      <c r="G55" s="256">
        <v>72830</v>
      </c>
      <c r="H55" s="255">
        <v>37675</v>
      </c>
      <c r="I55" s="105" t="str">
        <f>CHOOSE(MONTH(H55),"January","February","March","April","May","June","July","August","September","October","November","December")</f>
        <v>February</v>
      </c>
      <c r="J55" s="51">
        <f ca="1">DATEDIF(H55,TODAY(),"Y")</f>
        <v>13</v>
      </c>
    </row>
    <row r="56" spans="1:10" ht="16.5">
      <c r="A56" s="39" t="s">
        <v>895</v>
      </c>
      <c r="B56" s="46" t="s">
        <v>285</v>
      </c>
      <c r="C56" s="39" t="s">
        <v>930</v>
      </c>
      <c r="D56" s="72">
        <v>862698919</v>
      </c>
      <c r="E56" s="73">
        <v>2522780847</v>
      </c>
      <c r="F56" s="39" t="s">
        <v>256</v>
      </c>
      <c r="G56" s="256">
        <v>13690</v>
      </c>
      <c r="H56" s="255">
        <v>36192</v>
      </c>
      <c r="I56" s="105" t="str">
        <f>CHOOSE(MONTH(H56),"January","February","March","April","May","June","July","August","September","October","November","December")</f>
        <v>February</v>
      </c>
      <c r="J56" s="51">
        <f ca="1">DATEDIF(H56,TODAY(),"Y")</f>
        <v>17</v>
      </c>
    </row>
    <row r="57" spans="1:10" ht="16.5">
      <c r="A57" s="39" t="s">
        <v>979</v>
      </c>
      <c r="B57" s="46" t="s">
        <v>245</v>
      </c>
      <c r="C57" s="39" t="s">
        <v>856</v>
      </c>
      <c r="D57" s="72">
        <v>765836666</v>
      </c>
      <c r="E57" s="73">
        <v>2525013435</v>
      </c>
      <c r="F57" s="39" t="s">
        <v>256</v>
      </c>
      <c r="G57" s="256">
        <v>63440</v>
      </c>
      <c r="H57" s="255">
        <v>37302</v>
      </c>
      <c r="I57" s="105" t="str">
        <f>CHOOSE(MONTH(H57),"January","February","March","April","May","June","July","August","September","October","November","December")</f>
        <v>February</v>
      </c>
      <c r="J57" s="51">
        <f ca="1">DATEDIF(H57,TODAY(),"Y")</f>
        <v>14</v>
      </c>
    </row>
    <row r="58" spans="1:10" ht="16.5">
      <c r="A58" s="39" t="s">
        <v>399</v>
      </c>
      <c r="B58" s="46" t="s">
        <v>251</v>
      </c>
      <c r="C58" s="39" t="s">
        <v>626</v>
      </c>
      <c r="D58" s="72">
        <v>154984918</v>
      </c>
      <c r="E58" s="73">
        <v>2521575684</v>
      </c>
      <c r="F58" s="39" t="s">
        <v>256</v>
      </c>
      <c r="G58" s="256">
        <v>43820</v>
      </c>
      <c r="H58" s="255">
        <v>39137</v>
      </c>
      <c r="I58" s="105" t="str">
        <f>CHOOSE(MONTH(H58),"January","February","March","April","May","June","July","August","September","October","November","December")</f>
        <v>February</v>
      </c>
      <c r="J58" s="51">
        <f ca="1">DATEDIF(H58,TODAY(),"Y")</f>
        <v>9</v>
      </c>
    </row>
    <row r="59" spans="1:10" ht="16.5">
      <c r="A59" s="39" t="s">
        <v>555</v>
      </c>
      <c r="B59" s="46" t="s">
        <v>271</v>
      </c>
      <c r="C59" s="39" t="s">
        <v>767</v>
      </c>
      <c r="D59" s="72">
        <v>959750235</v>
      </c>
      <c r="E59" s="73">
        <v>2528488350</v>
      </c>
      <c r="F59" s="39" t="s">
        <v>256</v>
      </c>
      <c r="G59" s="256">
        <v>35600</v>
      </c>
      <c r="H59" s="255">
        <v>40588</v>
      </c>
      <c r="I59" s="105" t="str">
        <f>CHOOSE(MONTH(H59),"January","February","March","April","May","June","July","August","September","October","November","December")</f>
        <v>February</v>
      </c>
      <c r="J59" s="51">
        <f ca="1">DATEDIF(H59,TODAY(),"Y")</f>
        <v>5</v>
      </c>
    </row>
    <row r="60" spans="1:10" ht="16.5">
      <c r="A60" s="39" t="s">
        <v>905</v>
      </c>
      <c r="B60" s="46" t="s">
        <v>280</v>
      </c>
      <c r="C60" s="39" t="s">
        <v>618</v>
      </c>
      <c r="D60" s="72">
        <v>742946482</v>
      </c>
      <c r="E60" s="73">
        <v>9197077326</v>
      </c>
      <c r="F60" s="39" t="s">
        <v>256</v>
      </c>
      <c r="G60" s="256">
        <v>72480</v>
      </c>
      <c r="H60" s="255">
        <v>34022</v>
      </c>
      <c r="I60" s="105" t="str">
        <f>CHOOSE(MONTH(H60),"January","February","March","April","May","June","July","August","September","October","November","December")</f>
        <v>February</v>
      </c>
      <c r="J60" s="51">
        <f ca="1">DATEDIF(H60,TODAY(),"Y")</f>
        <v>23</v>
      </c>
    </row>
    <row r="61" spans="1:10" ht="16.5">
      <c r="A61" s="39" t="s">
        <v>824</v>
      </c>
      <c r="B61" s="46" t="s">
        <v>245</v>
      </c>
      <c r="C61" s="39" t="s">
        <v>767</v>
      </c>
      <c r="D61" s="72">
        <v>476243591</v>
      </c>
      <c r="E61" s="73">
        <v>9197188067</v>
      </c>
      <c r="F61" s="39" t="s">
        <v>256</v>
      </c>
      <c r="G61" s="256">
        <v>26190</v>
      </c>
      <c r="H61" s="255">
        <v>34370</v>
      </c>
      <c r="I61" s="105" t="str">
        <f>CHOOSE(MONTH(H61),"January","February","March","April","May","June","July","August","September","October","November","December")</f>
        <v>February</v>
      </c>
      <c r="J61" s="51">
        <f ca="1">DATEDIF(H61,TODAY(),"Y")</f>
        <v>22</v>
      </c>
    </row>
    <row r="62" spans="1:10" ht="16.5">
      <c r="A62" s="39" t="s">
        <v>732</v>
      </c>
      <c r="B62" s="46" t="s">
        <v>285</v>
      </c>
      <c r="C62" s="39" t="s">
        <v>417</v>
      </c>
      <c r="D62" s="72">
        <v>659766304</v>
      </c>
      <c r="E62" s="73">
        <v>9195876028</v>
      </c>
      <c r="F62" s="39" t="s">
        <v>256</v>
      </c>
      <c r="G62" s="256">
        <v>71120</v>
      </c>
      <c r="H62" s="255">
        <v>34023</v>
      </c>
      <c r="I62" s="105" t="str">
        <f>CHOOSE(MONTH(H62),"January","February","March","April","May","June","July","August","September","October","November","December")</f>
        <v>February</v>
      </c>
      <c r="J62" s="51">
        <f ca="1">DATEDIF(H62,TODAY(),"Y")</f>
        <v>23</v>
      </c>
    </row>
    <row r="63" spans="1:10" ht="16.5">
      <c r="A63" s="39" t="s">
        <v>992</v>
      </c>
      <c r="B63" s="46" t="s">
        <v>271</v>
      </c>
      <c r="C63" s="39" t="s">
        <v>1025</v>
      </c>
      <c r="D63" s="72">
        <v>510700395</v>
      </c>
      <c r="E63" s="73">
        <v>9196690862</v>
      </c>
      <c r="F63" s="39" t="s">
        <v>256</v>
      </c>
      <c r="G63" s="256">
        <v>76870</v>
      </c>
      <c r="H63" s="255">
        <v>41331</v>
      </c>
      <c r="I63" s="105" t="str">
        <f>CHOOSE(MONTH(H63),"January","February","March","April","May","June","July","August","September","October","November","December")</f>
        <v>February</v>
      </c>
      <c r="J63" s="51">
        <f ca="1">DATEDIF(H63,TODAY(),"Y")</f>
        <v>3</v>
      </c>
    </row>
    <row r="64" spans="1:10" ht="16.5">
      <c r="A64" s="39" t="s">
        <v>344</v>
      </c>
      <c r="B64" s="46" t="s">
        <v>245</v>
      </c>
      <c r="C64" s="39" t="s">
        <v>930</v>
      </c>
      <c r="D64" s="72">
        <v>210491464</v>
      </c>
      <c r="E64" s="73">
        <v>9198405552</v>
      </c>
      <c r="F64" s="39" t="s">
        <v>256</v>
      </c>
      <c r="G64" s="256">
        <v>36230</v>
      </c>
      <c r="H64" s="255">
        <v>41320</v>
      </c>
      <c r="I64" s="105" t="str">
        <f>CHOOSE(MONTH(H64),"January","February","March","April","May","June","July","August","September","October","November","December")</f>
        <v>February</v>
      </c>
      <c r="J64" s="51">
        <f ca="1">DATEDIF(H64,TODAY(),"Y")</f>
        <v>3</v>
      </c>
    </row>
    <row r="65" spans="1:10" ht="16.5">
      <c r="A65" s="39" t="s">
        <v>350</v>
      </c>
      <c r="B65" s="46" t="s">
        <v>271</v>
      </c>
      <c r="C65" s="39" t="s">
        <v>465</v>
      </c>
      <c r="D65" s="72">
        <v>470719383</v>
      </c>
      <c r="E65" s="73">
        <v>9197848542</v>
      </c>
      <c r="F65" s="39" t="s">
        <v>256</v>
      </c>
      <c r="G65" s="256">
        <v>73930</v>
      </c>
      <c r="H65" s="255">
        <v>37303</v>
      </c>
      <c r="I65" s="105" t="str">
        <f>CHOOSE(MONTH(H65),"January","February","March","April","May","June","July","August","September","October","November","December")</f>
        <v>February</v>
      </c>
      <c r="J65" s="51">
        <f ca="1">DATEDIF(H65,TODAY(),"Y")</f>
        <v>14</v>
      </c>
    </row>
    <row r="66" spans="1:10" ht="16.5">
      <c r="A66" s="39" t="s">
        <v>830</v>
      </c>
      <c r="B66" s="46" t="s">
        <v>245</v>
      </c>
      <c r="C66" s="39" t="s">
        <v>930</v>
      </c>
      <c r="D66" s="72">
        <v>683670378</v>
      </c>
      <c r="E66" s="73">
        <v>9196259106</v>
      </c>
      <c r="F66" s="39" t="s">
        <v>256</v>
      </c>
      <c r="G66" s="256">
        <v>29760</v>
      </c>
      <c r="H66" s="255">
        <v>38758</v>
      </c>
      <c r="I66" s="105" t="str">
        <f>CHOOSE(MONTH(H66),"January","February","March","April","May","June","July","August","September","October","November","December")</f>
        <v>February</v>
      </c>
      <c r="J66" s="51">
        <f ca="1">DATEDIF(H66,TODAY(),"Y")</f>
        <v>10</v>
      </c>
    </row>
    <row r="67" spans="1:10" ht="16.5">
      <c r="A67" s="39" t="s">
        <v>702</v>
      </c>
      <c r="B67" s="46" t="s">
        <v>285</v>
      </c>
      <c r="C67" s="39" t="s">
        <v>417</v>
      </c>
      <c r="D67" s="72">
        <v>110184347</v>
      </c>
      <c r="E67" s="73">
        <v>2526166452</v>
      </c>
      <c r="F67" s="39" t="s">
        <v>256</v>
      </c>
      <c r="G67" s="256">
        <v>65880</v>
      </c>
      <c r="H67" s="255">
        <v>40589</v>
      </c>
      <c r="I67" s="105" t="str">
        <f>CHOOSE(MONTH(H67),"January","February","March","April","May","June","July","August","September","October","November","December")</f>
        <v>February</v>
      </c>
      <c r="J67" s="51">
        <f ca="1">DATEDIF(H67,TODAY(),"Y")</f>
        <v>5</v>
      </c>
    </row>
    <row r="68" spans="1:10" ht="16.5">
      <c r="A68" s="39" t="s">
        <v>844</v>
      </c>
      <c r="B68" s="46" t="s">
        <v>285</v>
      </c>
      <c r="C68" s="39" t="s">
        <v>930</v>
      </c>
      <c r="D68" s="72">
        <v>249416723</v>
      </c>
      <c r="E68" s="73">
        <v>2521628807</v>
      </c>
      <c r="F68" s="39" t="s">
        <v>256</v>
      </c>
      <c r="G68" s="256">
        <v>27130</v>
      </c>
      <c r="H68" s="255">
        <v>36217</v>
      </c>
      <c r="I68" s="105" t="str">
        <f>CHOOSE(MONTH(H68),"January","February","March","April","May","June","July","August","September","October","November","December")</f>
        <v>February</v>
      </c>
      <c r="J68" s="51">
        <f ca="1">DATEDIF(H68,TODAY(),"Y")</f>
        <v>17</v>
      </c>
    </row>
    <row r="69" spans="1:10" ht="16.5">
      <c r="A69" s="39" t="s">
        <v>704</v>
      </c>
      <c r="B69" s="46" t="s">
        <v>245</v>
      </c>
      <c r="C69" s="39" t="s">
        <v>626</v>
      </c>
      <c r="D69" s="72">
        <v>343897392</v>
      </c>
      <c r="E69" s="73">
        <v>2526674988</v>
      </c>
      <c r="F69" s="39" t="s">
        <v>256</v>
      </c>
      <c r="G69" s="256">
        <v>28970</v>
      </c>
      <c r="H69" s="255">
        <v>37687</v>
      </c>
      <c r="I69" s="105" t="str">
        <f>CHOOSE(MONTH(H69),"January","February","March","April","May","June","July","August","September","October","November","December")</f>
        <v>March</v>
      </c>
      <c r="J69" s="51">
        <f ca="1">DATEDIF(H69,TODAY(),"Y")</f>
        <v>13</v>
      </c>
    </row>
    <row r="70" spans="1:10" ht="16.5">
      <c r="A70" s="39" t="s">
        <v>864</v>
      </c>
      <c r="B70" s="46" t="s">
        <v>245</v>
      </c>
      <c r="C70" s="39" t="s">
        <v>1025</v>
      </c>
      <c r="D70" s="72">
        <v>797985708</v>
      </c>
      <c r="E70" s="73">
        <v>9193578185</v>
      </c>
      <c r="F70" s="39" t="s">
        <v>256</v>
      </c>
      <c r="G70" s="256">
        <v>23810</v>
      </c>
      <c r="H70" s="255">
        <v>40995</v>
      </c>
      <c r="I70" s="105" t="str">
        <f>CHOOSE(MONTH(H70),"January","February","March","April","May","June","July","August","September","October","November","December")</f>
        <v>March</v>
      </c>
      <c r="J70" s="51">
        <f ca="1">DATEDIF(H70,TODAY(),"Y")</f>
        <v>4</v>
      </c>
    </row>
    <row r="71" spans="1:10" ht="16.5">
      <c r="A71" s="39" t="s">
        <v>631</v>
      </c>
      <c r="B71" s="46" t="s">
        <v>271</v>
      </c>
      <c r="C71" s="39" t="s">
        <v>678</v>
      </c>
      <c r="D71" s="72">
        <v>332302868</v>
      </c>
      <c r="E71" s="73">
        <v>9196109756</v>
      </c>
      <c r="F71" s="39" t="s">
        <v>256</v>
      </c>
      <c r="G71" s="256">
        <v>42740</v>
      </c>
      <c r="H71" s="255">
        <v>36969</v>
      </c>
      <c r="I71" s="105" t="str">
        <f>CHOOSE(MONTH(H71),"January","February","March","April","May","June","July","August","September","October","November","December")</f>
        <v>March</v>
      </c>
      <c r="J71" s="51">
        <f ca="1">DATEDIF(H71,TODAY(),"Y")</f>
        <v>15</v>
      </c>
    </row>
    <row r="72" spans="1:10" ht="16.5">
      <c r="A72" s="39" t="s">
        <v>488</v>
      </c>
      <c r="B72" s="46" t="s">
        <v>266</v>
      </c>
      <c r="C72" s="39" t="s">
        <v>767</v>
      </c>
      <c r="D72" s="72">
        <v>920265140</v>
      </c>
      <c r="E72" s="73">
        <v>2524078104</v>
      </c>
      <c r="F72" s="39" t="s">
        <v>256</v>
      </c>
      <c r="G72" s="256">
        <v>45000</v>
      </c>
      <c r="H72" s="255">
        <v>38793</v>
      </c>
      <c r="I72" s="105" t="str">
        <f>CHOOSE(MONTH(H72),"January","February","March","April","May","June","July","August","September","October","November","December")</f>
        <v>March</v>
      </c>
      <c r="J72" s="51">
        <f ca="1">DATEDIF(H72,TODAY(),"Y")</f>
        <v>10</v>
      </c>
    </row>
    <row r="73" spans="1:10" ht="16.5">
      <c r="A73" s="39" t="s">
        <v>942</v>
      </c>
      <c r="B73" s="46" t="s">
        <v>285</v>
      </c>
      <c r="C73" s="39" t="s">
        <v>930</v>
      </c>
      <c r="D73" s="72">
        <v>483483618</v>
      </c>
      <c r="E73" s="73">
        <v>2526459263</v>
      </c>
      <c r="F73" s="39" t="s">
        <v>256</v>
      </c>
      <c r="G73" s="256">
        <v>62750</v>
      </c>
      <c r="H73" s="255">
        <v>37324</v>
      </c>
      <c r="I73" s="105" t="str">
        <f>CHOOSE(MONTH(H73),"January","February","March","April","May","June","July","August","September","October","November","December")</f>
        <v>March</v>
      </c>
      <c r="J73" s="51">
        <f ca="1">DATEDIF(H73,TODAY(),"Y")</f>
        <v>14</v>
      </c>
    </row>
    <row r="74" spans="1:10" ht="16.5">
      <c r="A74" s="39" t="s">
        <v>945</v>
      </c>
      <c r="B74" s="46" t="s">
        <v>285</v>
      </c>
      <c r="C74" s="39" t="s">
        <v>705</v>
      </c>
      <c r="D74" s="72">
        <v>881242432</v>
      </c>
      <c r="E74" s="73">
        <v>9193957018</v>
      </c>
      <c r="F74" s="39" t="s">
        <v>256</v>
      </c>
      <c r="G74" s="256">
        <v>28525</v>
      </c>
      <c r="H74" s="255">
        <v>34782</v>
      </c>
      <c r="I74" s="105" t="str">
        <f>CHOOSE(MONTH(H74),"January","February","March","April","May","June","July","August","September","October","November","December")</f>
        <v>March</v>
      </c>
      <c r="J74" s="51">
        <f ca="1">DATEDIF(H74,TODAY(),"Y")</f>
        <v>21</v>
      </c>
    </row>
    <row r="75" spans="1:10" ht="16.5">
      <c r="A75" s="39" t="s">
        <v>875</v>
      </c>
      <c r="B75" s="46" t="s">
        <v>285</v>
      </c>
      <c r="C75" s="39" t="s">
        <v>312</v>
      </c>
      <c r="D75" s="72">
        <v>334574480</v>
      </c>
      <c r="E75" s="73">
        <v>2525165289</v>
      </c>
      <c r="F75" s="39" t="s">
        <v>256</v>
      </c>
      <c r="G75" s="256">
        <v>34480</v>
      </c>
      <c r="H75" s="255">
        <v>38415</v>
      </c>
      <c r="I75" s="105" t="str">
        <f>CHOOSE(MONTH(H75),"January","February","March","April","May","June","July","August","September","October","November","December")</f>
        <v>March</v>
      </c>
      <c r="J75" s="51">
        <f ca="1">DATEDIF(H75,TODAY(),"Y")</f>
        <v>11</v>
      </c>
    </row>
    <row r="76" spans="1:10" ht="16.5">
      <c r="A76" s="39" t="s">
        <v>949</v>
      </c>
      <c r="B76" s="46" t="s">
        <v>285</v>
      </c>
      <c r="C76" s="39" t="s">
        <v>856</v>
      </c>
      <c r="D76" s="72">
        <v>744830329</v>
      </c>
      <c r="E76" s="73">
        <v>9196098293</v>
      </c>
      <c r="F76" s="39" t="s">
        <v>256</v>
      </c>
      <c r="G76" s="256">
        <v>9424</v>
      </c>
      <c r="H76" s="255">
        <v>37332</v>
      </c>
      <c r="I76" s="105" t="str">
        <f>CHOOSE(MONTH(H76),"January","February","March","April","May","June","July","August","September","October","November","December")</f>
        <v>March</v>
      </c>
      <c r="J76" s="51">
        <f ca="1">DATEDIF(H76,TODAY(),"Y")</f>
        <v>14</v>
      </c>
    </row>
    <row r="77" spans="1:10" ht="16.5">
      <c r="A77" s="39" t="s">
        <v>522</v>
      </c>
      <c r="B77" s="46" t="s">
        <v>245</v>
      </c>
      <c r="C77" s="39" t="s">
        <v>705</v>
      </c>
      <c r="D77" s="72">
        <v>724193735</v>
      </c>
      <c r="E77" s="73">
        <v>2528627048</v>
      </c>
      <c r="F77" s="39" t="s">
        <v>256</v>
      </c>
      <c r="G77" s="256">
        <v>74740</v>
      </c>
      <c r="H77" s="255">
        <v>41359</v>
      </c>
      <c r="I77" s="105" t="str">
        <f>CHOOSE(MONTH(H77),"January","February","March","April","May","June","July","August","September","October","November","December")</f>
        <v>March</v>
      </c>
      <c r="J77" s="51">
        <f ca="1">DATEDIF(H77,TODAY(),"Y")</f>
        <v>3</v>
      </c>
    </row>
    <row r="78" spans="1:10" ht="16.5">
      <c r="A78" s="39" t="s">
        <v>640</v>
      </c>
      <c r="B78" s="46" t="s">
        <v>245</v>
      </c>
      <c r="C78" s="39" t="s">
        <v>465</v>
      </c>
      <c r="D78" s="72">
        <v>467030396</v>
      </c>
      <c r="E78" s="73">
        <v>2526213620</v>
      </c>
      <c r="F78" s="39" t="s">
        <v>256</v>
      </c>
      <c r="G78" s="256">
        <v>61580</v>
      </c>
      <c r="H78" s="255">
        <v>36977</v>
      </c>
      <c r="I78" s="105" t="str">
        <f>CHOOSE(MONTH(H78),"January","February","March","April","May","June","July","August","September","October","November","December")</f>
        <v>March</v>
      </c>
      <c r="J78" s="51">
        <f ca="1">DATEDIF(H78,TODAY(),"Y")</f>
        <v>15</v>
      </c>
    </row>
    <row r="79" spans="1:10" ht="16.5">
      <c r="A79" s="39" t="s">
        <v>327</v>
      </c>
      <c r="B79" s="46" t="s">
        <v>285</v>
      </c>
      <c r="C79" s="39" t="s">
        <v>767</v>
      </c>
      <c r="D79" s="72">
        <v>528258211</v>
      </c>
      <c r="E79" s="73">
        <v>9194727385</v>
      </c>
      <c r="F79" s="39" t="s">
        <v>256</v>
      </c>
      <c r="G79" s="256">
        <v>35360</v>
      </c>
      <c r="H79" s="255">
        <v>35881</v>
      </c>
      <c r="I79" s="105" t="str">
        <f>CHOOSE(MONTH(H79),"January","February","March","April","May","June","July","August","September","October","November","December")</f>
        <v>March</v>
      </c>
      <c r="J79" s="51">
        <f ca="1">DATEDIF(H79,TODAY(),"Y")</f>
        <v>18</v>
      </c>
    </row>
    <row r="80" spans="1:10" ht="16.5">
      <c r="A80" s="39" t="s">
        <v>889</v>
      </c>
      <c r="B80" s="46" t="s">
        <v>266</v>
      </c>
      <c r="C80" s="39" t="s">
        <v>272</v>
      </c>
      <c r="D80" s="72">
        <v>840313216</v>
      </c>
      <c r="E80" s="73">
        <v>9198449868</v>
      </c>
      <c r="F80" s="39" t="s">
        <v>256</v>
      </c>
      <c r="G80" s="256">
        <v>30350</v>
      </c>
      <c r="H80" s="255">
        <v>37341</v>
      </c>
      <c r="I80" s="105" t="str">
        <f>CHOOSE(MONTH(H80),"January","February","March","April","May","June","July","August","September","October","November","December")</f>
        <v>March</v>
      </c>
      <c r="J80" s="51">
        <f ca="1">DATEDIF(H80,TODAY(),"Y")</f>
        <v>14</v>
      </c>
    </row>
    <row r="81" spans="1:10" ht="16.5">
      <c r="A81" s="39" t="s">
        <v>532</v>
      </c>
      <c r="B81" s="46" t="s">
        <v>271</v>
      </c>
      <c r="C81" s="39" t="s">
        <v>465</v>
      </c>
      <c r="D81" s="72">
        <v>462995574</v>
      </c>
      <c r="E81" s="73">
        <v>2523431009</v>
      </c>
      <c r="F81" s="39" t="s">
        <v>256</v>
      </c>
      <c r="G81" s="256">
        <v>34780</v>
      </c>
      <c r="H81" s="255">
        <v>35493</v>
      </c>
      <c r="I81" s="105" t="str">
        <f>CHOOSE(MONTH(H81),"January","February","March","April","May","June","July","August","September","October","November","December")</f>
        <v>March</v>
      </c>
      <c r="J81" s="51">
        <f ca="1">DATEDIF(H81,TODAY(),"Y")</f>
        <v>19</v>
      </c>
    </row>
    <row r="82" spans="1:10" ht="16.5">
      <c r="A82" s="39" t="s">
        <v>533</v>
      </c>
      <c r="B82" s="46" t="s">
        <v>285</v>
      </c>
      <c r="C82" s="39" t="s">
        <v>750</v>
      </c>
      <c r="D82" s="72">
        <v>292693795</v>
      </c>
      <c r="E82" s="73">
        <v>9195990139</v>
      </c>
      <c r="F82" s="39" t="s">
        <v>256</v>
      </c>
      <c r="G82" s="256">
        <v>37020</v>
      </c>
      <c r="H82" s="255">
        <v>38419</v>
      </c>
      <c r="I82" s="105" t="str">
        <f>CHOOSE(MONTH(H82),"January","February","March","April","May","June","July","August","September","October","November","December")</f>
        <v>March</v>
      </c>
      <c r="J82" s="51">
        <f ca="1">DATEDIF(H82,TODAY(),"Y")</f>
        <v>11</v>
      </c>
    </row>
    <row r="83" spans="1:10" ht="16.5">
      <c r="A83" s="39" t="s">
        <v>538</v>
      </c>
      <c r="B83" s="46" t="s">
        <v>285</v>
      </c>
      <c r="C83" s="39" t="s">
        <v>705</v>
      </c>
      <c r="D83" s="72">
        <v>365499498</v>
      </c>
      <c r="E83" s="73">
        <v>2523575849</v>
      </c>
      <c r="F83" s="39" t="s">
        <v>256</v>
      </c>
      <c r="G83" s="256">
        <v>84300</v>
      </c>
      <c r="H83" s="255">
        <v>38076</v>
      </c>
      <c r="I83" s="105" t="str">
        <f>CHOOSE(MONTH(H83),"January","February","March","April","May","June","July","August","September","October","November","December")</f>
        <v>March</v>
      </c>
      <c r="J83" s="51">
        <f ca="1">DATEDIF(H83,TODAY(),"Y")</f>
        <v>12</v>
      </c>
    </row>
    <row r="84" spans="1:10" ht="16.5">
      <c r="A84" s="39" t="s">
        <v>686</v>
      </c>
      <c r="B84" s="46" t="s">
        <v>251</v>
      </c>
      <c r="C84" s="39" t="s">
        <v>930</v>
      </c>
      <c r="D84" s="72">
        <v>799754905</v>
      </c>
      <c r="E84" s="73">
        <v>2526757210</v>
      </c>
      <c r="F84" s="39" t="s">
        <v>256</v>
      </c>
      <c r="G84" s="256">
        <v>39740</v>
      </c>
      <c r="H84" s="255">
        <v>41357</v>
      </c>
      <c r="I84" s="105" t="str">
        <f>CHOOSE(MONTH(H84),"January","February","March","April","May","June","July","August","September","October","November","December")</f>
        <v>March</v>
      </c>
      <c r="J84" s="51">
        <f ca="1">DATEDIF(H84,TODAY(),"Y")</f>
        <v>3</v>
      </c>
    </row>
    <row r="85" spans="1:10" ht="16.5">
      <c r="A85" s="39" t="s">
        <v>541</v>
      </c>
      <c r="B85" s="46" t="s">
        <v>280</v>
      </c>
      <c r="C85" s="39" t="s">
        <v>930</v>
      </c>
      <c r="D85" s="72">
        <v>230192897</v>
      </c>
      <c r="E85" s="73">
        <v>2525261239</v>
      </c>
      <c r="F85" s="39" t="s">
        <v>256</v>
      </c>
      <c r="G85" s="256">
        <v>26360</v>
      </c>
      <c r="H85" s="255">
        <v>38048</v>
      </c>
      <c r="I85" s="105" t="str">
        <f>CHOOSE(MONTH(H85),"January","February","March","April","May","June","July","August","September","October","November","December")</f>
        <v>March</v>
      </c>
      <c r="J85" s="51">
        <f ca="1">DATEDIF(H85,TODAY(),"Y")</f>
        <v>12</v>
      </c>
    </row>
    <row r="86" spans="1:10" ht="16.5">
      <c r="A86" s="39" t="s">
        <v>903</v>
      </c>
      <c r="B86" s="46" t="s">
        <v>245</v>
      </c>
      <c r="C86" s="39" t="s">
        <v>626</v>
      </c>
      <c r="D86" s="72">
        <v>917714039</v>
      </c>
      <c r="E86" s="73">
        <v>9194402150</v>
      </c>
      <c r="F86" s="39" t="s">
        <v>256</v>
      </c>
      <c r="G86" s="256">
        <v>46285</v>
      </c>
      <c r="H86" s="255">
        <v>36249</v>
      </c>
      <c r="I86" s="105" t="str">
        <f>CHOOSE(MONTH(H86),"January","February","March","April","May","June","July","August","September","October","November","December")</f>
        <v>March</v>
      </c>
      <c r="J86" s="51">
        <f ca="1">DATEDIF(H86,TODAY(),"Y")</f>
        <v>17</v>
      </c>
    </row>
    <row r="87" spans="1:10" ht="16.5">
      <c r="A87" s="39" t="s">
        <v>438</v>
      </c>
      <c r="B87" s="46" t="s">
        <v>245</v>
      </c>
      <c r="C87" s="39" t="s">
        <v>705</v>
      </c>
      <c r="D87" s="72">
        <v>869524136</v>
      </c>
      <c r="E87" s="73">
        <v>9193640748</v>
      </c>
      <c r="F87" s="39" t="s">
        <v>256</v>
      </c>
      <c r="G87" s="256">
        <v>55690</v>
      </c>
      <c r="H87" s="255">
        <v>38048</v>
      </c>
      <c r="I87" s="105" t="str">
        <f>CHOOSE(MONTH(H87),"January","February","March","April","May","June","July","August","September","October","November","December")</f>
        <v>March</v>
      </c>
      <c r="J87" s="51">
        <f ca="1">DATEDIF(H87,TODAY(),"Y")</f>
        <v>12</v>
      </c>
    </row>
    <row r="88" spans="1:10" ht="16.5">
      <c r="A88" s="39" t="s">
        <v>733</v>
      </c>
      <c r="B88" s="46" t="s">
        <v>271</v>
      </c>
      <c r="C88" s="39" t="s">
        <v>856</v>
      </c>
      <c r="D88" s="72">
        <v>272659955</v>
      </c>
      <c r="E88" s="73">
        <v>9194127875</v>
      </c>
      <c r="F88" s="39" t="s">
        <v>256</v>
      </c>
      <c r="G88" s="256">
        <v>12676</v>
      </c>
      <c r="H88" s="255">
        <v>36609</v>
      </c>
      <c r="I88" s="105" t="str">
        <f>CHOOSE(MONTH(H88),"January","February","March","April","May","June","July","August","September","October","November","December")</f>
        <v>March</v>
      </c>
      <c r="J88" s="51">
        <f ca="1">DATEDIF(H88,TODAY(),"Y")</f>
        <v>16</v>
      </c>
    </row>
    <row r="89" spans="1:10" ht="16.5">
      <c r="A89" s="39" t="s">
        <v>404</v>
      </c>
      <c r="B89" s="46" t="s">
        <v>285</v>
      </c>
      <c r="C89" s="39" t="s">
        <v>930</v>
      </c>
      <c r="D89" s="72">
        <v>800685434</v>
      </c>
      <c r="E89" s="73">
        <v>2525821616</v>
      </c>
      <c r="F89" s="39" t="s">
        <v>256</v>
      </c>
      <c r="G89" s="256">
        <v>89740</v>
      </c>
      <c r="H89" s="255">
        <v>34038</v>
      </c>
      <c r="I89" s="105" t="str">
        <f>CHOOSE(MONTH(H89),"January","February","March","April","May","June","July","August","September","October","November","December")</f>
        <v>March</v>
      </c>
      <c r="J89" s="51">
        <f ca="1">DATEDIF(H89,TODAY(),"Y")</f>
        <v>23</v>
      </c>
    </row>
    <row r="90" spans="1:10" ht="16.5">
      <c r="A90" s="39" t="s">
        <v>998</v>
      </c>
      <c r="B90" s="46" t="s">
        <v>266</v>
      </c>
      <c r="C90" s="39" t="s">
        <v>750</v>
      </c>
      <c r="D90" s="72">
        <v>834061135</v>
      </c>
      <c r="E90" s="73">
        <v>9198472270</v>
      </c>
      <c r="F90" s="39" t="s">
        <v>256</v>
      </c>
      <c r="G90" s="256">
        <v>37660</v>
      </c>
      <c r="H90" s="255">
        <v>41348</v>
      </c>
      <c r="I90" s="105" t="str">
        <f>CHOOSE(MONTH(H90),"January","February","March","April","May","June","July","August","September","October","November","December")</f>
        <v>March</v>
      </c>
      <c r="J90" s="51">
        <f ca="1">DATEDIF(H90,TODAY(),"Y")</f>
        <v>3</v>
      </c>
    </row>
    <row r="91" spans="1:10" ht="16.5">
      <c r="A91" s="39" t="s">
        <v>911</v>
      </c>
      <c r="B91" s="46" t="s">
        <v>266</v>
      </c>
      <c r="C91" s="39" t="s">
        <v>930</v>
      </c>
      <c r="D91" s="72">
        <v>929694686</v>
      </c>
      <c r="E91" s="73">
        <v>9194483888</v>
      </c>
      <c r="F91" s="39" t="s">
        <v>256</v>
      </c>
      <c r="G91" s="256">
        <v>80260</v>
      </c>
      <c r="H91" s="255">
        <v>36603</v>
      </c>
      <c r="I91" s="105" t="str">
        <f>CHOOSE(MONTH(H91),"January","February","March","April","May","June","July","August","September","October","November","December")</f>
        <v>March</v>
      </c>
      <c r="J91" s="51">
        <f ca="1">DATEDIF(H91,TODAY(),"Y")</f>
        <v>16</v>
      </c>
    </row>
    <row r="92" spans="1:10" ht="16.5">
      <c r="A92" s="39" t="s">
        <v>444</v>
      </c>
      <c r="B92" s="46" t="s">
        <v>245</v>
      </c>
      <c r="C92" s="39" t="s">
        <v>626</v>
      </c>
      <c r="D92" s="72">
        <v>261920277</v>
      </c>
      <c r="E92" s="73">
        <v>2524272773</v>
      </c>
      <c r="F92" s="39" t="s">
        <v>256</v>
      </c>
      <c r="G92" s="256">
        <v>87120</v>
      </c>
      <c r="H92" s="255">
        <v>38436</v>
      </c>
      <c r="I92" s="105" t="str">
        <f>CHOOSE(MONTH(H92),"January","February","March","April","May","June","July","August","September","October","November","December")</f>
        <v>March</v>
      </c>
      <c r="J92" s="51">
        <f ca="1">DATEDIF(H92,TODAY(),"Y")</f>
        <v>11</v>
      </c>
    </row>
    <row r="93" spans="1:10" ht="16.5">
      <c r="A93" s="39" t="s">
        <v>666</v>
      </c>
      <c r="B93" s="46" t="s">
        <v>285</v>
      </c>
      <c r="C93" s="39" t="s">
        <v>312</v>
      </c>
      <c r="D93" s="72">
        <v>129397083</v>
      </c>
      <c r="E93" s="73">
        <v>2521391475</v>
      </c>
      <c r="F93" s="39" t="s">
        <v>256</v>
      </c>
      <c r="G93" s="256">
        <v>27484</v>
      </c>
      <c r="H93" s="255">
        <v>39147</v>
      </c>
      <c r="I93" s="105" t="str">
        <f>CHOOSE(MONTH(H93),"January","February","March","April","May","June","July","August","September","October","November","December")</f>
        <v>March</v>
      </c>
      <c r="J93" s="51">
        <f ca="1">DATEDIF(H93,TODAY(),"Y")</f>
        <v>9</v>
      </c>
    </row>
    <row r="94" spans="1:10" ht="16.5">
      <c r="A94" s="39" t="s">
        <v>832</v>
      </c>
      <c r="B94" s="46" t="s">
        <v>285</v>
      </c>
      <c r="C94" s="39" t="s">
        <v>705</v>
      </c>
      <c r="D94" s="72">
        <v>824046378</v>
      </c>
      <c r="E94" s="73">
        <v>9196335284</v>
      </c>
      <c r="F94" s="39" t="s">
        <v>256</v>
      </c>
      <c r="G94" s="256">
        <v>86320</v>
      </c>
      <c r="H94" s="255">
        <v>40988</v>
      </c>
      <c r="I94" s="105" t="str">
        <f>CHOOSE(MONTH(H94),"January","February","March","April","May","June","July","August","September","October","November","December")</f>
        <v>March</v>
      </c>
      <c r="J94" s="51">
        <f ca="1">DATEDIF(H94,TODAY(),"Y")</f>
        <v>4</v>
      </c>
    </row>
    <row r="95" spans="1:10" ht="16.5">
      <c r="A95" s="39" t="s">
        <v>446</v>
      </c>
      <c r="B95" s="46" t="s">
        <v>245</v>
      </c>
      <c r="C95" s="39" t="s">
        <v>856</v>
      </c>
      <c r="D95" s="72">
        <v>186821354</v>
      </c>
      <c r="E95" s="73">
        <v>2528527032</v>
      </c>
      <c r="F95" s="39" t="s">
        <v>256</v>
      </c>
      <c r="G95" s="256">
        <v>24815</v>
      </c>
      <c r="H95" s="255">
        <v>40630</v>
      </c>
      <c r="I95" s="105" t="str">
        <f>CHOOSE(MONTH(H95),"January","February","March","April","May","June","July","August","September","October","November","December")</f>
        <v>March</v>
      </c>
      <c r="J95" s="51">
        <f ca="1">DATEDIF(H95,TODAY(),"Y")</f>
        <v>5</v>
      </c>
    </row>
    <row r="96" spans="1:10" ht="16.5">
      <c r="A96" s="39" t="s">
        <v>357</v>
      </c>
      <c r="B96" s="46" t="s">
        <v>251</v>
      </c>
      <c r="C96" s="39" t="s">
        <v>465</v>
      </c>
      <c r="D96" s="72">
        <v>944793994</v>
      </c>
      <c r="E96" s="73">
        <v>2525725646</v>
      </c>
      <c r="F96" s="39" t="s">
        <v>256</v>
      </c>
      <c r="G96" s="256">
        <v>15744</v>
      </c>
      <c r="H96" s="255">
        <v>36980</v>
      </c>
      <c r="I96" s="105" t="str">
        <f>CHOOSE(MONTH(H96),"January","February","March","April","May","June","July","August","September","October","November","December")</f>
        <v>March</v>
      </c>
      <c r="J96" s="51">
        <f ca="1">DATEDIF(H96,TODAY(),"Y")</f>
        <v>15</v>
      </c>
    </row>
    <row r="97" spans="1:10" ht="16.5">
      <c r="A97" s="39" t="s">
        <v>1013</v>
      </c>
      <c r="B97" s="46" t="s">
        <v>285</v>
      </c>
      <c r="C97" s="39" t="s">
        <v>465</v>
      </c>
      <c r="D97" s="72">
        <v>559376297</v>
      </c>
      <c r="E97" s="73">
        <v>9194888110</v>
      </c>
      <c r="F97" s="39" t="s">
        <v>256</v>
      </c>
      <c r="G97" s="256">
        <v>82700</v>
      </c>
      <c r="H97" s="255">
        <v>37333</v>
      </c>
      <c r="I97" s="105" t="str">
        <f>CHOOSE(MONTH(H97),"January","February","March","April","May","June","July","August","September","October","November","December")</f>
        <v>March</v>
      </c>
      <c r="J97" s="51">
        <f ca="1">DATEDIF(H97,TODAY(),"Y")</f>
        <v>14</v>
      </c>
    </row>
    <row r="98" spans="1:10" ht="16.5">
      <c r="A98" s="39" t="s">
        <v>917</v>
      </c>
      <c r="B98" s="46" t="s">
        <v>251</v>
      </c>
      <c r="C98" s="39" t="s">
        <v>1031</v>
      </c>
      <c r="D98" s="72">
        <v>383616821</v>
      </c>
      <c r="E98" s="73">
        <v>2524989537</v>
      </c>
      <c r="F98" s="39" t="s">
        <v>256</v>
      </c>
      <c r="G98" s="256">
        <v>23520</v>
      </c>
      <c r="H98" s="255">
        <v>37316</v>
      </c>
      <c r="I98" s="105" t="str">
        <f>CHOOSE(MONTH(H98),"January","February","March","April","May","June","July","August","September","October","November","December")</f>
        <v>March</v>
      </c>
      <c r="J98" s="51">
        <f ca="1">DATEDIF(H98,TODAY(),"Y")</f>
        <v>14</v>
      </c>
    </row>
    <row r="99" spans="1:10" ht="16.5">
      <c r="A99" s="39" t="s">
        <v>746</v>
      </c>
      <c r="B99" s="46" t="s">
        <v>271</v>
      </c>
      <c r="C99" s="39" t="s">
        <v>417</v>
      </c>
      <c r="D99" s="72">
        <v>571821715</v>
      </c>
      <c r="E99" s="73">
        <v>2527102355</v>
      </c>
      <c r="F99" s="39" t="s">
        <v>256</v>
      </c>
      <c r="G99" s="256">
        <v>71190</v>
      </c>
      <c r="H99" s="255">
        <v>36248</v>
      </c>
      <c r="I99" s="105" t="str">
        <f>CHOOSE(MONTH(H99),"January","February","March","April","May","June","July","August","September","October","November","December")</f>
        <v>March</v>
      </c>
      <c r="J99" s="51">
        <f ca="1">DATEDIF(H99,TODAY(),"Y")</f>
        <v>17</v>
      </c>
    </row>
    <row r="100" spans="1:10" ht="16.5">
      <c r="A100" s="39" t="s">
        <v>848</v>
      </c>
      <c r="B100" s="46" t="s">
        <v>245</v>
      </c>
      <c r="C100" s="39" t="s">
        <v>296</v>
      </c>
      <c r="D100" s="72">
        <v>963028490</v>
      </c>
      <c r="E100" s="73">
        <v>2524383168</v>
      </c>
      <c r="F100" s="39" t="s">
        <v>256</v>
      </c>
      <c r="G100" s="256">
        <v>39764</v>
      </c>
      <c r="H100" s="255">
        <v>34416</v>
      </c>
      <c r="I100" s="105" t="str">
        <f>CHOOSE(MONTH(H100),"January","February","March","April","May","June","July","August","September","October","November","December")</f>
        <v>March</v>
      </c>
      <c r="J100" s="51">
        <f ca="1">DATEDIF(H100,TODAY(),"Y")</f>
        <v>22</v>
      </c>
    </row>
    <row r="101" spans="1:10" ht="16.5">
      <c r="A101" s="39" t="s">
        <v>874</v>
      </c>
      <c r="B101" s="46" t="s">
        <v>271</v>
      </c>
      <c r="C101" s="39" t="s">
        <v>930</v>
      </c>
      <c r="D101" s="72">
        <v>595022550</v>
      </c>
      <c r="E101" s="73">
        <v>9195621928</v>
      </c>
      <c r="F101" s="39" t="s">
        <v>256</v>
      </c>
      <c r="G101" s="256">
        <v>88850</v>
      </c>
      <c r="H101" s="255">
        <v>41380</v>
      </c>
      <c r="I101" s="105" t="str">
        <f>CHOOSE(MONTH(H101),"January","February","March","April","May","June","July","August","September","October","November","December")</f>
        <v>April</v>
      </c>
      <c r="J101" s="51">
        <f ca="1">DATEDIF(H101,TODAY(),"Y")</f>
        <v>3</v>
      </c>
    </row>
    <row r="102" spans="1:10" ht="16.5">
      <c r="A102" s="39" t="s">
        <v>790</v>
      </c>
      <c r="B102" s="46" t="s">
        <v>285</v>
      </c>
      <c r="C102" s="39" t="s">
        <v>678</v>
      </c>
      <c r="D102" s="72">
        <v>414905182</v>
      </c>
      <c r="E102" s="73">
        <v>9193820411</v>
      </c>
      <c r="F102" s="39" t="s">
        <v>256</v>
      </c>
      <c r="G102" s="256">
        <v>33056</v>
      </c>
      <c r="H102" s="255">
        <v>36259</v>
      </c>
      <c r="I102" s="105" t="str">
        <f>CHOOSE(MONTH(H102),"January","February","March","April","May","June","July","August","September","October","November","December")</f>
        <v>April</v>
      </c>
      <c r="J102" s="51">
        <f ca="1">DATEDIF(H102,TODAY(),"Y")</f>
        <v>17</v>
      </c>
    </row>
    <row r="103" spans="1:10" ht="16.5">
      <c r="A103" s="39" t="s">
        <v>950</v>
      </c>
      <c r="B103" s="46" t="s">
        <v>271</v>
      </c>
      <c r="C103" s="39" t="s">
        <v>626</v>
      </c>
      <c r="D103" s="72">
        <v>168791562</v>
      </c>
      <c r="E103" s="73">
        <v>9194161772</v>
      </c>
      <c r="F103" s="39" t="s">
        <v>256</v>
      </c>
      <c r="G103" s="256">
        <v>83020</v>
      </c>
      <c r="H103" s="255">
        <v>40657</v>
      </c>
      <c r="I103" s="105" t="str">
        <f>CHOOSE(MONTH(H103),"January","February","March","April","May","June","July","August","September","October","November","December")</f>
        <v>April</v>
      </c>
      <c r="J103" s="51">
        <f ca="1">DATEDIF(H103,TODAY(),"Y")</f>
        <v>5</v>
      </c>
    </row>
    <row r="104" spans="1:10" ht="16.5">
      <c r="A104" s="39" t="s">
        <v>756</v>
      </c>
      <c r="B104" s="46" t="s">
        <v>285</v>
      </c>
      <c r="C104" s="39" t="s">
        <v>465</v>
      </c>
      <c r="D104" s="72">
        <v>589649495</v>
      </c>
      <c r="E104" s="73">
        <v>2524248455</v>
      </c>
      <c r="F104" s="39" t="s">
        <v>256</v>
      </c>
      <c r="G104" s="256">
        <v>40340</v>
      </c>
      <c r="H104" s="255">
        <v>36271</v>
      </c>
      <c r="I104" s="105" t="str">
        <f>CHOOSE(MONTH(H104),"January","February","March","April","May","June","July","August","September","October","November","December")</f>
        <v>April</v>
      </c>
      <c r="J104" s="51">
        <f ca="1">DATEDIF(H104,TODAY(),"Y")</f>
        <v>17</v>
      </c>
    </row>
    <row r="105" spans="1:10" ht="16.5">
      <c r="A105" s="39" t="s">
        <v>954</v>
      </c>
      <c r="B105" s="46" t="s">
        <v>271</v>
      </c>
      <c r="C105" s="39" t="s">
        <v>465</v>
      </c>
      <c r="D105" s="72">
        <v>259573806</v>
      </c>
      <c r="E105" s="73">
        <v>9193302808</v>
      </c>
      <c r="F105" s="39" t="s">
        <v>256</v>
      </c>
      <c r="G105" s="256">
        <v>41615</v>
      </c>
      <c r="H105" s="255">
        <v>36994</v>
      </c>
      <c r="I105" s="105" t="str">
        <f>CHOOSE(MONTH(H105),"January","February","March","April","May","June","July","August","September","October","November","December")</f>
        <v>April</v>
      </c>
      <c r="J105" s="51">
        <f ca="1">DATEDIF(H105,TODAY(),"Y")</f>
        <v>15</v>
      </c>
    </row>
    <row r="106" spans="1:10" ht="16.5">
      <c r="A106" s="39" t="s">
        <v>803</v>
      </c>
      <c r="B106" s="46" t="s">
        <v>245</v>
      </c>
      <c r="C106" s="39" t="s">
        <v>465</v>
      </c>
      <c r="D106" s="72">
        <v>772163640</v>
      </c>
      <c r="E106" s="73">
        <v>9192474315</v>
      </c>
      <c r="F106" s="39" t="s">
        <v>256</v>
      </c>
      <c r="G106" s="256">
        <v>58910</v>
      </c>
      <c r="H106" s="255">
        <v>39199</v>
      </c>
      <c r="I106" s="105" t="str">
        <f>CHOOSE(MONTH(H106),"January","February","March","April","May","June","July","August","September","October","November","December")</f>
        <v>April</v>
      </c>
      <c r="J106" s="51">
        <f ca="1">DATEDIF(H106,TODAY(),"Y")</f>
        <v>9</v>
      </c>
    </row>
    <row r="107" spans="1:10" ht="16.5">
      <c r="A107" s="39" t="s">
        <v>719</v>
      </c>
      <c r="B107" s="46" t="s">
        <v>266</v>
      </c>
      <c r="C107" s="39" t="s">
        <v>391</v>
      </c>
      <c r="D107" s="72">
        <v>434927073</v>
      </c>
      <c r="E107" s="73">
        <v>2528440900</v>
      </c>
      <c r="F107" s="39" t="s">
        <v>256</v>
      </c>
      <c r="G107" s="256">
        <v>31830</v>
      </c>
      <c r="H107" s="255">
        <v>37365</v>
      </c>
      <c r="I107" s="105" t="str">
        <f>CHOOSE(MONTH(H107),"January","February","March","April","May","June","July","August","September","October","November","December")</f>
        <v>April</v>
      </c>
      <c r="J107" s="51">
        <f ca="1">DATEDIF(H107,TODAY(),"Y")</f>
        <v>14</v>
      </c>
    </row>
    <row r="108" spans="1:10" ht="16.5">
      <c r="A108" s="39" t="s">
        <v>882</v>
      </c>
      <c r="B108" s="46" t="s">
        <v>271</v>
      </c>
      <c r="C108" s="39" t="s">
        <v>767</v>
      </c>
      <c r="D108" s="72">
        <v>330879921</v>
      </c>
      <c r="E108" s="73">
        <v>9195691314</v>
      </c>
      <c r="F108" s="39" t="s">
        <v>256</v>
      </c>
      <c r="G108" s="256">
        <v>52770</v>
      </c>
      <c r="H108" s="255">
        <v>35175</v>
      </c>
      <c r="I108" s="105" t="str">
        <f>CHOOSE(MONTH(H108),"January","February","March","April","May","June","July","August","September","October","November","December")</f>
        <v>April</v>
      </c>
      <c r="J108" s="51">
        <f ca="1">DATEDIF(H108,TODAY(),"Y")</f>
        <v>20</v>
      </c>
    </row>
    <row r="109" spans="1:10" ht="16.5">
      <c r="A109" s="39" t="s">
        <v>526</v>
      </c>
      <c r="B109" s="46" t="s">
        <v>285</v>
      </c>
      <c r="C109" s="39" t="s">
        <v>626</v>
      </c>
      <c r="D109" s="72">
        <v>275102740</v>
      </c>
      <c r="E109" s="73">
        <v>2521620909</v>
      </c>
      <c r="F109" s="39" t="s">
        <v>256</v>
      </c>
      <c r="G109" s="256">
        <v>80050</v>
      </c>
      <c r="H109" s="255">
        <v>36624</v>
      </c>
      <c r="I109" s="105" t="str">
        <f>CHOOSE(MONTH(H109),"January","February","March","April","May","June","July","August","September","October","November","December")</f>
        <v>April</v>
      </c>
      <c r="J109" s="51">
        <f ca="1">DATEDIF(H109,TODAY(),"Y")</f>
        <v>16</v>
      </c>
    </row>
    <row r="110" spans="1:10" ht="16.5">
      <c r="A110" s="39" t="s">
        <v>336</v>
      </c>
      <c r="B110" s="46" t="s">
        <v>285</v>
      </c>
      <c r="C110" s="39" t="s">
        <v>767</v>
      </c>
      <c r="D110" s="72">
        <v>449987941</v>
      </c>
      <c r="E110" s="73">
        <v>2528742282</v>
      </c>
      <c r="F110" s="39" t="s">
        <v>256</v>
      </c>
      <c r="G110" s="256">
        <v>53870</v>
      </c>
      <c r="H110" s="255">
        <v>37004</v>
      </c>
      <c r="I110" s="105" t="str">
        <f>CHOOSE(MONTH(H110),"January","February","March","April","May","June","July","August","September","October","November","December")</f>
        <v>April</v>
      </c>
      <c r="J110" s="51">
        <f ca="1">DATEDIF(H110,TODAY(),"Y")</f>
        <v>15</v>
      </c>
    </row>
    <row r="111" spans="1:10" ht="16.5">
      <c r="A111" s="39" t="s">
        <v>656</v>
      </c>
      <c r="B111" s="46" t="s">
        <v>285</v>
      </c>
      <c r="C111" s="39" t="s">
        <v>312</v>
      </c>
      <c r="D111" s="72">
        <v>349979288</v>
      </c>
      <c r="E111" s="73">
        <v>9194629972</v>
      </c>
      <c r="F111" s="39" t="s">
        <v>256</v>
      </c>
      <c r="G111" s="256">
        <v>61330</v>
      </c>
      <c r="H111" s="255">
        <v>37376</v>
      </c>
      <c r="I111" s="105" t="str">
        <f>CHOOSE(MONTH(H111),"January","February","March","April","May","June","July","August","September","October","November","December")</f>
        <v>April</v>
      </c>
      <c r="J111" s="51">
        <f ca="1">DATEDIF(H111,TODAY(),"Y")</f>
        <v>14</v>
      </c>
    </row>
    <row r="112" spans="1:10" ht="16.5">
      <c r="A112" s="39" t="s">
        <v>543</v>
      </c>
      <c r="B112" s="46" t="s">
        <v>271</v>
      </c>
      <c r="C112" s="39" t="s">
        <v>856</v>
      </c>
      <c r="D112" s="72">
        <v>627977314</v>
      </c>
      <c r="E112" s="73">
        <v>2521525844</v>
      </c>
      <c r="F112" s="39" t="s">
        <v>256</v>
      </c>
      <c r="G112" s="256">
        <v>76020</v>
      </c>
      <c r="H112" s="255">
        <v>36634</v>
      </c>
      <c r="I112" s="105" t="str">
        <f>CHOOSE(MONTH(H112),"January","February","March","April","May","June","July","August","September","October","November","December")</f>
        <v>April</v>
      </c>
      <c r="J112" s="51">
        <f ca="1">DATEDIF(H112,TODAY(),"Y")</f>
        <v>16</v>
      </c>
    </row>
    <row r="113" spans="1:10" ht="16.5">
      <c r="A113" s="39" t="s">
        <v>337</v>
      </c>
      <c r="B113" s="46" t="s">
        <v>271</v>
      </c>
      <c r="C113" s="39" t="s">
        <v>417</v>
      </c>
      <c r="D113" s="72">
        <v>625531462</v>
      </c>
      <c r="E113" s="73">
        <v>2527553017</v>
      </c>
      <c r="F113" s="39" t="s">
        <v>256</v>
      </c>
      <c r="G113" s="256">
        <v>37620</v>
      </c>
      <c r="H113" s="255">
        <v>36994</v>
      </c>
      <c r="I113" s="105" t="str">
        <f>CHOOSE(MONTH(H113),"January","February","March","April","May","June","July","August","September","October","November","December")</f>
        <v>April</v>
      </c>
      <c r="J113" s="51">
        <f ca="1">DATEDIF(H113,TODAY(),"Y")</f>
        <v>15</v>
      </c>
    </row>
    <row r="114" spans="1:10" ht="16.5">
      <c r="A114" s="39" t="s">
        <v>990</v>
      </c>
      <c r="B114" s="46" t="s">
        <v>285</v>
      </c>
      <c r="C114" s="39" t="s">
        <v>856</v>
      </c>
      <c r="D114" s="72">
        <v>420739404</v>
      </c>
      <c r="E114" s="73">
        <v>9197785583</v>
      </c>
      <c r="F114" s="39" t="s">
        <v>256</v>
      </c>
      <c r="G114" s="256">
        <v>15056</v>
      </c>
      <c r="H114" s="255">
        <v>34070</v>
      </c>
      <c r="I114" s="105" t="str">
        <f>CHOOSE(MONTH(H114),"January","February","March","April","May","June","July","August","September","October","November","December")</f>
        <v>April</v>
      </c>
      <c r="J114" s="51">
        <f ca="1">DATEDIF(H114,TODAY(),"Y")</f>
        <v>23</v>
      </c>
    </row>
    <row r="115" spans="1:10" ht="16.5">
      <c r="A115" s="39" t="s">
        <v>346</v>
      </c>
      <c r="B115" s="46" t="s">
        <v>285</v>
      </c>
      <c r="C115" s="39" t="s">
        <v>856</v>
      </c>
      <c r="D115" s="72">
        <v>693965055</v>
      </c>
      <c r="E115" s="73">
        <v>2527853314</v>
      </c>
      <c r="F115" s="39" t="s">
        <v>256</v>
      </c>
      <c r="G115" s="256">
        <v>22472</v>
      </c>
      <c r="H115" s="255">
        <v>40272</v>
      </c>
      <c r="I115" s="105" t="str">
        <f>CHOOSE(MONTH(H115),"January","February","March","April","May","June","July","August","September","October","November","December")</f>
        <v>April</v>
      </c>
      <c r="J115" s="51">
        <f ca="1">DATEDIF(H115,TODAY(),"Y")</f>
        <v>6</v>
      </c>
    </row>
    <row r="116" spans="1:10" ht="16.5">
      <c r="A116" s="39" t="s">
        <v>995</v>
      </c>
      <c r="B116" s="46" t="s">
        <v>285</v>
      </c>
      <c r="C116" s="39" t="s">
        <v>312</v>
      </c>
      <c r="D116" s="72">
        <v>667812117</v>
      </c>
      <c r="E116" s="73">
        <v>2526396432</v>
      </c>
      <c r="F116" s="39" t="s">
        <v>256</v>
      </c>
      <c r="G116" s="256">
        <v>56440</v>
      </c>
      <c r="H116" s="255">
        <v>36996</v>
      </c>
      <c r="I116" s="105" t="str">
        <f>CHOOSE(MONTH(H116),"January","February","March","April","May","June","July","August","September","October","November","December")</f>
        <v>April</v>
      </c>
      <c r="J116" s="51">
        <f ca="1">DATEDIF(H116,TODAY(),"Y")</f>
        <v>15</v>
      </c>
    </row>
    <row r="117" spans="1:10" ht="16.5">
      <c r="A117" s="39" t="s">
        <v>996</v>
      </c>
      <c r="B117" s="46" t="s">
        <v>245</v>
      </c>
      <c r="C117" s="39" t="s">
        <v>465</v>
      </c>
      <c r="D117" s="72">
        <v>865073824</v>
      </c>
      <c r="E117" s="73">
        <v>2524785979</v>
      </c>
      <c r="F117" s="39" t="s">
        <v>256</v>
      </c>
      <c r="G117" s="256">
        <v>70150</v>
      </c>
      <c r="H117" s="255">
        <v>36998</v>
      </c>
      <c r="I117" s="105" t="str">
        <f>CHOOSE(MONTH(H117),"January","February","March","April","May","June","July","August","September","October","November","December")</f>
        <v>April</v>
      </c>
      <c r="J117" s="51">
        <f ca="1">DATEDIF(H117,TODAY(),"Y")</f>
        <v>15</v>
      </c>
    </row>
    <row r="118" spans="1:10" ht="16.5">
      <c r="A118" s="39" t="s">
        <v>573</v>
      </c>
      <c r="B118" s="46" t="s">
        <v>271</v>
      </c>
      <c r="C118" s="39" t="s">
        <v>465</v>
      </c>
      <c r="D118" s="72">
        <v>512405919</v>
      </c>
      <c r="E118" s="73">
        <v>9195858234</v>
      </c>
      <c r="F118" s="39" t="s">
        <v>256</v>
      </c>
      <c r="G118" s="256">
        <v>26484</v>
      </c>
      <c r="H118" s="255">
        <v>41387</v>
      </c>
      <c r="I118" s="105" t="str">
        <f>CHOOSE(MONTH(H118),"January","February","March","April","May","June","July","August","September","October","November","December")</f>
        <v>April</v>
      </c>
      <c r="J118" s="51">
        <f ca="1">DATEDIF(H118,TODAY(),"Y")</f>
        <v>3</v>
      </c>
    </row>
    <row r="119" spans="1:10" ht="16.5">
      <c r="A119" s="39" t="s">
        <v>577</v>
      </c>
      <c r="B119" s="46" t="s">
        <v>271</v>
      </c>
      <c r="C119" s="39" t="s">
        <v>767</v>
      </c>
      <c r="D119" s="72">
        <v>379340654</v>
      </c>
      <c r="E119" s="73">
        <v>9198642893</v>
      </c>
      <c r="F119" s="39" t="s">
        <v>256</v>
      </c>
      <c r="G119" s="256">
        <v>31250</v>
      </c>
      <c r="H119" s="255">
        <v>35899</v>
      </c>
      <c r="I119" s="105" t="str">
        <f>CHOOSE(MONTH(H119),"January","February","March","April","May","June","July","August","September","October","November","December")</f>
        <v>April</v>
      </c>
      <c r="J119" s="51">
        <f ca="1">DATEDIF(H119,TODAY(),"Y")</f>
        <v>18</v>
      </c>
    </row>
    <row r="120" spans="1:10" ht="16.5">
      <c r="A120" s="39" t="s">
        <v>443</v>
      </c>
      <c r="B120" s="46" t="s">
        <v>271</v>
      </c>
      <c r="C120" s="39" t="s">
        <v>930</v>
      </c>
      <c r="D120" s="72">
        <v>793256568</v>
      </c>
      <c r="E120" s="73">
        <v>9196999991</v>
      </c>
      <c r="F120" s="39" t="s">
        <v>256</v>
      </c>
      <c r="G120" s="256">
        <v>27560</v>
      </c>
      <c r="H120" s="255">
        <v>36994</v>
      </c>
      <c r="I120" s="105" t="str">
        <f>CHOOSE(MONTH(H120),"January","February","March","April","May","June","July","August","September","October","November","December")</f>
        <v>April</v>
      </c>
      <c r="J120" s="51">
        <f ca="1">DATEDIF(H120,TODAY(),"Y")</f>
        <v>15</v>
      </c>
    </row>
    <row r="121" spans="1:10" ht="16.5">
      <c r="A121" s="39" t="s">
        <v>597</v>
      </c>
      <c r="B121" s="46" t="s">
        <v>271</v>
      </c>
      <c r="C121" s="45" t="s">
        <v>272</v>
      </c>
      <c r="D121" s="47">
        <v>638271383</v>
      </c>
      <c r="E121" s="48">
        <v>2521641031</v>
      </c>
      <c r="F121" s="45" t="s">
        <v>256</v>
      </c>
      <c r="G121" s="256">
        <v>57500</v>
      </c>
      <c r="H121" s="255">
        <v>36991</v>
      </c>
      <c r="I121" s="105" t="str">
        <f>CHOOSE(MONTH(H121),"January","February","March","April","May","June","July","August","September","October","November","December")</f>
        <v>April</v>
      </c>
      <c r="J121" s="51">
        <f ca="1">DATEDIF(H121,TODAY(),"Y")</f>
        <v>15</v>
      </c>
    </row>
    <row r="122" spans="1:10" ht="16.5">
      <c r="A122" s="39" t="s">
        <v>378</v>
      </c>
      <c r="B122" s="46" t="s">
        <v>285</v>
      </c>
      <c r="C122" s="39" t="s">
        <v>465</v>
      </c>
      <c r="D122" s="72">
        <v>319449613</v>
      </c>
      <c r="E122" s="73">
        <v>2523454032</v>
      </c>
      <c r="F122" s="39" t="s">
        <v>256</v>
      </c>
      <c r="G122" s="256">
        <v>67230</v>
      </c>
      <c r="H122" s="255">
        <v>37372</v>
      </c>
      <c r="I122" s="105" t="str">
        <f>CHOOSE(MONTH(H122),"January","February","March","April","May","June","July","August","September","October","November","December")</f>
        <v>April</v>
      </c>
      <c r="J122" s="51">
        <f ca="1">DATEDIF(H122,TODAY(),"Y")</f>
        <v>14</v>
      </c>
    </row>
    <row r="123" spans="1:10" ht="16.5">
      <c r="A123" s="39" t="s">
        <v>847</v>
      </c>
      <c r="B123" s="46" t="s">
        <v>251</v>
      </c>
      <c r="C123" s="39" t="s">
        <v>417</v>
      </c>
      <c r="D123" s="72">
        <v>993867417</v>
      </c>
      <c r="E123" s="73">
        <v>2522338778</v>
      </c>
      <c r="F123" s="39" t="s">
        <v>256</v>
      </c>
      <c r="G123" s="256">
        <v>82400</v>
      </c>
      <c r="H123" s="255">
        <v>40638</v>
      </c>
      <c r="I123" s="105" t="str">
        <f>CHOOSE(MONTH(H123),"January","February","March","April","May","June","July","August","September","October","November","December")</f>
        <v>April</v>
      </c>
      <c r="J123" s="51">
        <f ca="1">DATEDIF(H123,TODAY(),"Y")</f>
        <v>5</v>
      </c>
    </row>
    <row r="124" spans="1:10" ht="16.5">
      <c r="A124" s="39" t="s">
        <v>625</v>
      </c>
      <c r="B124" s="46" t="s">
        <v>280</v>
      </c>
      <c r="C124" s="39" t="s">
        <v>678</v>
      </c>
      <c r="D124" s="72">
        <v>247555666</v>
      </c>
      <c r="E124" s="73">
        <v>2528183445</v>
      </c>
      <c r="F124" s="39" t="s">
        <v>256</v>
      </c>
      <c r="G124" s="256">
        <v>49350</v>
      </c>
      <c r="H124" s="255">
        <v>36305</v>
      </c>
      <c r="I124" s="105" t="str">
        <f>CHOOSE(MONTH(H124),"January","February","March","April","May","June","July","August","September","October","November","December")</f>
        <v>May</v>
      </c>
      <c r="J124" s="51">
        <f ca="1">DATEDIF(H124,TODAY(),"Y")</f>
        <v>17</v>
      </c>
    </row>
    <row r="125" spans="1:10" ht="16.5">
      <c r="A125" s="39" t="s">
        <v>865</v>
      </c>
      <c r="B125" s="46" t="s">
        <v>285</v>
      </c>
      <c r="C125" s="39" t="s">
        <v>417</v>
      </c>
      <c r="D125" s="72">
        <v>659929807</v>
      </c>
      <c r="E125" s="73">
        <v>9193089561</v>
      </c>
      <c r="F125" s="39" t="s">
        <v>256</v>
      </c>
      <c r="G125" s="256">
        <v>49355</v>
      </c>
      <c r="H125" s="255">
        <v>41411</v>
      </c>
      <c r="I125" s="105" t="str">
        <f>CHOOSE(MONTH(H125),"January","February","March","April","May","June","July","August","September","October","November","December")</f>
        <v>May</v>
      </c>
      <c r="J125" s="51">
        <f ca="1">DATEDIF(H125,TODAY(),"Y")</f>
        <v>3</v>
      </c>
    </row>
    <row r="126" spans="1:10" ht="16.5">
      <c r="A126" s="39" t="s">
        <v>481</v>
      </c>
      <c r="B126" s="46" t="s">
        <v>285</v>
      </c>
      <c r="C126" s="39" t="s">
        <v>767</v>
      </c>
      <c r="D126" s="72">
        <v>161439267</v>
      </c>
      <c r="E126" s="73">
        <v>9197600603</v>
      </c>
      <c r="F126" s="39" t="s">
        <v>256</v>
      </c>
      <c r="G126" s="256">
        <v>34060</v>
      </c>
      <c r="H126" s="255">
        <v>37380</v>
      </c>
      <c r="I126" s="105" t="str">
        <f>CHOOSE(MONTH(H126),"January","February","March","April","May","June","July","August","September","October","November","December")</f>
        <v>May</v>
      </c>
      <c r="J126" s="51">
        <f ca="1">DATEDIF(H126,TODAY(),"Y")</f>
        <v>14</v>
      </c>
    </row>
    <row r="127" spans="1:10" ht="16.5">
      <c r="A127" s="39" t="s">
        <v>314</v>
      </c>
      <c r="B127" s="46" t="s">
        <v>271</v>
      </c>
      <c r="C127" s="39" t="s">
        <v>465</v>
      </c>
      <c r="D127" s="72">
        <v>213584397</v>
      </c>
      <c r="E127" s="73">
        <v>2524138160</v>
      </c>
      <c r="F127" s="39" t="s">
        <v>256</v>
      </c>
      <c r="G127" s="256">
        <v>33752</v>
      </c>
      <c r="H127" s="255">
        <v>37397</v>
      </c>
      <c r="I127" s="105" t="str">
        <f>CHOOSE(MONTH(H127),"January","February","March","April","May","June","July","August","September","October","November","December")</f>
        <v>May</v>
      </c>
      <c r="J127" s="51">
        <f ca="1">DATEDIF(H127,TODAY(),"Y")</f>
        <v>14</v>
      </c>
    </row>
    <row r="128" spans="1:10" ht="16.5">
      <c r="A128" s="39" t="s">
        <v>485</v>
      </c>
      <c r="B128" s="46" t="s">
        <v>280</v>
      </c>
      <c r="C128" s="39" t="s">
        <v>465</v>
      </c>
      <c r="D128" s="72">
        <v>620336005</v>
      </c>
      <c r="E128" s="73">
        <v>9196422185</v>
      </c>
      <c r="F128" s="39" t="s">
        <v>256</v>
      </c>
      <c r="G128" s="256">
        <v>67020</v>
      </c>
      <c r="H128" s="255">
        <v>35561</v>
      </c>
      <c r="I128" s="105" t="str">
        <f>CHOOSE(MONTH(H128),"January","February","March","April","May","June","July","August","September","October","November","December")</f>
        <v>May</v>
      </c>
      <c r="J128" s="51">
        <f ca="1">DATEDIF(H128,TODAY(),"Y")</f>
        <v>19</v>
      </c>
    </row>
    <row r="129" spans="1:10" ht="16.5">
      <c r="A129" s="39" t="s">
        <v>780</v>
      </c>
      <c r="B129" s="46" t="s">
        <v>245</v>
      </c>
      <c r="C129" s="45" t="s">
        <v>272</v>
      </c>
      <c r="D129" s="47">
        <v>297852686</v>
      </c>
      <c r="E129" s="48">
        <v>2525832994</v>
      </c>
      <c r="F129" s="45" t="s">
        <v>256</v>
      </c>
      <c r="G129" s="256">
        <v>86040</v>
      </c>
      <c r="H129" s="255">
        <v>41415</v>
      </c>
      <c r="I129" s="105" t="str">
        <f>CHOOSE(MONTH(H129),"January","February","March","April","May","June","July","August","September","October","November","December")</f>
        <v>May</v>
      </c>
      <c r="J129" s="51">
        <f ca="1">DATEDIF(H129,TODAY(),"Y")</f>
        <v>3</v>
      </c>
    </row>
    <row r="130" spans="1:10" ht="16.5">
      <c r="A130" s="39" t="s">
        <v>316</v>
      </c>
      <c r="B130" s="46" t="s">
        <v>271</v>
      </c>
      <c r="C130" s="39" t="s">
        <v>767</v>
      </c>
      <c r="D130" s="72">
        <v>728567428</v>
      </c>
      <c r="E130" s="73">
        <v>2521957923</v>
      </c>
      <c r="F130" s="39" t="s">
        <v>256</v>
      </c>
      <c r="G130" s="256">
        <v>44620</v>
      </c>
      <c r="H130" s="255">
        <v>36647</v>
      </c>
      <c r="I130" s="105" t="str">
        <f>CHOOSE(MONTH(H130),"January","February","March","April","May","June","July","August","September","October","November","December")</f>
        <v>May</v>
      </c>
      <c r="J130" s="51">
        <f ca="1">DATEDIF(H130,TODAY(),"Y")</f>
        <v>16</v>
      </c>
    </row>
    <row r="131" spans="1:10" ht="16.5">
      <c r="A131" s="39" t="s">
        <v>502</v>
      </c>
      <c r="B131" s="46" t="s">
        <v>266</v>
      </c>
      <c r="C131" s="39" t="s">
        <v>626</v>
      </c>
      <c r="D131" s="72">
        <v>355985853</v>
      </c>
      <c r="E131" s="73">
        <v>2525478716</v>
      </c>
      <c r="F131" s="39" t="s">
        <v>256</v>
      </c>
      <c r="G131" s="256">
        <v>41350</v>
      </c>
      <c r="H131" s="255">
        <v>40678</v>
      </c>
      <c r="I131" s="105" t="str">
        <f>CHOOSE(MONTH(H131),"January","February","March","April","May","June","July","August","September","October","November","December")</f>
        <v>May</v>
      </c>
      <c r="J131" s="51">
        <f ca="1">DATEDIF(H131,TODAY(),"Y")</f>
        <v>5</v>
      </c>
    </row>
    <row r="132" spans="1:10" ht="16.5">
      <c r="A132" s="39" t="s">
        <v>515</v>
      </c>
      <c r="B132" s="46" t="s">
        <v>271</v>
      </c>
      <c r="C132" s="39" t="s">
        <v>750</v>
      </c>
      <c r="D132" s="72">
        <v>444159297</v>
      </c>
      <c r="E132" s="73">
        <v>2522456406</v>
      </c>
      <c r="F132" s="39" t="s">
        <v>256</v>
      </c>
      <c r="G132" s="256">
        <v>68860</v>
      </c>
      <c r="H132" s="255">
        <v>35930</v>
      </c>
      <c r="I132" s="105" t="str">
        <f>CHOOSE(MONTH(H132),"January","February","March","April","May","June","July","August","September","October","November","December")</f>
        <v>May</v>
      </c>
      <c r="J132" s="51">
        <f ca="1">DATEDIF(H132,TODAY(),"Y")</f>
        <v>18</v>
      </c>
    </row>
    <row r="133" spans="1:10" ht="16.5">
      <c r="A133" s="39" t="s">
        <v>958</v>
      </c>
      <c r="B133" s="46" t="s">
        <v>266</v>
      </c>
      <c r="C133" s="39" t="s">
        <v>705</v>
      </c>
      <c r="D133" s="72">
        <v>297806507</v>
      </c>
      <c r="E133" s="73">
        <v>9197312659</v>
      </c>
      <c r="F133" s="39" t="s">
        <v>256</v>
      </c>
      <c r="G133" s="256">
        <v>64220</v>
      </c>
      <c r="H133" s="255">
        <v>36289</v>
      </c>
      <c r="I133" s="105" t="str">
        <f>CHOOSE(MONTH(H133),"January","February","March","April","May","June","July","August","September","October","November","December")</f>
        <v>May</v>
      </c>
      <c r="J133" s="51">
        <f ca="1">DATEDIF(H133,TODAY(),"Y")</f>
        <v>17</v>
      </c>
    </row>
    <row r="134" spans="1:10" ht="16.5">
      <c r="A134" s="39" t="s">
        <v>959</v>
      </c>
      <c r="B134" s="46" t="s">
        <v>285</v>
      </c>
      <c r="C134" s="39" t="s">
        <v>767</v>
      </c>
      <c r="D134" s="72">
        <v>475671127</v>
      </c>
      <c r="E134" s="73">
        <v>9196650531</v>
      </c>
      <c r="F134" s="39" t="s">
        <v>256</v>
      </c>
      <c r="G134" s="256">
        <v>65571</v>
      </c>
      <c r="H134" s="255">
        <v>39231</v>
      </c>
      <c r="I134" s="105" t="str">
        <f>CHOOSE(MONTH(H134),"January","February","March","April","May","June","July","August","September","October","November","December")</f>
        <v>May</v>
      </c>
      <c r="J134" s="51">
        <f ca="1">DATEDIF(H134,TODAY(),"Y")</f>
        <v>9</v>
      </c>
    </row>
    <row r="135" spans="1:10" ht="16.5">
      <c r="A135" s="39" t="s">
        <v>331</v>
      </c>
      <c r="B135" s="46" t="s">
        <v>280</v>
      </c>
      <c r="C135" s="39" t="s">
        <v>678</v>
      </c>
      <c r="D135" s="72">
        <v>665006199</v>
      </c>
      <c r="E135" s="73">
        <v>2525555817</v>
      </c>
      <c r="F135" s="39" t="s">
        <v>256</v>
      </c>
      <c r="G135" s="256">
        <v>42480</v>
      </c>
      <c r="H135" s="255">
        <v>39574</v>
      </c>
      <c r="I135" s="105" t="str">
        <f>CHOOSE(MONTH(H135),"January","February","March","April","May","June","July","August","September","October","November","December")</f>
        <v>May</v>
      </c>
      <c r="J135" s="51">
        <f ca="1">DATEDIF(H135,TODAY(),"Y")</f>
        <v>8</v>
      </c>
    </row>
    <row r="136" spans="1:10" ht="16.5">
      <c r="A136" s="39" t="s">
        <v>813</v>
      </c>
      <c r="B136" s="46" t="s">
        <v>285</v>
      </c>
      <c r="C136" s="39" t="s">
        <v>272</v>
      </c>
      <c r="D136" s="72">
        <v>542051793</v>
      </c>
      <c r="E136" s="73">
        <v>2527317354</v>
      </c>
      <c r="F136" s="39" t="s">
        <v>256</v>
      </c>
      <c r="G136" s="256">
        <v>15240</v>
      </c>
      <c r="H136" s="255">
        <v>39948</v>
      </c>
      <c r="I136" s="105" t="str">
        <f>CHOOSE(MONTH(H136),"January","February","March","April","May","June","July","August","September","October","November","December")</f>
        <v>May</v>
      </c>
      <c r="J136" s="51">
        <f ca="1">DATEDIF(H136,TODAY(),"Y")</f>
        <v>7</v>
      </c>
    </row>
    <row r="137" spans="1:10" ht="16.5">
      <c r="A137" s="39" t="s">
        <v>536</v>
      </c>
      <c r="B137" s="46" t="s">
        <v>285</v>
      </c>
      <c r="C137" s="39" t="s">
        <v>465</v>
      </c>
      <c r="D137" s="72">
        <v>914330398</v>
      </c>
      <c r="E137" s="73">
        <v>9193498222</v>
      </c>
      <c r="F137" s="39" t="s">
        <v>256</v>
      </c>
      <c r="G137" s="256">
        <v>58130</v>
      </c>
      <c r="H137" s="255">
        <v>38846</v>
      </c>
      <c r="I137" s="105" t="str">
        <f>CHOOSE(MONTH(H137),"January","February","March","April","May","June","July","August","September","October","November","December")</f>
        <v>May</v>
      </c>
      <c r="J137" s="51">
        <f ca="1">DATEDIF(H137,TODAY(),"Y")</f>
        <v>10</v>
      </c>
    </row>
    <row r="138" spans="1:10" ht="16.5">
      <c r="A138" s="39" t="s">
        <v>658</v>
      </c>
      <c r="B138" s="46" t="s">
        <v>285</v>
      </c>
      <c r="C138" s="39" t="s">
        <v>767</v>
      </c>
      <c r="D138" s="72">
        <v>468234190</v>
      </c>
      <c r="E138" s="73">
        <v>2521569304</v>
      </c>
      <c r="F138" s="39" t="s">
        <v>256</v>
      </c>
      <c r="G138" s="256">
        <v>44270</v>
      </c>
      <c r="H138" s="255">
        <v>40693</v>
      </c>
      <c r="I138" s="105" t="str">
        <f>CHOOSE(MONTH(H138),"January","February","March","April","May","June","July","August","September","October","November","December")</f>
        <v>May</v>
      </c>
      <c r="J138" s="51">
        <f ca="1">DATEDIF(H138,TODAY(),"Y")</f>
        <v>5</v>
      </c>
    </row>
    <row r="139" spans="1:10" ht="16.5">
      <c r="A139" s="39" t="s">
        <v>556</v>
      </c>
      <c r="B139" s="46" t="s">
        <v>285</v>
      </c>
      <c r="C139" s="39" t="s">
        <v>626</v>
      </c>
      <c r="D139" s="72">
        <v>385074661</v>
      </c>
      <c r="E139" s="73">
        <v>2527451745</v>
      </c>
      <c r="F139" s="39" t="s">
        <v>256</v>
      </c>
      <c r="G139" s="256">
        <v>47630</v>
      </c>
      <c r="H139" s="255">
        <v>40314</v>
      </c>
      <c r="I139" s="105" t="str">
        <f>CHOOSE(MONTH(H139),"January","February","March","April","May","June","July","August","September","October","November","December")</f>
        <v>May</v>
      </c>
      <c r="J139" s="51">
        <f ca="1">DATEDIF(H139,TODAY(),"Y")</f>
        <v>6</v>
      </c>
    </row>
    <row r="140" spans="1:10" ht="16.5">
      <c r="A140" s="39" t="s">
        <v>561</v>
      </c>
      <c r="B140" s="46" t="s">
        <v>285</v>
      </c>
      <c r="C140" s="39" t="s">
        <v>700</v>
      </c>
      <c r="D140" s="72">
        <v>974912089</v>
      </c>
      <c r="E140" s="73">
        <v>9192601200</v>
      </c>
      <c r="F140" s="39" t="s">
        <v>256</v>
      </c>
      <c r="G140" s="256">
        <v>64460</v>
      </c>
      <c r="H140" s="255">
        <v>36289</v>
      </c>
      <c r="I140" s="105" t="str">
        <f>CHOOSE(MONTH(H140),"January","February","March","April","May","June","July","August","September","October","November","December")</f>
        <v>May</v>
      </c>
      <c r="J140" s="51">
        <f ca="1">DATEDIF(H140,TODAY(),"Y")</f>
        <v>17</v>
      </c>
    </row>
    <row r="141" spans="1:10" ht="16.5">
      <c r="A141" s="39" t="s">
        <v>441</v>
      </c>
      <c r="B141" s="46" t="s">
        <v>271</v>
      </c>
      <c r="C141" s="39" t="s">
        <v>296</v>
      </c>
      <c r="D141" s="72">
        <v>216607562</v>
      </c>
      <c r="E141" s="73">
        <v>2521593705</v>
      </c>
      <c r="F141" s="39" t="s">
        <v>256</v>
      </c>
      <c r="G141" s="256">
        <v>35460</v>
      </c>
      <c r="H141" s="255">
        <v>35568</v>
      </c>
      <c r="I141" s="105" t="str">
        <f>CHOOSE(MONTH(H141),"January","February","March","April","May","June","July","August","September","October","November","December")</f>
        <v>May</v>
      </c>
      <c r="J141" s="51">
        <f ca="1">DATEDIF(H141,TODAY(),"Y")</f>
        <v>19</v>
      </c>
    </row>
    <row r="142" spans="1:10" ht="16.5">
      <c r="A142" s="39" t="s">
        <v>567</v>
      </c>
      <c r="B142" s="46" t="s">
        <v>271</v>
      </c>
      <c r="C142" s="39" t="s">
        <v>767</v>
      </c>
      <c r="D142" s="72">
        <v>191359642</v>
      </c>
      <c r="E142" s="73">
        <v>2528687353</v>
      </c>
      <c r="F142" s="39" t="s">
        <v>256</v>
      </c>
      <c r="G142" s="256">
        <v>72520</v>
      </c>
      <c r="H142" s="255">
        <v>38478</v>
      </c>
      <c r="I142" s="105" t="str">
        <f>CHOOSE(MONTH(H142),"January","February","March","April","May","June","July","August","September","October","November","December")</f>
        <v>May</v>
      </c>
      <c r="J142" s="51">
        <f ca="1">DATEDIF(H142,TODAY(),"Y")</f>
        <v>11</v>
      </c>
    </row>
    <row r="143" spans="1:10" ht="16.5">
      <c r="A143" s="39" t="s">
        <v>1003</v>
      </c>
      <c r="B143" s="46" t="s">
        <v>266</v>
      </c>
      <c r="C143" s="39" t="s">
        <v>856</v>
      </c>
      <c r="D143" s="72">
        <v>781472289</v>
      </c>
      <c r="E143" s="73">
        <v>2528502926</v>
      </c>
      <c r="F143" s="39" t="s">
        <v>256</v>
      </c>
      <c r="G143" s="256">
        <v>71710</v>
      </c>
      <c r="H143" s="255">
        <v>35944</v>
      </c>
      <c r="I143" s="105" t="str">
        <f>CHOOSE(MONTH(H143),"January","February","March","April","May","June","July","August","September","October","November","December")</f>
        <v>May</v>
      </c>
      <c r="J143" s="51">
        <f ca="1">DATEDIF(H143,TODAY(),"Y")</f>
        <v>18</v>
      </c>
    </row>
    <row r="144" spans="1:10" ht="16.5">
      <c r="A144" s="39" t="s">
        <v>1004</v>
      </c>
      <c r="B144" s="46" t="s">
        <v>280</v>
      </c>
      <c r="C144" s="39" t="s">
        <v>417</v>
      </c>
      <c r="D144" s="72">
        <v>171868795</v>
      </c>
      <c r="E144" s="73">
        <v>9194323329</v>
      </c>
      <c r="F144" s="39" t="s">
        <v>256</v>
      </c>
      <c r="G144" s="256">
        <v>37980</v>
      </c>
      <c r="H144" s="255">
        <v>37389</v>
      </c>
      <c r="I144" s="105" t="str">
        <f>CHOOSE(MONTH(H144),"January","February","March","April","May","June","July","August","September","October","November","December")</f>
        <v>May</v>
      </c>
      <c r="J144" s="51">
        <f ca="1">DATEDIF(H144,TODAY(),"Y")</f>
        <v>14</v>
      </c>
    </row>
    <row r="145" spans="1:10" ht="16.5">
      <c r="A145" s="39" t="s">
        <v>596</v>
      </c>
      <c r="B145" s="46" t="s">
        <v>285</v>
      </c>
      <c r="C145" s="39" t="s">
        <v>767</v>
      </c>
      <c r="D145" s="72">
        <v>394876677</v>
      </c>
      <c r="E145" s="73">
        <v>2522551469</v>
      </c>
      <c r="F145" s="39" t="s">
        <v>256</v>
      </c>
      <c r="G145" s="256">
        <v>34980</v>
      </c>
      <c r="H145" s="255">
        <v>35195</v>
      </c>
      <c r="I145" s="105" t="str">
        <f>CHOOSE(MONTH(H145),"January","February","March","April","May","June","July","August","September","October","November","December")</f>
        <v>May</v>
      </c>
      <c r="J145" s="51">
        <f ca="1">DATEDIF(H145,TODAY(),"Y")</f>
        <v>20</v>
      </c>
    </row>
    <row r="146" spans="1:10" ht="16.5">
      <c r="A146" s="39" t="s">
        <v>925</v>
      </c>
      <c r="B146" s="46" t="s">
        <v>285</v>
      </c>
      <c r="C146" s="39" t="s">
        <v>312</v>
      </c>
      <c r="D146" s="72">
        <v>333947685</v>
      </c>
      <c r="E146" s="73">
        <v>9198314799</v>
      </c>
      <c r="F146" s="39" t="s">
        <v>256</v>
      </c>
      <c r="G146" s="256">
        <v>24790</v>
      </c>
      <c r="H146" s="255">
        <v>35196</v>
      </c>
      <c r="I146" s="105" t="str">
        <f>CHOOSE(MONTH(H146),"January","February","March","April","May","June","July","August","September","October","November","December")</f>
        <v>May</v>
      </c>
      <c r="J146" s="51">
        <f ca="1">DATEDIF(H146,TODAY(),"Y")</f>
        <v>20</v>
      </c>
    </row>
    <row r="147" spans="1:10" ht="16.5">
      <c r="A147" s="39" t="s">
        <v>764</v>
      </c>
      <c r="B147" s="46" t="s">
        <v>245</v>
      </c>
      <c r="C147" s="39" t="s">
        <v>411</v>
      </c>
      <c r="D147" s="72">
        <v>914041569</v>
      </c>
      <c r="E147" s="73">
        <v>9196082608</v>
      </c>
      <c r="F147" s="39" t="s">
        <v>256</v>
      </c>
      <c r="G147" s="256">
        <v>62150</v>
      </c>
      <c r="H147" s="255">
        <v>37753</v>
      </c>
      <c r="I147" s="105" t="str">
        <f>CHOOSE(MONTH(H147),"January","February","March","April","May","June","July","August","September","October","November","December")</f>
        <v>May</v>
      </c>
      <c r="J147" s="51">
        <f ca="1">DATEDIF(H147,TODAY(),"Y")</f>
        <v>13</v>
      </c>
    </row>
    <row r="148" spans="1:10" ht="16.5">
      <c r="A148" s="39" t="s">
        <v>859</v>
      </c>
      <c r="B148" s="46" t="s">
        <v>245</v>
      </c>
      <c r="C148" s="39" t="s">
        <v>626</v>
      </c>
      <c r="D148" s="72">
        <v>662247915</v>
      </c>
      <c r="E148" s="73">
        <v>9194378387</v>
      </c>
      <c r="F148" s="39" t="s">
        <v>256</v>
      </c>
      <c r="G148" s="256">
        <v>45750</v>
      </c>
      <c r="H148" s="255">
        <v>40357</v>
      </c>
      <c r="I148" s="105" t="str">
        <f>CHOOSE(MONTH(H148),"January","February","March","April","May","June","July","August","September","October","November","December")</f>
        <v>June</v>
      </c>
      <c r="J148" s="51">
        <f ca="1">DATEDIF(H148,TODAY(),"Y")</f>
        <v>6</v>
      </c>
    </row>
    <row r="149" spans="1:10" ht="16.5">
      <c r="A149" s="39" t="s">
        <v>766</v>
      </c>
      <c r="B149" s="46" t="s">
        <v>285</v>
      </c>
      <c r="C149" s="39" t="s">
        <v>856</v>
      </c>
      <c r="D149" s="72">
        <v>622200296</v>
      </c>
      <c r="E149" s="73">
        <v>2526306545</v>
      </c>
      <c r="F149" s="39" t="s">
        <v>256</v>
      </c>
      <c r="G149" s="256">
        <v>23340</v>
      </c>
      <c r="H149" s="255">
        <v>39979</v>
      </c>
      <c r="I149" s="105" t="str">
        <f>CHOOSE(MONTH(H149),"January","February","March","April","May","June","July","August","September","October","November","December")</f>
        <v>June</v>
      </c>
      <c r="J149" s="51">
        <f ca="1">DATEDIF(H149,TODAY(),"Y")</f>
        <v>7</v>
      </c>
    </row>
    <row r="150" spans="1:10" ht="16.5">
      <c r="A150" s="39" t="s">
        <v>469</v>
      </c>
      <c r="B150" s="46" t="s">
        <v>245</v>
      </c>
      <c r="C150" s="39" t="s">
        <v>618</v>
      </c>
      <c r="D150" s="72">
        <v>620072502</v>
      </c>
      <c r="E150" s="73">
        <v>9191264013</v>
      </c>
      <c r="F150" s="39" t="s">
        <v>256</v>
      </c>
      <c r="G150" s="256">
        <v>29005</v>
      </c>
      <c r="H150" s="255">
        <v>41062</v>
      </c>
      <c r="I150" s="105" t="str">
        <f>CHOOSE(MONTH(H150),"January","February","March","April","May","June","July","August","September","October","November","December")</f>
        <v>June</v>
      </c>
      <c r="J150" s="51">
        <f ca="1">DATEDIF(H150,TODAY(),"Y")</f>
        <v>4</v>
      </c>
    </row>
    <row r="151" spans="1:10" ht="16.5">
      <c r="A151" s="39" t="s">
        <v>627</v>
      </c>
      <c r="B151" s="46" t="s">
        <v>271</v>
      </c>
      <c r="C151" s="39" t="s">
        <v>465</v>
      </c>
      <c r="D151" s="72">
        <v>371001908</v>
      </c>
      <c r="E151" s="73">
        <v>2527061632</v>
      </c>
      <c r="F151" s="39" t="s">
        <v>256</v>
      </c>
      <c r="G151" s="256">
        <v>30340</v>
      </c>
      <c r="H151" s="255">
        <v>37416</v>
      </c>
      <c r="I151" s="105" t="str">
        <f>CHOOSE(MONTH(H151),"January","February","March","April","May","June","July","August","September","October","November","December")</f>
        <v>June</v>
      </c>
      <c r="J151" s="51">
        <f ca="1">DATEDIF(H151,TODAY(),"Y")</f>
        <v>14</v>
      </c>
    </row>
    <row r="152" spans="1:10" ht="16.5">
      <c r="A152" s="39" t="s">
        <v>295</v>
      </c>
      <c r="B152" s="46" t="s">
        <v>271</v>
      </c>
      <c r="C152" s="39" t="s">
        <v>767</v>
      </c>
      <c r="D152" s="72">
        <v>990843236</v>
      </c>
      <c r="E152" s="73">
        <v>9196245634</v>
      </c>
      <c r="F152" s="39" t="s">
        <v>256</v>
      </c>
      <c r="G152" s="256">
        <v>68510</v>
      </c>
      <c r="H152" s="255">
        <v>34138</v>
      </c>
      <c r="I152" s="105" t="str">
        <f>CHOOSE(MONTH(H152),"January","February","March","April","May","June","July","August","September","October","November","December")</f>
        <v>June</v>
      </c>
      <c r="J152" s="51">
        <f ca="1">DATEDIF(H152,TODAY(),"Y")</f>
        <v>23</v>
      </c>
    </row>
    <row r="153" spans="1:10" ht="16.5">
      <c r="A153" s="39" t="s">
        <v>477</v>
      </c>
      <c r="B153" s="46" t="s">
        <v>251</v>
      </c>
      <c r="C153" s="39" t="s">
        <v>465</v>
      </c>
      <c r="D153" s="72">
        <v>923123594</v>
      </c>
      <c r="E153" s="73">
        <v>2528669137</v>
      </c>
      <c r="F153" s="39" t="s">
        <v>256</v>
      </c>
      <c r="G153" s="256">
        <v>46570</v>
      </c>
      <c r="H153" s="255">
        <v>38151</v>
      </c>
      <c r="I153" s="105" t="str">
        <f>CHOOSE(MONTH(H153),"January","February","March","April","May","June","July","August","September","October","November","December")</f>
        <v>June</v>
      </c>
      <c r="J153" s="51">
        <f ca="1">DATEDIF(H153,TODAY(),"Y")</f>
        <v>12</v>
      </c>
    </row>
    <row r="154" spans="1:10" ht="16.5">
      <c r="A154" s="39" t="s">
        <v>309</v>
      </c>
      <c r="B154" s="46" t="s">
        <v>266</v>
      </c>
      <c r="C154" s="39" t="s">
        <v>678</v>
      </c>
      <c r="D154" s="72">
        <v>113377726</v>
      </c>
      <c r="E154" s="73">
        <v>9197494648</v>
      </c>
      <c r="F154" s="39" t="s">
        <v>256</v>
      </c>
      <c r="G154" s="256">
        <v>88240</v>
      </c>
      <c r="H154" s="255">
        <v>38522</v>
      </c>
      <c r="I154" s="105" t="str">
        <f>CHOOSE(MONTH(H154),"January","February","March","April","May","June","July","August","September","October","November","December")</f>
        <v>June</v>
      </c>
      <c r="J154" s="51">
        <f ca="1">DATEDIF(H154,TODAY(),"Y")</f>
        <v>11</v>
      </c>
    </row>
    <row r="155" spans="1:10" ht="16.5">
      <c r="A155" s="39" t="s">
        <v>647</v>
      </c>
      <c r="B155" s="46" t="s">
        <v>245</v>
      </c>
      <c r="C155" s="39" t="s">
        <v>465</v>
      </c>
      <c r="D155" s="72">
        <v>354619285</v>
      </c>
      <c r="E155" s="73">
        <v>2526657361</v>
      </c>
      <c r="F155" s="39" t="s">
        <v>256</v>
      </c>
      <c r="G155" s="256">
        <v>39110</v>
      </c>
      <c r="H155" s="255">
        <v>36686</v>
      </c>
      <c r="I155" s="105" t="str">
        <f>CHOOSE(MONTH(H155),"January","February","March","April","May","June","July","August","September","October","November","December")</f>
        <v>June</v>
      </c>
      <c r="J155" s="51">
        <f ca="1">DATEDIF(H155,TODAY(),"Y")</f>
        <v>16</v>
      </c>
    </row>
    <row r="156" spans="1:10" ht="16.5">
      <c r="A156" s="39" t="s">
        <v>984</v>
      </c>
      <c r="B156" s="46" t="s">
        <v>280</v>
      </c>
      <c r="C156" s="39" t="s">
        <v>856</v>
      </c>
      <c r="D156" s="72">
        <v>531654742</v>
      </c>
      <c r="E156" s="73">
        <v>9195770085</v>
      </c>
      <c r="F156" s="39" t="s">
        <v>256</v>
      </c>
      <c r="G156" s="256">
        <v>86470</v>
      </c>
      <c r="H156" s="255">
        <v>38146</v>
      </c>
      <c r="I156" s="105" t="str">
        <f>CHOOSE(MONTH(H156),"January","February","March","April","May","June","July","August","September","October","November","December")</f>
        <v>June</v>
      </c>
      <c r="J156" s="51">
        <f ca="1">DATEDIF(H156,TODAY(),"Y")</f>
        <v>12</v>
      </c>
    </row>
    <row r="157" spans="1:10" ht="16.5">
      <c r="A157" s="39" t="s">
        <v>693</v>
      </c>
      <c r="B157" s="46" t="s">
        <v>271</v>
      </c>
      <c r="C157" s="39" t="s">
        <v>465</v>
      </c>
      <c r="D157" s="72">
        <v>505966230</v>
      </c>
      <c r="E157" s="73">
        <v>9198038161</v>
      </c>
      <c r="F157" s="39" t="s">
        <v>256</v>
      </c>
      <c r="G157" s="256">
        <v>81930</v>
      </c>
      <c r="H157" s="255">
        <v>34488</v>
      </c>
      <c r="I157" s="105" t="str">
        <f>CHOOSE(MONTH(H157),"January","February","March","April","May","June","July","August","September","October","November","December")</f>
        <v>June</v>
      </c>
      <c r="J157" s="51">
        <f ca="1">DATEDIF(H157,TODAY(),"Y")</f>
        <v>22</v>
      </c>
    </row>
    <row r="158" spans="1:10" ht="16.5">
      <c r="A158" s="39" t="s">
        <v>347</v>
      </c>
      <c r="B158" s="46" t="s">
        <v>280</v>
      </c>
      <c r="C158" s="39" t="s">
        <v>930</v>
      </c>
      <c r="D158" s="72">
        <v>276873359</v>
      </c>
      <c r="E158" s="73">
        <v>2522304625</v>
      </c>
      <c r="F158" s="39" t="s">
        <v>256</v>
      </c>
      <c r="G158" s="256">
        <v>46670</v>
      </c>
      <c r="H158" s="255">
        <v>37046</v>
      </c>
      <c r="I158" s="105" t="str">
        <f>CHOOSE(MONTH(H158),"January","February","March","April","May","June","July","August","September","October","November","December")</f>
        <v>June</v>
      </c>
      <c r="J158" s="51">
        <f ca="1">DATEDIF(H158,TODAY(),"Y")</f>
        <v>15</v>
      </c>
    </row>
    <row r="159" spans="1:10" ht="16.5">
      <c r="A159" s="39" t="s">
        <v>377</v>
      </c>
      <c r="B159" s="46" t="s">
        <v>245</v>
      </c>
      <c r="C159" s="39" t="s">
        <v>767</v>
      </c>
      <c r="D159" s="72">
        <v>174159111</v>
      </c>
      <c r="E159" s="73">
        <v>9191675237</v>
      </c>
      <c r="F159" s="39" t="s">
        <v>256</v>
      </c>
      <c r="G159" s="256">
        <v>40680</v>
      </c>
      <c r="H159" s="255">
        <v>40356</v>
      </c>
      <c r="I159" s="105" t="str">
        <f>CHOOSE(MONTH(H159),"January","February","March","April","May","June","July","August","September","October","November","December")</f>
        <v>June</v>
      </c>
      <c r="J159" s="51">
        <f ca="1">DATEDIF(H159,TODAY(),"Y")</f>
        <v>6</v>
      </c>
    </row>
    <row r="160" spans="1:10" ht="16.5">
      <c r="A160" s="39" t="s">
        <v>352</v>
      </c>
      <c r="B160" s="46" t="s">
        <v>271</v>
      </c>
      <c r="C160" s="39" t="s">
        <v>930</v>
      </c>
      <c r="D160" s="72">
        <v>159594851</v>
      </c>
      <c r="E160" s="73">
        <v>9194084456</v>
      </c>
      <c r="F160" s="39" t="s">
        <v>256</v>
      </c>
      <c r="G160" s="256">
        <v>25530</v>
      </c>
      <c r="H160" s="255">
        <v>38159</v>
      </c>
      <c r="I160" s="105" t="str">
        <f>CHOOSE(MONTH(H160),"January","February","March","April","May","June","July","August","September","October","November","December")</f>
        <v>June</v>
      </c>
      <c r="J160" s="51">
        <f ca="1">DATEDIF(H160,TODAY(),"Y")</f>
        <v>12</v>
      </c>
    </row>
    <row r="161" spans="1:10" ht="16.5">
      <c r="A161" s="39" t="s">
        <v>831</v>
      </c>
      <c r="B161" s="46" t="s">
        <v>285</v>
      </c>
      <c r="C161" s="39" t="s">
        <v>381</v>
      </c>
      <c r="D161" s="72">
        <v>510190628</v>
      </c>
      <c r="E161" s="73">
        <v>2527405629</v>
      </c>
      <c r="F161" s="39" t="s">
        <v>256</v>
      </c>
      <c r="G161" s="256">
        <v>35820</v>
      </c>
      <c r="H161" s="255">
        <v>36318</v>
      </c>
      <c r="I161" s="105" t="str">
        <f>CHOOSE(MONTH(H161),"January","February","March","April","May","June","July","August","September","October","November","December")</f>
        <v>June</v>
      </c>
      <c r="J161" s="51">
        <f ca="1">DATEDIF(H161,TODAY(),"Y")</f>
        <v>17</v>
      </c>
    </row>
    <row r="162" spans="1:10" ht="16.5">
      <c r="A162" s="39" t="s">
        <v>914</v>
      </c>
      <c r="B162" s="46" t="s">
        <v>285</v>
      </c>
      <c r="C162" s="39" t="s">
        <v>930</v>
      </c>
      <c r="D162" s="72">
        <v>186346711</v>
      </c>
      <c r="E162" s="73">
        <v>9194900514</v>
      </c>
      <c r="F162" s="39" t="s">
        <v>256</v>
      </c>
      <c r="G162" s="256">
        <v>73144</v>
      </c>
      <c r="H162" s="255">
        <v>37436</v>
      </c>
      <c r="I162" s="105" t="str">
        <f>CHOOSE(MONTH(H162),"January","February","March","April","May","June","July","August","September","October","November","December")</f>
        <v>June</v>
      </c>
      <c r="J162" s="51">
        <f ca="1">DATEDIF(H162,TODAY(),"Y")</f>
        <v>14</v>
      </c>
    </row>
    <row r="163" spans="1:10" ht="16.5">
      <c r="A163" s="39" t="s">
        <v>1008</v>
      </c>
      <c r="B163" s="46" t="s">
        <v>271</v>
      </c>
      <c r="C163" s="39" t="s">
        <v>465</v>
      </c>
      <c r="D163" s="72">
        <v>853268713</v>
      </c>
      <c r="E163" s="73">
        <v>9192712826</v>
      </c>
      <c r="F163" s="39" t="s">
        <v>256</v>
      </c>
      <c r="G163" s="256">
        <v>31840</v>
      </c>
      <c r="H163" s="255">
        <v>36312</v>
      </c>
      <c r="I163" s="105" t="str">
        <f>CHOOSE(MONTH(H163),"January","February","March","April","May","June","July","August","September","October","November","December")</f>
        <v>June</v>
      </c>
      <c r="J163" s="51">
        <f ca="1">DATEDIF(H163,TODAY(),"Y")</f>
        <v>17</v>
      </c>
    </row>
    <row r="164" spans="1:10" ht="16.5">
      <c r="A164" s="39" t="s">
        <v>669</v>
      </c>
      <c r="B164" s="46" t="s">
        <v>245</v>
      </c>
      <c r="C164" s="39" t="s">
        <v>312</v>
      </c>
      <c r="D164" s="72">
        <v>676534152</v>
      </c>
      <c r="E164" s="73">
        <v>9194416232</v>
      </c>
      <c r="F164" s="39" t="s">
        <v>256</v>
      </c>
      <c r="G164" s="256">
        <v>28880</v>
      </c>
      <c r="H164" s="255">
        <v>34132</v>
      </c>
      <c r="I164" s="105" t="str">
        <f>CHOOSE(MONTH(H164),"January","February","March","April","May","June","July","August","September","October","November","December")</f>
        <v>June</v>
      </c>
      <c r="J164" s="51">
        <f ca="1">DATEDIF(H164,TODAY(),"Y")</f>
        <v>23</v>
      </c>
    </row>
    <row r="165" spans="1:10" ht="16.5">
      <c r="A165" s="39" t="s">
        <v>839</v>
      </c>
      <c r="B165" s="46" t="s">
        <v>271</v>
      </c>
      <c r="C165" s="39" t="s">
        <v>312</v>
      </c>
      <c r="D165" s="72">
        <v>147261161</v>
      </c>
      <c r="E165" s="73">
        <v>9197692593</v>
      </c>
      <c r="F165" s="39" t="s">
        <v>256</v>
      </c>
      <c r="G165" s="256">
        <v>35320</v>
      </c>
      <c r="H165" s="255">
        <v>34514</v>
      </c>
      <c r="I165" s="105" t="str">
        <f>CHOOSE(MONTH(H165),"January","February","March","April","May","June","July","August","September","October","November","December")</f>
        <v>June</v>
      </c>
      <c r="J165" s="51">
        <f ca="1">DATEDIF(H165,TODAY(),"Y")</f>
        <v>22</v>
      </c>
    </row>
    <row r="166" spans="1:10" ht="16.5">
      <c r="A166" s="39" t="s">
        <v>603</v>
      </c>
      <c r="B166" s="46" t="s">
        <v>285</v>
      </c>
      <c r="C166" s="39" t="s">
        <v>391</v>
      </c>
      <c r="D166" s="72">
        <v>685953695</v>
      </c>
      <c r="E166" s="73">
        <v>9196756847</v>
      </c>
      <c r="F166" s="39" t="s">
        <v>256</v>
      </c>
      <c r="G166" s="256">
        <v>41060</v>
      </c>
      <c r="H166" s="255">
        <v>41433</v>
      </c>
      <c r="I166" s="105" t="str">
        <f>CHOOSE(MONTH(H166),"January","February","March","April","May","June","July","August","September","October","November","December")</f>
        <v>June</v>
      </c>
      <c r="J166" s="51">
        <f ca="1">DATEDIF(H166,TODAY(),"Y")</f>
        <v>3</v>
      </c>
    </row>
    <row r="167" spans="1:10" ht="16.5">
      <c r="A167" s="39" t="s">
        <v>290</v>
      </c>
      <c r="B167" s="46" t="s">
        <v>271</v>
      </c>
      <c r="C167" s="39" t="s">
        <v>417</v>
      </c>
      <c r="D167" s="72">
        <v>603301910</v>
      </c>
      <c r="E167" s="73">
        <v>9196514650</v>
      </c>
      <c r="F167" s="39" t="s">
        <v>256</v>
      </c>
      <c r="G167" s="256">
        <v>69410</v>
      </c>
      <c r="H167" s="255">
        <v>34867</v>
      </c>
      <c r="I167" s="105" t="str">
        <f>CHOOSE(MONTH(H167),"January","February","March","April","May","June","July","August","September","October","November","December")</f>
        <v>June</v>
      </c>
      <c r="J167" s="51">
        <f ca="1">DATEDIF(H167,TODAY(),"Y")</f>
        <v>21</v>
      </c>
    </row>
    <row r="168" spans="1:10" ht="16.5">
      <c r="A168" s="39" t="s">
        <v>450</v>
      </c>
      <c r="B168" s="46" t="s">
        <v>266</v>
      </c>
      <c r="C168" s="39" t="s">
        <v>750</v>
      </c>
      <c r="D168" s="72">
        <v>710460589</v>
      </c>
      <c r="E168" s="73">
        <v>2526104400</v>
      </c>
      <c r="F168" s="39" t="s">
        <v>256</v>
      </c>
      <c r="G168" s="256">
        <v>78590</v>
      </c>
      <c r="H168" s="255">
        <v>36686</v>
      </c>
      <c r="I168" s="105" t="str">
        <f>CHOOSE(MONTH(H168),"January","February","March","April","May","June","July","August","September","October","November","December")</f>
        <v>June</v>
      </c>
      <c r="J168" s="51">
        <f ca="1">DATEDIF(H168,TODAY(),"Y")</f>
        <v>16</v>
      </c>
    </row>
    <row r="169" spans="1:10" ht="16.5">
      <c r="A169" s="39" t="s">
        <v>924</v>
      </c>
      <c r="B169" s="46" t="s">
        <v>271</v>
      </c>
      <c r="C169" s="39" t="s">
        <v>705</v>
      </c>
      <c r="D169" s="72">
        <v>617795992</v>
      </c>
      <c r="E169" s="73">
        <v>2526345909</v>
      </c>
      <c r="F169" s="39" t="s">
        <v>256</v>
      </c>
      <c r="G169" s="256">
        <v>34330</v>
      </c>
      <c r="H169" s="255">
        <v>35962</v>
      </c>
      <c r="I169" s="105" t="str">
        <f>CHOOSE(MONTH(H169),"January","February","March","April","May","June","July","August","September","October","November","December")</f>
        <v>June</v>
      </c>
      <c r="J169" s="51">
        <f ca="1">DATEDIF(H169,TODAY(),"Y")</f>
        <v>18</v>
      </c>
    </row>
    <row r="170" spans="1:10" ht="16.5">
      <c r="A170" s="39" t="s">
        <v>845</v>
      </c>
      <c r="B170" s="46" t="s">
        <v>285</v>
      </c>
      <c r="C170" s="39" t="s">
        <v>417</v>
      </c>
      <c r="D170" s="72">
        <v>536516131</v>
      </c>
      <c r="E170" s="73">
        <v>2524442207</v>
      </c>
      <c r="F170" s="39" t="s">
        <v>256</v>
      </c>
      <c r="G170" s="256">
        <v>59350</v>
      </c>
      <c r="H170" s="255">
        <v>40351</v>
      </c>
      <c r="I170" s="105" t="str">
        <f>CHOOSE(MONTH(H170),"January","February","March","April","May","June","July","August","September","October","November","December")</f>
        <v>June</v>
      </c>
      <c r="J170" s="51">
        <f ca="1">DATEDIF(H170,TODAY(),"Y")</f>
        <v>6</v>
      </c>
    </row>
    <row r="171" spans="1:10" ht="16.5">
      <c r="A171" s="39" t="s">
        <v>291</v>
      </c>
      <c r="B171" s="46" t="s">
        <v>271</v>
      </c>
      <c r="C171" s="39" t="s">
        <v>767</v>
      </c>
      <c r="D171" s="72">
        <v>503036433</v>
      </c>
      <c r="E171" s="73">
        <v>9192453666</v>
      </c>
      <c r="F171" s="39" t="s">
        <v>256</v>
      </c>
      <c r="G171" s="256">
        <v>46220</v>
      </c>
      <c r="H171" s="255">
        <v>39257</v>
      </c>
      <c r="I171" s="105" t="str">
        <f>CHOOSE(MONTH(H171),"January","February","March","April","May","June","July","August","September","October","November","December")</f>
        <v>June</v>
      </c>
      <c r="J171" s="51">
        <f ca="1">DATEDIF(H171,TODAY(),"Y")</f>
        <v>9</v>
      </c>
    </row>
    <row r="172" spans="1:10" ht="16.5">
      <c r="A172" s="39" t="s">
        <v>305</v>
      </c>
      <c r="B172" s="46" t="s">
        <v>271</v>
      </c>
      <c r="C172" s="39" t="s">
        <v>626</v>
      </c>
      <c r="D172" s="72">
        <v>796685092</v>
      </c>
      <c r="E172" s="73">
        <v>2527469217</v>
      </c>
      <c r="F172" s="39" t="s">
        <v>256</v>
      </c>
      <c r="G172" s="256">
        <v>79380</v>
      </c>
      <c r="H172" s="255">
        <v>41453</v>
      </c>
      <c r="I172" s="105" t="str">
        <f>CHOOSE(MONTH(H172),"January","February","March","April","May","June","July","August","September","October","November","December")</f>
        <v>June</v>
      </c>
      <c r="J172" s="51">
        <f ca="1">DATEDIF(H172,TODAY(),"Y")</f>
        <v>3</v>
      </c>
    </row>
    <row r="173" spans="1:10" ht="16.5">
      <c r="A173" s="39" t="s">
        <v>858</v>
      </c>
      <c r="B173" s="46" t="s">
        <v>271</v>
      </c>
      <c r="C173" s="39" t="s">
        <v>465</v>
      </c>
      <c r="D173" s="72">
        <v>931105030</v>
      </c>
      <c r="E173" s="73">
        <v>9191397811</v>
      </c>
      <c r="F173" s="39" t="s">
        <v>256</v>
      </c>
      <c r="G173" s="256">
        <v>38105</v>
      </c>
      <c r="H173" s="255">
        <v>37081</v>
      </c>
      <c r="I173" s="105" t="str">
        <f>CHOOSE(MONTH(H173),"January","February","March","April","May","June","July","August","September","October","November","December")</f>
        <v>July</v>
      </c>
      <c r="J173" s="51">
        <f ca="1">DATEDIF(H173,TODAY(),"Y")</f>
        <v>15</v>
      </c>
    </row>
    <row r="174" spans="1:10" ht="16.5">
      <c r="A174" s="39" t="s">
        <v>308</v>
      </c>
      <c r="B174" s="46" t="s">
        <v>285</v>
      </c>
      <c r="C174" s="39" t="s">
        <v>411</v>
      </c>
      <c r="D174" s="72">
        <v>850210766</v>
      </c>
      <c r="E174" s="73">
        <v>2527838614</v>
      </c>
      <c r="F174" s="39" t="s">
        <v>256</v>
      </c>
      <c r="G174" s="256">
        <v>36844</v>
      </c>
      <c r="H174" s="255">
        <v>37806</v>
      </c>
      <c r="I174" s="105" t="str">
        <f>CHOOSE(MONTH(H174),"January","February","March","April","May","June","July","August","September","October","November","December")</f>
        <v>July</v>
      </c>
      <c r="J174" s="51">
        <f ca="1">DATEDIF(H174,TODAY(),"Y")</f>
        <v>13</v>
      </c>
    </row>
    <row r="175" spans="1:10" ht="16.5">
      <c r="A175" s="39" t="s">
        <v>313</v>
      </c>
      <c r="B175" s="46" t="s">
        <v>271</v>
      </c>
      <c r="C175" s="39" t="s">
        <v>930</v>
      </c>
      <c r="D175" s="72">
        <v>964255290</v>
      </c>
      <c r="E175" s="73">
        <v>9197446192</v>
      </c>
      <c r="F175" s="39" t="s">
        <v>256</v>
      </c>
      <c r="G175" s="256">
        <v>8904</v>
      </c>
      <c r="H175" s="255">
        <v>41485</v>
      </c>
      <c r="I175" s="105" t="str">
        <f>CHOOSE(MONTH(H175),"January","February","March","April","May","June","July","August","September","October","November","December")</f>
        <v>July</v>
      </c>
      <c r="J175" s="51">
        <f ca="1">DATEDIF(H175,TODAY(),"Y")</f>
        <v>3</v>
      </c>
    </row>
    <row r="176" spans="1:10" ht="16.5">
      <c r="A176" s="39" t="s">
        <v>775</v>
      </c>
      <c r="B176" s="46" t="s">
        <v>285</v>
      </c>
      <c r="C176" s="39" t="s">
        <v>705</v>
      </c>
      <c r="D176" s="72">
        <v>474117484</v>
      </c>
      <c r="E176" s="73">
        <v>9196132408</v>
      </c>
      <c r="F176" s="39" t="s">
        <v>256</v>
      </c>
      <c r="G176" s="256">
        <v>46340</v>
      </c>
      <c r="H176" s="255">
        <v>34891</v>
      </c>
      <c r="I176" s="105" t="str">
        <f>CHOOSE(MONTH(H176),"January","February","March","April","May","June","July","August","September","October","November","December")</f>
        <v>July</v>
      </c>
      <c r="J176" s="51">
        <f ca="1">DATEDIF(H176,TODAY(),"Y")</f>
        <v>21</v>
      </c>
    </row>
    <row r="177" spans="1:10" ht="16.5">
      <c r="A177" s="39" t="s">
        <v>683</v>
      </c>
      <c r="B177" s="46" t="s">
        <v>285</v>
      </c>
      <c r="C177" s="39" t="s">
        <v>465</v>
      </c>
      <c r="D177" s="72">
        <v>894030119</v>
      </c>
      <c r="E177" s="73">
        <v>2528652588</v>
      </c>
      <c r="F177" s="39" t="s">
        <v>256</v>
      </c>
      <c r="G177" s="256">
        <v>47340</v>
      </c>
      <c r="H177" s="255">
        <v>35996</v>
      </c>
      <c r="I177" s="105" t="str">
        <f>CHOOSE(MONTH(H177),"January","February","March","April","May","June","July","August","September","October","November","December")</f>
        <v>July</v>
      </c>
      <c r="J177" s="51">
        <f ca="1">DATEDIF(H177,TODAY(),"Y")</f>
        <v>18</v>
      </c>
    </row>
    <row r="178" spans="1:10" ht="16.5">
      <c r="A178" s="39" t="s">
        <v>489</v>
      </c>
      <c r="B178" s="46" t="s">
        <v>251</v>
      </c>
      <c r="C178" s="39" t="s">
        <v>767</v>
      </c>
      <c r="D178" s="72">
        <v>265323292</v>
      </c>
      <c r="E178" s="73">
        <v>2522939413</v>
      </c>
      <c r="F178" s="39" t="s">
        <v>256</v>
      </c>
      <c r="G178" s="256">
        <v>24410</v>
      </c>
      <c r="H178" s="255">
        <v>36359</v>
      </c>
      <c r="I178" s="105" t="str">
        <f>CHOOSE(MONTH(H178),"January","February","March","April","May","June","July","August","September","October","November","December")</f>
        <v>July</v>
      </c>
      <c r="J178" s="51">
        <f ca="1">DATEDIF(H178,TODAY(),"Y")</f>
        <v>17</v>
      </c>
    </row>
    <row r="179" spans="1:10" ht="16.5">
      <c r="A179" s="39" t="s">
        <v>782</v>
      </c>
      <c r="B179" s="46" t="s">
        <v>271</v>
      </c>
      <c r="C179" s="39" t="s">
        <v>372</v>
      </c>
      <c r="D179" s="72">
        <v>759350847</v>
      </c>
      <c r="E179" s="73">
        <v>2527474942</v>
      </c>
      <c r="F179" s="39" t="s">
        <v>256</v>
      </c>
      <c r="G179" s="256">
        <v>85980</v>
      </c>
      <c r="H179" s="255">
        <v>37092</v>
      </c>
      <c r="I179" s="105" t="str">
        <f>CHOOSE(MONTH(H179),"January","February","March","April","May","June","July","August","September","October","November","December")</f>
        <v>July</v>
      </c>
      <c r="J179" s="51">
        <f ca="1">DATEDIF(H179,TODAY(),"Y")</f>
        <v>15</v>
      </c>
    </row>
    <row r="180" spans="1:10" ht="16.5">
      <c r="A180" s="39" t="s">
        <v>635</v>
      </c>
      <c r="B180" s="46" t="s">
        <v>266</v>
      </c>
      <c r="C180" s="39" t="s">
        <v>465</v>
      </c>
      <c r="D180" s="72">
        <v>292993080</v>
      </c>
      <c r="E180" s="73">
        <v>2525085320</v>
      </c>
      <c r="F180" s="39" t="s">
        <v>256</v>
      </c>
      <c r="G180" s="256">
        <v>42540</v>
      </c>
      <c r="H180" s="255">
        <v>34155</v>
      </c>
      <c r="I180" s="105" t="str">
        <f>CHOOSE(MONTH(H180),"January","February","March","April","May","June","July","August","September","October","November","December")</f>
        <v>July</v>
      </c>
      <c r="J180" s="51">
        <f ca="1">DATEDIF(H180,TODAY(),"Y")</f>
        <v>23</v>
      </c>
    </row>
    <row r="181" spans="1:10" ht="16.5">
      <c r="A181" s="39" t="s">
        <v>684</v>
      </c>
      <c r="B181" s="46" t="s">
        <v>285</v>
      </c>
      <c r="C181" s="39" t="s">
        <v>465</v>
      </c>
      <c r="D181" s="72">
        <v>475517002</v>
      </c>
      <c r="E181" s="73">
        <v>2523909820</v>
      </c>
      <c r="F181" s="39" t="s">
        <v>256</v>
      </c>
      <c r="G181" s="256">
        <v>47060</v>
      </c>
      <c r="H181" s="255">
        <v>34904</v>
      </c>
      <c r="I181" s="105" t="str">
        <f>CHOOSE(MONTH(H181),"January","February","March","April","May","June","July","August","September","October","November","December")</f>
        <v>July</v>
      </c>
      <c r="J181" s="51">
        <f ca="1">DATEDIF(H181,TODAY(),"Y")</f>
        <v>21</v>
      </c>
    </row>
    <row r="182" spans="1:10" ht="16.5">
      <c r="A182" s="39" t="s">
        <v>500</v>
      </c>
      <c r="B182" s="46" t="s">
        <v>251</v>
      </c>
      <c r="C182" s="39" t="s">
        <v>465</v>
      </c>
      <c r="D182" s="72">
        <v>720538680</v>
      </c>
      <c r="E182" s="73">
        <v>2522126686</v>
      </c>
      <c r="F182" s="39" t="s">
        <v>256</v>
      </c>
      <c r="G182" s="256">
        <v>71300</v>
      </c>
      <c r="H182" s="255">
        <v>38551</v>
      </c>
      <c r="I182" s="105" t="str">
        <f>CHOOSE(MONTH(H182),"January","February","March","April","May","June","July","August","September","October","November","December")</f>
        <v>July</v>
      </c>
      <c r="J182" s="51">
        <f ca="1">DATEDIF(H182,TODAY(),"Y")</f>
        <v>11</v>
      </c>
    </row>
    <row r="183" spans="1:10" ht="16.5">
      <c r="A183" s="39" t="s">
        <v>503</v>
      </c>
      <c r="B183" s="46" t="s">
        <v>251</v>
      </c>
      <c r="C183" s="39" t="s">
        <v>465</v>
      </c>
      <c r="D183" s="72">
        <v>696435191</v>
      </c>
      <c r="E183" s="73">
        <v>2527710498</v>
      </c>
      <c r="F183" s="39" t="s">
        <v>256</v>
      </c>
      <c r="G183" s="256">
        <v>42620</v>
      </c>
      <c r="H183" s="255">
        <v>35994</v>
      </c>
      <c r="I183" s="105" t="str">
        <f>CHOOSE(MONTH(H183),"January","February","March","April","May","June","July","August","September","October","November","December")</f>
        <v>July</v>
      </c>
      <c r="J183" s="51">
        <f ca="1">DATEDIF(H183,TODAY(),"Y")</f>
        <v>18</v>
      </c>
    </row>
    <row r="184" spans="1:10" ht="16.5">
      <c r="A184" s="39" t="s">
        <v>512</v>
      </c>
      <c r="B184" s="46" t="s">
        <v>266</v>
      </c>
      <c r="C184" s="39" t="s">
        <v>1025</v>
      </c>
      <c r="D184" s="72">
        <v>443926890</v>
      </c>
      <c r="E184" s="73">
        <v>2524411859</v>
      </c>
      <c r="F184" s="39" t="s">
        <v>256</v>
      </c>
      <c r="G184" s="256">
        <v>82490</v>
      </c>
      <c r="H184" s="255">
        <v>34541</v>
      </c>
      <c r="I184" s="105" t="str">
        <f>CHOOSE(MONTH(H184),"January","February","March","April","May","June","July","August","September","October","November","December")</f>
        <v>July</v>
      </c>
      <c r="J184" s="51">
        <f ca="1">DATEDIF(H184,TODAY(),"Y")</f>
        <v>22</v>
      </c>
    </row>
    <row r="185" spans="1:10" ht="16.5">
      <c r="A185" s="39" t="s">
        <v>879</v>
      </c>
      <c r="B185" s="46" t="s">
        <v>285</v>
      </c>
      <c r="C185" s="39" t="s">
        <v>465</v>
      </c>
      <c r="D185" s="72">
        <v>482927373</v>
      </c>
      <c r="E185" s="73">
        <v>9198413271</v>
      </c>
      <c r="F185" s="39" t="s">
        <v>256</v>
      </c>
      <c r="G185" s="256">
        <v>32600</v>
      </c>
      <c r="H185" s="255">
        <v>37445</v>
      </c>
      <c r="I185" s="105" t="str">
        <f>CHOOSE(MONTH(H185),"January","February","March","April","May","June","July","August","September","October","November","December")</f>
        <v>July</v>
      </c>
      <c r="J185" s="51">
        <f ca="1">DATEDIF(H185,TODAY(),"Y")</f>
        <v>14</v>
      </c>
    </row>
    <row r="186" spans="1:10" ht="16.5">
      <c r="A186" s="39" t="s">
        <v>796</v>
      </c>
      <c r="B186" s="46" t="s">
        <v>285</v>
      </c>
      <c r="C186" s="39" t="s">
        <v>465</v>
      </c>
      <c r="D186" s="72">
        <v>564908088</v>
      </c>
      <c r="E186" s="73">
        <v>9193386758</v>
      </c>
      <c r="F186" s="39" t="s">
        <v>256</v>
      </c>
      <c r="G186" s="256">
        <v>61134</v>
      </c>
      <c r="H186" s="255">
        <v>34889</v>
      </c>
      <c r="I186" s="105" t="str">
        <f>CHOOSE(MONTH(H186),"January","February","March","April","May","June","July","August","September","October","November","December")</f>
        <v>July</v>
      </c>
      <c r="J186" s="51">
        <f ca="1">DATEDIF(H186,TODAY(),"Y")</f>
        <v>21</v>
      </c>
    </row>
    <row r="187" spans="1:10" ht="16.5">
      <c r="A187" s="39" t="s">
        <v>800</v>
      </c>
      <c r="B187" s="46" t="s">
        <v>251</v>
      </c>
      <c r="C187" s="39" t="s">
        <v>465</v>
      </c>
      <c r="D187" s="72">
        <v>682907379</v>
      </c>
      <c r="E187" s="73">
        <v>2521854525</v>
      </c>
      <c r="F187" s="39" t="s">
        <v>256</v>
      </c>
      <c r="G187" s="256">
        <v>61850</v>
      </c>
      <c r="H187" s="255">
        <v>39643</v>
      </c>
      <c r="I187" s="105" t="str">
        <f>CHOOSE(MONTH(H187),"January","February","March","April","May","June","July","August","September","October","November","December")</f>
        <v>July</v>
      </c>
      <c r="J187" s="51">
        <f ca="1">DATEDIF(H187,TODAY(),"Y")</f>
        <v>8</v>
      </c>
    </row>
    <row r="188" spans="1:10" ht="16.5">
      <c r="A188" s="39" t="s">
        <v>802</v>
      </c>
      <c r="B188" s="46" t="s">
        <v>285</v>
      </c>
      <c r="C188" s="39" t="s">
        <v>767</v>
      </c>
      <c r="D188" s="72">
        <v>592519945</v>
      </c>
      <c r="E188" s="73">
        <v>9195990200</v>
      </c>
      <c r="F188" s="39" t="s">
        <v>256</v>
      </c>
      <c r="G188" s="256">
        <v>85480</v>
      </c>
      <c r="H188" s="255">
        <v>34523</v>
      </c>
      <c r="I188" s="105" t="str">
        <f>CHOOSE(MONTH(H188),"January","February","March","April","May","June","July","August","September","October","November","December")</f>
        <v>July</v>
      </c>
      <c r="J188" s="51">
        <f ca="1">DATEDIF(H188,TODAY(),"Y")</f>
        <v>22</v>
      </c>
    </row>
    <row r="189" spans="1:10" ht="16.5">
      <c r="A189" s="39" t="s">
        <v>429</v>
      </c>
      <c r="B189" s="46" t="s">
        <v>285</v>
      </c>
      <c r="C189" s="39" t="s">
        <v>465</v>
      </c>
      <c r="D189" s="72">
        <v>377194926</v>
      </c>
      <c r="E189" s="73">
        <v>9197362525</v>
      </c>
      <c r="F189" s="39" t="s">
        <v>256</v>
      </c>
      <c r="G189" s="256">
        <v>20500</v>
      </c>
      <c r="H189" s="255">
        <v>38544</v>
      </c>
      <c r="I189" s="105" t="str">
        <f>CHOOSE(MONTH(H189),"January","February","March","April","May","June","July","August","September","October","November","December")</f>
        <v>July</v>
      </c>
      <c r="J189" s="51">
        <f ca="1">DATEDIF(H189,TODAY(),"Y")</f>
        <v>11</v>
      </c>
    </row>
    <row r="190" spans="1:10" ht="16.5">
      <c r="A190" s="39" t="s">
        <v>962</v>
      </c>
      <c r="B190" s="46" t="s">
        <v>285</v>
      </c>
      <c r="C190" s="39" t="s">
        <v>767</v>
      </c>
      <c r="D190" s="72">
        <v>569882669</v>
      </c>
      <c r="E190" s="73">
        <v>2523122083</v>
      </c>
      <c r="F190" s="39" t="s">
        <v>256</v>
      </c>
      <c r="G190" s="256">
        <v>66440</v>
      </c>
      <c r="H190" s="255">
        <v>34903</v>
      </c>
      <c r="I190" s="105" t="str">
        <f>CHOOSE(MONTH(H190),"January","February","March","April","May","June","July","August","September","October","November","December")</f>
        <v>July</v>
      </c>
      <c r="J190" s="51">
        <f ca="1">DATEDIF(H190,TODAY(),"Y")</f>
        <v>21</v>
      </c>
    </row>
    <row r="191" spans="1:10" ht="16.5">
      <c r="A191" s="39" t="s">
        <v>620</v>
      </c>
      <c r="B191" s="46" t="s">
        <v>271</v>
      </c>
      <c r="C191" s="39" t="s">
        <v>750</v>
      </c>
      <c r="D191" s="72">
        <v>904790184</v>
      </c>
      <c r="E191" s="73">
        <v>9191876990</v>
      </c>
      <c r="F191" s="39" t="s">
        <v>256</v>
      </c>
      <c r="G191" s="256">
        <v>83710</v>
      </c>
      <c r="H191" s="255">
        <v>36711</v>
      </c>
      <c r="I191" s="105" t="str">
        <f>CHOOSE(MONTH(H191),"January","February","March","April","May","June","July","August","September","October","November","December")</f>
        <v>July</v>
      </c>
      <c r="J191" s="51">
        <f ca="1">DATEDIF(H191,TODAY(),"Y")</f>
        <v>16</v>
      </c>
    </row>
    <row r="192" spans="1:10" ht="16.5">
      <c r="A192" s="39" t="s">
        <v>970</v>
      </c>
      <c r="B192" s="46" t="s">
        <v>251</v>
      </c>
      <c r="C192" s="39" t="s">
        <v>312</v>
      </c>
      <c r="D192" s="72">
        <v>877122222</v>
      </c>
      <c r="E192" s="73">
        <v>9195511103</v>
      </c>
      <c r="F192" s="39" t="s">
        <v>256</v>
      </c>
      <c r="G192" s="256">
        <v>57680</v>
      </c>
      <c r="H192" s="255">
        <v>41484</v>
      </c>
      <c r="I192" s="105" t="str">
        <f>CHOOSE(MONTH(H192),"January","February","March","April","May","June","July","August","September","October","November","December")</f>
        <v>July</v>
      </c>
      <c r="J192" s="51">
        <f ca="1">DATEDIF(H192,TODAY(),"Y")</f>
        <v>3</v>
      </c>
    </row>
    <row r="193" spans="1:10" ht="16.5">
      <c r="A193" s="39" t="s">
        <v>817</v>
      </c>
      <c r="B193" s="46" t="s">
        <v>251</v>
      </c>
      <c r="C193" s="39" t="s">
        <v>312</v>
      </c>
      <c r="D193" s="72">
        <v>344090854</v>
      </c>
      <c r="E193" s="73">
        <v>2523542524</v>
      </c>
      <c r="F193" s="39" t="s">
        <v>256</v>
      </c>
      <c r="G193" s="256">
        <v>23650</v>
      </c>
      <c r="H193" s="255">
        <v>37102</v>
      </c>
      <c r="I193" s="105" t="str">
        <f>CHOOSE(MONTH(H193),"January","February","March","April","May","June","July","August","September","October","November","December")</f>
        <v>July</v>
      </c>
      <c r="J193" s="51">
        <f ca="1">DATEDIF(H193,TODAY(),"Y")</f>
        <v>15</v>
      </c>
    </row>
    <row r="194" spans="1:10" ht="16.5">
      <c r="A194" s="39" t="s">
        <v>976</v>
      </c>
      <c r="B194" s="46" t="s">
        <v>245</v>
      </c>
      <c r="C194" s="39" t="s">
        <v>312</v>
      </c>
      <c r="D194" s="72">
        <v>339398339</v>
      </c>
      <c r="E194" s="73">
        <v>2527682821</v>
      </c>
      <c r="F194" s="39" t="s">
        <v>256</v>
      </c>
      <c r="G194" s="256">
        <v>73390</v>
      </c>
      <c r="H194" s="255">
        <v>39272</v>
      </c>
      <c r="I194" s="105" t="str">
        <f>CHOOSE(MONTH(H194),"January","February","March","April","May","June","July","August","September","October","November","December")</f>
        <v>July</v>
      </c>
      <c r="J194" s="76">
        <f ca="1">DATEDIF(H194,TODAY(),"Y")</f>
        <v>9</v>
      </c>
    </row>
    <row r="195" spans="1:10" ht="16.5">
      <c r="A195" s="39" t="s">
        <v>983</v>
      </c>
      <c r="B195" s="46" t="s">
        <v>280</v>
      </c>
      <c r="C195" s="39" t="s">
        <v>465</v>
      </c>
      <c r="D195" s="72">
        <v>177332873</v>
      </c>
      <c r="E195" s="73">
        <v>9195915044</v>
      </c>
      <c r="F195" s="39" t="s">
        <v>256</v>
      </c>
      <c r="G195" s="256">
        <v>89310</v>
      </c>
      <c r="H195" s="255">
        <v>34527</v>
      </c>
      <c r="I195" s="105" t="str">
        <f>CHOOSE(MONTH(H195),"January","February","March","April","May","June","July","August","September","October","November","December")</f>
        <v>July</v>
      </c>
      <c r="J195" s="51">
        <f ca="1">DATEDIF(H195,TODAY(),"Y")</f>
        <v>22</v>
      </c>
    </row>
    <row r="196" spans="1:10" ht="16.5">
      <c r="A196" s="39" t="s">
        <v>655</v>
      </c>
      <c r="B196" s="46" t="s">
        <v>285</v>
      </c>
      <c r="C196" s="39" t="s">
        <v>272</v>
      </c>
      <c r="D196" s="72">
        <v>608796012</v>
      </c>
      <c r="E196" s="73">
        <v>9194075460</v>
      </c>
      <c r="F196" s="39" t="s">
        <v>256</v>
      </c>
      <c r="G196" s="256">
        <v>27250</v>
      </c>
      <c r="H196" s="255">
        <v>37808</v>
      </c>
      <c r="I196" s="105" t="str">
        <f>CHOOSE(MONTH(H196),"January","February","March","April","May","June","July","August","September","October","November","December")</f>
        <v>July</v>
      </c>
      <c r="J196" s="51">
        <f ca="1">DATEDIF(H196,TODAY(),"Y")</f>
        <v>13</v>
      </c>
    </row>
    <row r="197" spans="1:10" ht="16.5">
      <c r="A197" s="39" t="s">
        <v>899</v>
      </c>
      <c r="B197" s="46" t="s">
        <v>280</v>
      </c>
      <c r="C197" s="45" t="s">
        <v>272</v>
      </c>
      <c r="D197" s="47">
        <v>475256935</v>
      </c>
      <c r="E197" s="48">
        <v>2527852326</v>
      </c>
      <c r="F197" s="45" t="s">
        <v>256</v>
      </c>
      <c r="G197" s="256">
        <v>59150</v>
      </c>
      <c r="H197" s="255">
        <v>36361</v>
      </c>
      <c r="I197" s="105" t="str">
        <f>CHOOSE(MONTH(H197),"January","February","March","April","May","June","July","August","September","October","November","December")</f>
        <v>July</v>
      </c>
      <c r="J197" s="51">
        <f ca="1">DATEDIF(H197,TODAY(),"Y")</f>
        <v>17</v>
      </c>
    </row>
    <row r="198" spans="1:10" ht="16.5">
      <c r="A198" s="39" t="s">
        <v>554</v>
      </c>
      <c r="B198" s="46" t="s">
        <v>271</v>
      </c>
      <c r="C198" s="39" t="s">
        <v>465</v>
      </c>
      <c r="D198" s="72">
        <v>708108747</v>
      </c>
      <c r="E198" s="73">
        <v>9192520526</v>
      </c>
      <c r="F198" s="39" t="s">
        <v>256</v>
      </c>
      <c r="G198" s="256">
        <v>10520</v>
      </c>
      <c r="H198" s="255">
        <v>34546</v>
      </c>
      <c r="I198" s="105" t="str">
        <f>CHOOSE(MONTH(H198),"January","February","March","April","May","June","July","August","September","October","November","December")</f>
        <v>July</v>
      </c>
      <c r="J198" s="51">
        <f ca="1">DATEDIF(H198,TODAY(),"Y")</f>
        <v>22</v>
      </c>
    </row>
    <row r="199" spans="1:10" ht="16.5">
      <c r="A199" s="39" t="s">
        <v>993</v>
      </c>
      <c r="B199" s="46" t="s">
        <v>245</v>
      </c>
      <c r="C199" s="39" t="s">
        <v>411</v>
      </c>
      <c r="D199" s="72">
        <v>885773638</v>
      </c>
      <c r="E199" s="73">
        <v>9196188082</v>
      </c>
      <c r="F199" s="39" t="s">
        <v>256</v>
      </c>
      <c r="G199" s="256">
        <v>22410</v>
      </c>
      <c r="H199" s="255">
        <v>36731</v>
      </c>
      <c r="I199" s="105" t="str">
        <f>CHOOSE(MONTH(H199),"January","February","March","April","May","June","July","August","September","October","November","December")</f>
        <v>July</v>
      </c>
      <c r="J199" s="51">
        <f ca="1">DATEDIF(H199,TODAY(),"Y")</f>
        <v>16</v>
      </c>
    </row>
    <row r="200" spans="1:10" ht="16.5">
      <c r="A200" s="39" t="s">
        <v>761</v>
      </c>
      <c r="B200" s="46" t="s">
        <v>285</v>
      </c>
      <c r="C200" s="39" t="s">
        <v>930</v>
      </c>
      <c r="D200" s="72">
        <v>380304349</v>
      </c>
      <c r="E200" s="73">
        <v>2526129939</v>
      </c>
      <c r="F200" s="39" t="s">
        <v>256</v>
      </c>
      <c r="G200" s="256">
        <v>26360</v>
      </c>
      <c r="H200" s="255">
        <v>36004</v>
      </c>
      <c r="I200" s="105" t="str">
        <f>CHOOSE(MONTH(H200),"January","February","March","April","May","June","July","August","September","October","November","December")</f>
        <v>July</v>
      </c>
      <c r="J200" s="51">
        <f ca="1">DATEDIF(H200,TODAY(),"Y")</f>
        <v>18</v>
      </c>
    </row>
    <row r="201" spans="1:10" ht="16.5">
      <c r="A201" s="39" t="s">
        <v>663</v>
      </c>
      <c r="B201" s="46" t="s">
        <v>285</v>
      </c>
      <c r="C201" s="39" t="s">
        <v>767</v>
      </c>
      <c r="D201" s="72">
        <v>965916299</v>
      </c>
      <c r="E201" s="73">
        <v>9193552027</v>
      </c>
      <c r="F201" s="39" t="s">
        <v>256</v>
      </c>
      <c r="G201" s="256">
        <v>67920</v>
      </c>
      <c r="H201" s="255">
        <v>36736</v>
      </c>
      <c r="I201" s="105" t="str">
        <f>CHOOSE(MONTH(H201),"January","February","March","April","May","June","July","August","September","October","November","December")</f>
        <v>July</v>
      </c>
      <c r="J201" s="51">
        <f ca="1">DATEDIF(H201,TODAY(),"Y")</f>
        <v>16</v>
      </c>
    </row>
    <row r="202" spans="1:10" ht="16.5">
      <c r="A202" s="39" t="s">
        <v>665</v>
      </c>
      <c r="B202" s="46" t="s">
        <v>271</v>
      </c>
      <c r="C202" s="39" t="s">
        <v>312</v>
      </c>
      <c r="D202" s="72">
        <v>721169660</v>
      </c>
      <c r="E202" s="73">
        <v>2526711140</v>
      </c>
      <c r="F202" s="39" t="s">
        <v>256</v>
      </c>
      <c r="G202" s="256">
        <v>53870</v>
      </c>
      <c r="H202" s="255">
        <v>39633</v>
      </c>
      <c r="I202" s="105" t="str">
        <f>CHOOSE(MONTH(H202),"January","February","March","April","May","June","July","August","September","October","November","December")</f>
        <v>July</v>
      </c>
      <c r="J202" s="51">
        <f ca="1">DATEDIF(H202,TODAY(),"Y")</f>
        <v>8</v>
      </c>
    </row>
    <row r="203" spans="1:10" ht="16.5">
      <c r="A203" s="39" t="s">
        <v>581</v>
      </c>
      <c r="B203" s="46" t="s">
        <v>271</v>
      </c>
      <c r="C203" s="39" t="s">
        <v>767</v>
      </c>
      <c r="D203" s="72">
        <v>317193890</v>
      </c>
      <c r="E203" s="73">
        <v>9192350434</v>
      </c>
      <c r="F203" s="39" t="s">
        <v>256</v>
      </c>
      <c r="G203" s="256">
        <v>74840</v>
      </c>
      <c r="H203" s="255">
        <v>35636</v>
      </c>
      <c r="I203" s="105" t="str">
        <f>CHOOSE(MONTH(H203),"January","February","March","April","May","June","July","August","September","October","November","December")</f>
        <v>July</v>
      </c>
      <c r="J203" s="51">
        <f ca="1">DATEDIF(H203,TODAY(),"Y")</f>
        <v>19</v>
      </c>
    </row>
    <row r="204" spans="1:10" ht="16.5">
      <c r="A204" s="39" t="s">
        <v>912</v>
      </c>
      <c r="B204" s="46" t="s">
        <v>271</v>
      </c>
      <c r="C204" s="39" t="s">
        <v>417</v>
      </c>
      <c r="D204" s="72">
        <v>503349830</v>
      </c>
      <c r="E204" s="73">
        <v>9191999230</v>
      </c>
      <c r="F204" s="39" t="s">
        <v>256</v>
      </c>
      <c r="G204" s="256">
        <v>66430</v>
      </c>
      <c r="H204" s="255">
        <v>40725</v>
      </c>
      <c r="I204" s="105" t="str">
        <f>CHOOSE(MONTH(H204),"January","February","March","April","May","June","July","August","September","October","November","December")</f>
        <v>July</v>
      </c>
      <c r="J204" s="51">
        <f ca="1">DATEDIF(H204,TODAY(),"Y")</f>
        <v>5</v>
      </c>
    </row>
    <row r="205" spans="1:10" ht="16.5">
      <c r="A205" s="39" t="s">
        <v>589</v>
      </c>
      <c r="B205" s="46" t="s">
        <v>285</v>
      </c>
      <c r="C205" s="39" t="s">
        <v>465</v>
      </c>
      <c r="D205" s="72">
        <v>682500261</v>
      </c>
      <c r="E205" s="73">
        <v>9191163627</v>
      </c>
      <c r="F205" s="39" t="s">
        <v>256</v>
      </c>
      <c r="G205" s="256">
        <v>89520</v>
      </c>
      <c r="H205" s="255">
        <v>35255</v>
      </c>
      <c r="I205" s="105" t="str">
        <f>CHOOSE(MONTH(H205),"January","February","March","April","May","June","July","August","September","October","November","December")</f>
        <v>July</v>
      </c>
      <c r="J205" s="51">
        <f ca="1">DATEDIF(H205,TODAY(),"Y")</f>
        <v>20</v>
      </c>
    </row>
    <row r="206" spans="1:10" ht="16.5">
      <c r="A206" s="39" t="s">
        <v>591</v>
      </c>
      <c r="B206" s="46" t="s">
        <v>285</v>
      </c>
      <c r="C206" s="39" t="s">
        <v>678</v>
      </c>
      <c r="D206" s="72">
        <v>468953266</v>
      </c>
      <c r="E206" s="73">
        <v>9192126707</v>
      </c>
      <c r="F206" s="39" t="s">
        <v>256</v>
      </c>
      <c r="G206" s="256">
        <v>33210</v>
      </c>
      <c r="H206" s="255">
        <v>34166</v>
      </c>
      <c r="I206" s="105" t="str">
        <f>CHOOSE(MONTH(H206),"January","February","March","April","May","June","July","August","September","October","November","December")</f>
        <v>July</v>
      </c>
      <c r="J206" s="51">
        <f ca="1">DATEDIF(H206,TODAY(),"Y")</f>
        <v>23</v>
      </c>
    </row>
    <row r="207" spans="1:10" ht="16.5">
      <c r="A207" s="39" t="s">
        <v>594</v>
      </c>
      <c r="B207" s="46" t="s">
        <v>271</v>
      </c>
      <c r="C207" s="39" t="s">
        <v>767</v>
      </c>
      <c r="D207" s="72">
        <v>456809622</v>
      </c>
      <c r="E207" s="73">
        <v>2523046338</v>
      </c>
      <c r="F207" s="39" t="s">
        <v>256</v>
      </c>
      <c r="G207" s="256">
        <v>23320</v>
      </c>
      <c r="H207" s="255">
        <v>37467</v>
      </c>
      <c r="I207" s="105" t="str">
        <f>CHOOSE(MONTH(H207),"January","February","March","April","May","June","July","August","September","October","November","December")</f>
        <v>July</v>
      </c>
      <c r="J207" s="51">
        <f ca="1">DATEDIF(H207,TODAY(),"Y")</f>
        <v>14</v>
      </c>
    </row>
    <row r="208" spans="1:10" ht="16.5">
      <c r="A208" s="39" t="s">
        <v>447</v>
      </c>
      <c r="B208" s="46" t="s">
        <v>251</v>
      </c>
      <c r="C208" s="39" t="s">
        <v>272</v>
      </c>
      <c r="D208" s="72">
        <v>481336564</v>
      </c>
      <c r="E208" s="73">
        <v>9196479087</v>
      </c>
      <c r="F208" s="39" t="s">
        <v>256</v>
      </c>
      <c r="G208" s="256">
        <v>39440</v>
      </c>
      <c r="H208" s="255">
        <v>36361</v>
      </c>
      <c r="I208" s="105" t="str">
        <f>CHOOSE(MONTH(H208),"January","February","March","April","May","June","July","August","September","October","November","December")</f>
        <v>July</v>
      </c>
      <c r="J208" s="51">
        <f ca="1">DATEDIF(H208,TODAY(),"Y")</f>
        <v>17</v>
      </c>
    </row>
    <row r="209" spans="1:10" ht="16.5">
      <c r="A209" s="39" t="s">
        <v>836</v>
      </c>
      <c r="B209" s="46" t="s">
        <v>251</v>
      </c>
      <c r="C209" s="39" t="s">
        <v>618</v>
      </c>
      <c r="D209" s="72">
        <v>370608224</v>
      </c>
      <c r="E209" s="73">
        <v>2521535362</v>
      </c>
      <c r="F209" s="39" t="s">
        <v>256</v>
      </c>
      <c r="G209" s="256">
        <v>29210</v>
      </c>
      <c r="H209" s="255">
        <v>38535</v>
      </c>
      <c r="I209" s="105" t="str">
        <f>CHOOSE(MONTH(H209),"January","February","March","April","May","June","July","August","September","October","November","December")</f>
        <v>July</v>
      </c>
      <c r="J209" s="51">
        <f ca="1">DATEDIF(H209,TODAY(),"Y")</f>
        <v>11</v>
      </c>
    </row>
    <row r="210" spans="1:10" ht="16.5">
      <c r="A210" s="39" t="s">
        <v>595</v>
      </c>
      <c r="B210" s="46" t="s">
        <v>285</v>
      </c>
      <c r="C210" s="39" t="s">
        <v>856</v>
      </c>
      <c r="D210" s="72">
        <v>693055639</v>
      </c>
      <c r="E210" s="73">
        <v>9195866887</v>
      </c>
      <c r="F210" s="39" t="s">
        <v>256</v>
      </c>
      <c r="G210" s="256">
        <v>13455</v>
      </c>
      <c r="H210" s="255">
        <v>34179</v>
      </c>
      <c r="I210" s="105" t="str">
        <f>CHOOSE(MONTH(H210),"January","February","March","April","May","June","July","August","September","October","November","December")</f>
        <v>July</v>
      </c>
      <c r="J210" s="51">
        <f ca="1">DATEDIF(H210,TODAY(),"Y")</f>
        <v>23</v>
      </c>
    </row>
    <row r="211" spans="1:10" ht="16.5">
      <c r="A211" s="39" t="s">
        <v>671</v>
      </c>
      <c r="B211" s="46" t="s">
        <v>280</v>
      </c>
      <c r="C211" s="39" t="s">
        <v>626</v>
      </c>
      <c r="D211" s="72">
        <v>279097202</v>
      </c>
      <c r="E211" s="78">
        <v>9196844371</v>
      </c>
      <c r="F211" s="39" t="s">
        <v>256</v>
      </c>
      <c r="G211" s="256">
        <v>65880</v>
      </c>
      <c r="H211" s="255">
        <v>37103</v>
      </c>
      <c r="I211" s="105" t="str">
        <f>CHOOSE(MONTH(H211),"January","February","March","April","May","June","July","August","September","October","November","December")</f>
        <v>July</v>
      </c>
      <c r="J211" s="51">
        <f ca="1">DATEDIF(H211,TODAY(),"Y")</f>
        <v>15</v>
      </c>
    </row>
    <row r="212" spans="1:10" ht="16.5">
      <c r="A212" s="39" t="s">
        <v>743</v>
      </c>
      <c r="B212" s="46" t="s">
        <v>245</v>
      </c>
      <c r="C212" s="39" t="s">
        <v>856</v>
      </c>
      <c r="D212" s="72">
        <v>291274360</v>
      </c>
      <c r="E212" s="73">
        <v>2524563177</v>
      </c>
      <c r="F212" s="39" t="s">
        <v>256</v>
      </c>
      <c r="G212" s="256">
        <v>89640</v>
      </c>
      <c r="H212" s="255">
        <v>34888</v>
      </c>
      <c r="I212" s="105" t="str">
        <f>CHOOSE(MONTH(H212),"January","February","March","April","May","June","July","August","September","October","November","December")</f>
        <v>July</v>
      </c>
      <c r="J212" s="51">
        <f ca="1">DATEDIF(H212,TODAY(),"Y")</f>
        <v>21</v>
      </c>
    </row>
    <row r="213" spans="1:10" ht="16.5">
      <c r="A213" s="39" t="s">
        <v>293</v>
      </c>
      <c r="B213" s="46" t="s">
        <v>271</v>
      </c>
      <c r="C213" s="39" t="s">
        <v>930</v>
      </c>
      <c r="D213" s="72">
        <v>657835603</v>
      </c>
      <c r="E213" s="73">
        <v>2526609693</v>
      </c>
      <c r="F213" s="39" t="s">
        <v>256</v>
      </c>
      <c r="G213" s="256">
        <v>78710</v>
      </c>
      <c r="H213" s="255">
        <v>37828</v>
      </c>
      <c r="I213" s="105" t="str">
        <f>CHOOSE(MONTH(H213),"January","February","March","April","May","June","July","August","September","October","November","December")</f>
        <v>July</v>
      </c>
      <c r="J213" s="51">
        <f ca="1">DATEDIF(H213,TODAY(),"Y")</f>
        <v>13</v>
      </c>
    </row>
    <row r="214" spans="1:10" ht="16.5">
      <c r="A214" s="39" t="s">
        <v>771</v>
      </c>
      <c r="B214" s="46" t="s">
        <v>280</v>
      </c>
      <c r="C214" s="39" t="s">
        <v>372</v>
      </c>
      <c r="D214" s="72">
        <v>676831149</v>
      </c>
      <c r="E214" s="73">
        <v>9192824485</v>
      </c>
      <c r="F214" s="39" t="s">
        <v>256</v>
      </c>
      <c r="G214" s="256">
        <v>33970</v>
      </c>
      <c r="H214" s="255">
        <v>36374</v>
      </c>
      <c r="I214" s="105" t="str">
        <f>CHOOSE(MONTH(H214),"January","February","March","April","May","June","July","August","September","October","November","December")</f>
        <v>August</v>
      </c>
      <c r="J214" s="51">
        <f ca="1">DATEDIF(H214,TODAY(),"Y")</f>
        <v>17</v>
      </c>
    </row>
    <row r="215" spans="1:10" ht="16.5">
      <c r="A215" s="39" t="s">
        <v>467</v>
      </c>
      <c r="B215" s="46" t="s">
        <v>266</v>
      </c>
      <c r="C215" s="39" t="s">
        <v>272</v>
      </c>
      <c r="D215" s="72">
        <v>456946966</v>
      </c>
      <c r="E215" s="73">
        <v>9194680033</v>
      </c>
      <c r="F215" s="39" t="s">
        <v>256</v>
      </c>
      <c r="G215" s="256">
        <v>59140</v>
      </c>
      <c r="H215" s="255">
        <v>37127</v>
      </c>
      <c r="I215" s="105" t="str">
        <f>CHOOSE(MONTH(H215),"January","February","March","April","May","June","July","August","September","October","November","December")</f>
        <v>August</v>
      </c>
      <c r="J215" s="51">
        <f ca="1">DATEDIF(H215,TODAY(),"Y")</f>
        <v>15</v>
      </c>
    </row>
    <row r="216" spans="1:10" ht="16.5">
      <c r="A216" s="39" t="s">
        <v>471</v>
      </c>
      <c r="B216" s="46" t="s">
        <v>271</v>
      </c>
      <c r="C216" s="39" t="s">
        <v>767</v>
      </c>
      <c r="D216" s="72">
        <v>505680981</v>
      </c>
      <c r="E216" s="73">
        <v>2527557761</v>
      </c>
      <c r="F216" s="39" t="s">
        <v>256</v>
      </c>
      <c r="G216" s="256">
        <v>26795</v>
      </c>
      <c r="H216" s="255">
        <v>36758</v>
      </c>
      <c r="I216" s="105" t="str">
        <f>CHOOSE(MONTH(H216),"January","February","March","April","May","June","July","August","September","October","November","December")</f>
        <v>August</v>
      </c>
      <c r="J216" s="51">
        <f ca="1">DATEDIF(H216,TODAY(),"Y")</f>
        <v>16</v>
      </c>
    </row>
    <row r="217" spans="1:10" ht="16.5">
      <c r="A217" s="39" t="s">
        <v>476</v>
      </c>
      <c r="B217" s="46" t="s">
        <v>271</v>
      </c>
      <c r="C217" s="39" t="s">
        <v>767</v>
      </c>
      <c r="D217" s="72">
        <v>978154935</v>
      </c>
      <c r="E217" s="73">
        <v>2521384592</v>
      </c>
      <c r="F217" s="39" t="s">
        <v>256</v>
      </c>
      <c r="G217" s="256">
        <v>38768</v>
      </c>
      <c r="H217" s="255">
        <v>36752</v>
      </c>
      <c r="I217" s="105" t="str">
        <f>CHOOSE(MONTH(H217),"January","February","March","April","May","June","July","August","September","October","November","December")</f>
        <v>August</v>
      </c>
      <c r="J217" s="51">
        <f ca="1">DATEDIF(H217,TODAY(),"Y")</f>
        <v>16</v>
      </c>
    </row>
    <row r="218" spans="1:10" ht="16.5">
      <c r="A218" s="39" t="s">
        <v>867</v>
      </c>
      <c r="B218" s="46" t="s">
        <v>280</v>
      </c>
      <c r="C218" s="39" t="s">
        <v>930</v>
      </c>
      <c r="D218" s="72">
        <v>364525917</v>
      </c>
      <c r="E218" s="73">
        <v>2522787318</v>
      </c>
      <c r="F218" s="39" t="s">
        <v>256</v>
      </c>
      <c r="G218" s="256">
        <v>64390</v>
      </c>
      <c r="H218" s="255">
        <v>36029</v>
      </c>
      <c r="I218" s="105" t="str">
        <f>CHOOSE(MONTH(H218),"January","February","March","April","May","June","July","August","September","October","November","December")</f>
        <v>August</v>
      </c>
      <c r="J218" s="51">
        <f ca="1">DATEDIF(H218,TODAY(),"Y")</f>
        <v>18</v>
      </c>
    </row>
    <row r="219" spans="1:10" ht="16.5">
      <c r="A219" s="39" t="s">
        <v>938</v>
      </c>
      <c r="B219" s="46" t="s">
        <v>280</v>
      </c>
      <c r="C219" s="39" t="s">
        <v>856</v>
      </c>
      <c r="D219" s="72">
        <v>666194498</v>
      </c>
      <c r="E219" s="73">
        <v>2526593848</v>
      </c>
      <c r="F219" s="39" t="s">
        <v>256</v>
      </c>
      <c r="G219" s="256">
        <v>19825</v>
      </c>
      <c r="H219" s="255">
        <v>41506</v>
      </c>
      <c r="I219" s="105" t="str">
        <f>CHOOSE(MONTH(H219),"January","February","March","April","May","June","July","August","September","October","November","December")</f>
        <v>August</v>
      </c>
      <c r="J219" s="51">
        <f ca="1">DATEDIF(H219,TODAY(),"Y")</f>
        <v>3</v>
      </c>
    </row>
    <row r="220" spans="1:10" ht="16.5">
      <c r="A220" s="39" t="s">
        <v>419</v>
      </c>
      <c r="B220" s="46" t="s">
        <v>285</v>
      </c>
      <c r="C220" s="39" t="s">
        <v>312</v>
      </c>
      <c r="D220" s="72">
        <v>252276921</v>
      </c>
      <c r="E220" s="73">
        <v>2525777345</v>
      </c>
      <c r="F220" s="39" t="s">
        <v>256</v>
      </c>
      <c r="G220" s="256">
        <v>71700</v>
      </c>
      <c r="H220" s="255">
        <v>39307</v>
      </c>
      <c r="I220" s="105" t="str">
        <f>CHOOSE(MONTH(H220),"January","February","March","April","May","June","July","August","September","October","November","December")</f>
        <v>August</v>
      </c>
      <c r="J220" s="51">
        <f ca="1">DATEDIF(H220,TODAY(),"Y")</f>
        <v>9</v>
      </c>
    </row>
    <row r="221" spans="1:10" ht="16.5">
      <c r="A221" s="39" t="s">
        <v>487</v>
      </c>
      <c r="B221" s="46" t="s">
        <v>245</v>
      </c>
      <c r="C221" s="39" t="s">
        <v>856</v>
      </c>
      <c r="D221" s="72">
        <v>649292883</v>
      </c>
      <c r="E221" s="73">
        <v>9198413896</v>
      </c>
      <c r="F221" s="39" t="s">
        <v>256</v>
      </c>
      <c r="G221" s="256">
        <v>61330</v>
      </c>
      <c r="H221" s="255">
        <v>39665</v>
      </c>
      <c r="I221" s="105" t="str">
        <f>CHOOSE(MONTH(H221),"January","February","March","April","May","June","July","August","September","October","November","December")</f>
        <v>August</v>
      </c>
      <c r="J221" s="51">
        <f ca="1">DATEDIF(H221,TODAY(),"Y")</f>
        <v>8</v>
      </c>
    </row>
    <row r="222" spans="1:10" ht="16.5">
      <c r="A222" s="45" t="s">
        <v>277</v>
      </c>
      <c r="B222" s="46" t="s">
        <v>245</v>
      </c>
      <c r="C222" s="39" t="s">
        <v>856</v>
      </c>
      <c r="D222" s="72">
        <v>855135948</v>
      </c>
      <c r="E222" s="73">
        <v>9196408497</v>
      </c>
      <c r="F222" s="39" t="s">
        <v>256</v>
      </c>
      <c r="G222" s="256">
        <v>45030</v>
      </c>
      <c r="H222" s="255">
        <v>36397</v>
      </c>
      <c r="I222" s="105" t="str">
        <f>CHOOSE(MONTH(H222),"January","February","March","April","May","June","July","August","September","October","November","December")</f>
        <v>August</v>
      </c>
      <c r="J222" s="51">
        <f ca="1">DATEDIF(H222,TODAY(),"Y")</f>
        <v>17</v>
      </c>
    </row>
    <row r="223" spans="1:10" ht="16.5">
      <c r="A223" s="39" t="s">
        <v>421</v>
      </c>
      <c r="B223" s="46" t="s">
        <v>271</v>
      </c>
      <c r="C223" s="39" t="s">
        <v>417</v>
      </c>
      <c r="D223" s="72">
        <v>518690148</v>
      </c>
      <c r="E223" s="73">
        <v>2526500529</v>
      </c>
      <c r="F223" s="39" t="s">
        <v>256</v>
      </c>
      <c r="G223" s="256">
        <v>76690</v>
      </c>
      <c r="H223" s="255">
        <v>38577</v>
      </c>
      <c r="I223" s="105" t="str">
        <f>CHOOSE(MONTH(H223),"January","February","March","April","May","June","July","August","September","October","November","December")</f>
        <v>August</v>
      </c>
      <c r="J223" s="51">
        <f ca="1">DATEDIF(H223,TODAY(),"Y")</f>
        <v>11</v>
      </c>
    </row>
    <row r="224" spans="1:10" ht="16.5">
      <c r="A224" s="39" t="s">
        <v>871</v>
      </c>
      <c r="B224" s="46" t="s">
        <v>271</v>
      </c>
      <c r="C224" s="39" t="s">
        <v>312</v>
      </c>
      <c r="D224" s="72">
        <v>459522265</v>
      </c>
      <c r="E224" s="73">
        <v>2524633649</v>
      </c>
      <c r="F224" s="39" t="s">
        <v>256</v>
      </c>
      <c r="G224" s="256">
        <v>34110</v>
      </c>
      <c r="H224" s="255">
        <v>37479</v>
      </c>
      <c r="I224" s="105" t="str">
        <f>CHOOSE(MONTH(H224),"January","February","March","April","May","June","July","August","September","October","November","December")</f>
        <v>August</v>
      </c>
      <c r="J224" s="51">
        <f ca="1">DATEDIF(H224,TODAY(),"Y")</f>
        <v>14</v>
      </c>
    </row>
    <row r="225" spans="1:10" ht="16.5">
      <c r="A225" s="39" t="s">
        <v>872</v>
      </c>
      <c r="B225" s="46" t="s">
        <v>280</v>
      </c>
      <c r="C225" s="39" t="s">
        <v>856</v>
      </c>
      <c r="D225" s="72">
        <v>491830893</v>
      </c>
      <c r="E225" s="73">
        <v>2524713634</v>
      </c>
      <c r="F225" s="39" t="s">
        <v>256</v>
      </c>
      <c r="G225" s="256">
        <v>34680</v>
      </c>
      <c r="H225" s="255">
        <v>41146</v>
      </c>
      <c r="I225" s="105" t="str">
        <f>CHOOSE(MONTH(H225),"January","February","March","April","May","June","July","August","September","October","November","December")</f>
        <v>August</v>
      </c>
      <c r="J225" s="51">
        <f ca="1">DATEDIF(H225,TODAY(),"Y")</f>
        <v>4</v>
      </c>
    </row>
    <row r="226" spans="1:10" ht="16.5">
      <c r="A226" s="39" t="s">
        <v>1026</v>
      </c>
      <c r="B226" s="46" t="s">
        <v>280</v>
      </c>
      <c r="C226" s="39" t="s">
        <v>678</v>
      </c>
      <c r="D226" s="72">
        <v>478004556</v>
      </c>
      <c r="E226" s="73">
        <v>9193891189</v>
      </c>
      <c r="F226" s="39" t="s">
        <v>256</v>
      </c>
      <c r="G226" s="256">
        <v>86830</v>
      </c>
      <c r="H226" s="255">
        <v>35671</v>
      </c>
      <c r="I226" s="105" t="str">
        <f>CHOOSE(MONTH(H226),"January","February","March","April","May","June","July","August","September","October","November","December")</f>
        <v>August</v>
      </c>
      <c r="J226" s="51">
        <f ca="1">DATEDIF(H226,TODAY(),"Y")</f>
        <v>19</v>
      </c>
    </row>
    <row r="227" spans="1:10" ht="16.5">
      <c r="A227" s="39" t="s">
        <v>395</v>
      </c>
      <c r="B227" s="46" t="s">
        <v>271</v>
      </c>
      <c r="C227" s="39" t="s">
        <v>312</v>
      </c>
      <c r="D227" s="72">
        <v>873100939</v>
      </c>
      <c r="E227" s="73">
        <v>9191259179</v>
      </c>
      <c r="F227" s="39" t="s">
        <v>256</v>
      </c>
      <c r="G227" s="256">
        <v>33810</v>
      </c>
      <c r="H227" s="255">
        <v>34941</v>
      </c>
      <c r="I227" s="105" t="str">
        <f>CHOOSE(MONTH(H227),"January","February","March","April","May","June","July","August","September","October","November","December")</f>
        <v>August</v>
      </c>
      <c r="J227" s="51">
        <f ca="1">DATEDIF(H227,TODAY(),"Y")</f>
        <v>21</v>
      </c>
    </row>
    <row r="228" spans="1:10" ht="16.5">
      <c r="A228" s="39" t="s">
        <v>953</v>
      </c>
      <c r="B228" s="46" t="s">
        <v>285</v>
      </c>
      <c r="C228" s="39" t="s">
        <v>705</v>
      </c>
      <c r="D228" s="72">
        <v>619465100</v>
      </c>
      <c r="E228" s="73">
        <v>9194629606</v>
      </c>
      <c r="F228" s="39" t="s">
        <v>256</v>
      </c>
      <c r="G228" s="256">
        <v>51410</v>
      </c>
      <c r="H228" s="255">
        <v>41513</v>
      </c>
      <c r="I228" s="105" t="str">
        <f>CHOOSE(MONTH(H228),"January","February","March","April","May","June","July","August","September","October","November","December")</f>
        <v>August</v>
      </c>
      <c r="J228" s="51">
        <f ca="1">DATEDIF(H228,TODAY(),"Y")</f>
        <v>3</v>
      </c>
    </row>
    <row r="229" spans="1:10" ht="16.5">
      <c r="A229" s="39" t="s">
        <v>955</v>
      </c>
      <c r="B229" s="46" t="s">
        <v>285</v>
      </c>
      <c r="C229" s="39" t="s">
        <v>856</v>
      </c>
      <c r="D229" s="72">
        <v>489667166</v>
      </c>
      <c r="E229" s="73">
        <v>2522238881</v>
      </c>
      <c r="F229" s="39" t="s">
        <v>256</v>
      </c>
      <c r="G229" s="256">
        <v>63780</v>
      </c>
      <c r="H229" s="255">
        <v>36739</v>
      </c>
      <c r="I229" s="105" t="str">
        <f>CHOOSE(MONTH(H229),"January","February","March","April","May","June","July","August","September","October","November","December")</f>
        <v>August</v>
      </c>
      <c r="J229" s="51">
        <f ca="1">DATEDIF(H229,TODAY(),"Y")</f>
        <v>16</v>
      </c>
    </row>
    <row r="230" spans="1:10" ht="16.5">
      <c r="A230" s="39" t="s">
        <v>973</v>
      </c>
      <c r="B230" s="46" t="s">
        <v>280</v>
      </c>
      <c r="C230" s="39" t="s">
        <v>456</v>
      </c>
      <c r="D230" s="72">
        <v>477110649</v>
      </c>
      <c r="E230" s="73">
        <v>9191351512</v>
      </c>
      <c r="F230" s="39" t="s">
        <v>256</v>
      </c>
      <c r="G230" s="256">
        <v>21580</v>
      </c>
      <c r="H230" s="255">
        <v>36767</v>
      </c>
      <c r="I230" s="105" t="str">
        <f>CHOOSE(MONTH(H230),"January","February","March","April","May","June","July","August","September","October","November","December")</f>
        <v>August</v>
      </c>
      <c r="J230" s="51">
        <f ca="1">DATEDIF(H230,TODAY(),"Y")</f>
        <v>16</v>
      </c>
    </row>
    <row r="231" spans="1:10" ht="16.5">
      <c r="A231" s="39" t="s">
        <v>819</v>
      </c>
      <c r="B231" s="46" t="s">
        <v>251</v>
      </c>
      <c r="C231" s="39" t="s">
        <v>930</v>
      </c>
      <c r="D231" s="72">
        <v>332494481</v>
      </c>
      <c r="E231" s="73">
        <v>9192094386</v>
      </c>
      <c r="F231" s="39" t="s">
        <v>256</v>
      </c>
      <c r="G231" s="256">
        <v>44720</v>
      </c>
      <c r="H231" s="255">
        <v>37109</v>
      </c>
      <c r="I231" s="105" t="str">
        <f>CHOOSE(MONTH(H231),"January","February","March","April","May","June","July","August","September","October","November","December")</f>
        <v>August</v>
      </c>
      <c r="J231" s="51">
        <f ca="1">DATEDIF(H231,TODAY(),"Y")</f>
        <v>15</v>
      </c>
    </row>
    <row r="232" spans="1:10" ht="16.5">
      <c r="A232" s="39" t="s">
        <v>654</v>
      </c>
      <c r="B232" s="46" t="s">
        <v>245</v>
      </c>
      <c r="C232" s="39" t="s">
        <v>465</v>
      </c>
      <c r="D232" s="72">
        <v>612295735</v>
      </c>
      <c r="E232" s="73">
        <v>9195228292</v>
      </c>
      <c r="F232" s="39" t="s">
        <v>256</v>
      </c>
      <c r="G232" s="256">
        <v>25130</v>
      </c>
      <c r="H232" s="255">
        <v>36766</v>
      </c>
      <c r="I232" s="105" t="str">
        <f>CHOOSE(MONTH(H232),"January","February","March","April","May","June","July","August","September","October","November","December")</f>
        <v>August</v>
      </c>
      <c r="J232" s="51">
        <f ca="1">DATEDIF(H232,TODAY(),"Y")</f>
        <v>16</v>
      </c>
    </row>
    <row r="233" spans="1:10" ht="16.5">
      <c r="A233" s="39" t="s">
        <v>982</v>
      </c>
      <c r="B233" s="46" t="s">
        <v>285</v>
      </c>
      <c r="C233" s="39" t="s">
        <v>626</v>
      </c>
      <c r="D233" s="72">
        <v>443476169</v>
      </c>
      <c r="E233" s="73">
        <v>9195085809</v>
      </c>
      <c r="F233" s="39" t="s">
        <v>256</v>
      </c>
      <c r="G233" s="256">
        <v>41490</v>
      </c>
      <c r="H233" s="255">
        <v>40781</v>
      </c>
      <c r="I233" s="105" t="str">
        <f>CHOOSE(MONTH(H233),"January","February","March","April","May","June","July","August","September","October","November","December")</f>
        <v>August</v>
      </c>
      <c r="J233" s="51">
        <f ca="1">DATEDIF(H233,TODAY(),"Y")</f>
        <v>5</v>
      </c>
    </row>
    <row r="234" spans="1:10" ht="16.5">
      <c r="A234" s="39" t="s">
        <v>760</v>
      </c>
      <c r="B234" s="46" t="s">
        <v>285</v>
      </c>
      <c r="C234" s="39" t="s">
        <v>465</v>
      </c>
      <c r="D234" s="72">
        <v>337943008</v>
      </c>
      <c r="E234" s="73">
        <v>2521257896</v>
      </c>
      <c r="F234" s="39" t="s">
        <v>256</v>
      </c>
      <c r="G234" s="256">
        <v>19935</v>
      </c>
      <c r="H234" s="255">
        <v>37477</v>
      </c>
      <c r="I234" s="105" t="str">
        <f>CHOOSE(MONTH(H234),"January","February","March","April","May","June","July","August","September","October","November","December")</f>
        <v>August</v>
      </c>
      <c r="J234" s="51">
        <f ca="1">DATEDIF(H234,TODAY(),"Y")</f>
        <v>14</v>
      </c>
    </row>
    <row r="235" spans="1:10" ht="16.5">
      <c r="A235" s="39" t="s">
        <v>564</v>
      </c>
      <c r="B235" s="46" t="s">
        <v>271</v>
      </c>
      <c r="C235" s="39" t="s">
        <v>767</v>
      </c>
      <c r="D235" s="72">
        <v>867100310</v>
      </c>
      <c r="E235" s="73">
        <v>9191376854</v>
      </c>
      <c r="F235" s="39" t="s">
        <v>256</v>
      </c>
      <c r="G235" s="256">
        <v>32160</v>
      </c>
      <c r="H235" s="255">
        <v>40774</v>
      </c>
      <c r="I235" s="105" t="str">
        <f>CHOOSE(MONTH(H235),"January","February","March","April","May","June","July","August","September","October","November","December")</f>
        <v>August</v>
      </c>
      <c r="J235" s="51">
        <f ca="1">DATEDIF(H235,TODAY(),"Y")</f>
        <v>5</v>
      </c>
    </row>
    <row r="236" spans="1:10" ht="16.5">
      <c r="A236" s="39" t="s">
        <v>908</v>
      </c>
      <c r="B236" s="46" t="s">
        <v>285</v>
      </c>
      <c r="C236" s="39" t="s">
        <v>930</v>
      </c>
      <c r="D236" s="72">
        <v>283476654</v>
      </c>
      <c r="E236" s="73">
        <v>9197049910</v>
      </c>
      <c r="F236" s="39" t="s">
        <v>256</v>
      </c>
      <c r="G236" s="256">
        <v>54830</v>
      </c>
      <c r="H236" s="255">
        <v>34548</v>
      </c>
      <c r="I236" s="105" t="str">
        <f>CHOOSE(MONTH(H236),"January","February","March","April","May","June","July","August","September","October","November","December")</f>
        <v>August</v>
      </c>
      <c r="J236" s="51">
        <f ca="1">DATEDIF(H236,TODAY(),"Y")</f>
        <v>22</v>
      </c>
    </row>
    <row r="237" spans="1:10" ht="16.5">
      <c r="A237" s="39" t="s">
        <v>735</v>
      </c>
      <c r="B237" s="46" t="s">
        <v>285</v>
      </c>
      <c r="C237" s="39" t="s">
        <v>296</v>
      </c>
      <c r="D237" s="72">
        <v>237359447</v>
      </c>
      <c r="E237" s="73">
        <v>9195882405</v>
      </c>
      <c r="F237" s="39" t="s">
        <v>256</v>
      </c>
      <c r="G237" s="256">
        <v>89450</v>
      </c>
      <c r="H237" s="255">
        <v>37127</v>
      </c>
      <c r="I237" s="105" t="str">
        <f>CHOOSE(MONTH(H237),"January","February","March","April","May","June","July","August","September","October","November","December")</f>
        <v>August</v>
      </c>
      <c r="J237" s="51">
        <f ca="1">DATEDIF(H237,TODAY(),"Y")</f>
        <v>15</v>
      </c>
    </row>
    <row r="238" spans="1:10" ht="16.5">
      <c r="A238" s="39" t="s">
        <v>997</v>
      </c>
      <c r="B238" s="46" t="s">
        <v>280</v>
      </c>
      <c r="C238" s="39" t="s">
        <v>767</v>
      </c>
      <c r="D238" s="72">
        <v>422463024</v>
      </c>
      <c r="E238" s="73">
        <v>9193876146</v>
      </c>
      <c r="F238" s="39" t="s">
        <v>256</v>
      </c>
      <c r="G238" s="256">
        <v>62780</v>
      </c>
      <c r="H238" s="255">
        <v>34568</v>
      </c>
      <c r="I238" s="105" t="str">
        <f>CHOOSE(MONTH(H238),"January","February","March","April","May","June","July","August","September","October","November","December")</f>
        <v>August</v>
      </c>
      <c r="J238" s="51">
        <f ca="1">DATEDIF(H238,TODAY(),"Y")</f>
        <v>22</v>
      </c>
    </row>
    <row r="239" spans="1:10" ht="16.5">
      <c r="A239" s="39" t="s">
        <v>1035</v>
      </c>
      <c r="B239" s="46" t="s">
        <v>245</v>
      </c>
      <c r="C239" s="39" t="s">
        <v>465</v>
      </c>
      <c r="D239" s="72">
        <v>684054281</v>
      </c>
      <c r="E239" s="73">
        <v>2522888726</v>
      </c>
      <c r="F239" s="39" t="s">
        <v>256</v>
      </c>
      <c r="G239" s="256">
        <v>81980</v>
      </c>
      <c r="H239" s="255">
        <v>35664</v>
      </c>
      <c r="I239" s="105" t="str">
        <f>CHOOSE(MONTH(H239),"January","February","March","April","May","June","July","August","September","October","November","December")</f>
        <v>August</v>
      </c>
      <c r="J239" s="51">
        <f ca="1">DATEDIF(H239,TODAY(),"Y")</f>
        <v>19</v>
      </c>
    </row>
    <row r="240" spans="1:10" ht="16.5">
      <c r="A240" s="39" t="s">
        <v>1001</v>
      </c>
      <c r="B240" s="46" t="s">
        <v>245</v>
      </c>
      <c r="C240" s="39" t="s">
        <v>417</v>
      </c>
      <c r="D240" s="72">
        <v>429283827</v>
      </c>
      <c r="E240" s="73">
        <v>9195508095</v>
      </c>
      <c r="F240" s="39" t="s">
        <v>256</v>
      </c>
      <c r="G240" s="256">
        <v>44820</v>
      </c>
      <c r="H240" s="255">
        <v>37106</v>
      </c>
      <c r="I240" s="105" t="str">
        <f>CHOOSE(MONTH(H240),"January","February","March","April","May","June","July","August","September","October","November","December")</f>
        <v>August</v>
      </c>
      <c r="J240" s="51">
        <f ca="1">DATEDIF(H240,TODAY(),"Y")</f>
        <v>15</v>
      </c>
    </row>
    <row r="241" spans="1:10" ht="16.5">
      <c r="A241" s="39" t="s">
        <v>915</v>
      </c>
      <c r="B241" s="46" t="s">
        <v>271</v>
      </c>
      <c r="C241" s="39" t="s">
        <v>465</v>
      </c>
      <c r="D241" s="72">
        <v>930314379</v>
      </c>
      <c r="E241" s="73">
        <v>2524854867</v>
      </c>
      <c r="F241" s="39" t="s">
        <v>256</v>
      </c>
      <c r="G241" s="256">
        <v>62688</v>
      </c>
      <c r="H241" s="255">
        <v>38937</v>
      </c>
      <c r="I241" s="105" t="str">
        <f>CHOOSE(MONTH(H241),"January","February","March","April","May","June","July","August","September","October","November","December")</f>
        <v>August</v>
      </c>
      <c r="J241" s="51">
        <f ca="1">DATEDIF(H241,TODAY(),"Y")</f>
        <v>10</v>
      </c>
    </row>
    <row r="242" spans="1:10" ht="16.5">
      <c r="A242" s="39" t="s">
        <v>408</v>
      </c>
      <c r="B242" s="46" t="s">
        <v>245</v>
      </c>
      <c r="C242" s="39" t="s">
        <v>626</v>
      </c>
      <c r="D242" s="72">
        <v>895408697</v>
      </c>
      <c r="E242" s="73">
        <v>2523383207</v>
      </c>
      <c r="F242" s="39" t="s">
        <v>256</v>
      </c>
      <c r="G242" s="256">
        <v>40060</v>
      </c>
      <c r="H242" s="255">
        <v>34920</v>
      </c>
      <c r="I242" s="105" t="str">
        <f>CHOOSE(MONTH(H242),"January","February","March","April","May","June","July","August","September","October","November","December")</f>
        <v>August</v>
      </c>
      <c r="J242" s="51">
        <f ca="1">DATEDIF(H242,TODAY(),"Y")</f>
        <v>21</v>
      </c>
    </row>
    <row r="243" spans="1:10" ht="16.5">
      <c r="A243" s="39" t="s">
        <v>1012</v>
      </c>
      <c r="B243" s="46" t="s">
        <v>271</v>
      </c>
      <c r="C243" s="39" t="s">
        <v>465</v>
      </c>
      <c r="D243" s="72">
        <v>962553692</v>
      </c>
      <c r="E243" s="73">
        <v>9196689962</v>
      </c>
      <c r="F243" s="39" t="s">
        <v>256</v>
      </c>
      <c r="G243" s="256">
        <v>13800</v>
      </c>
      <c r="H243" s="255">
        <v>37124</v>
      </c>
      <c r="I243" s="105" t="str">
        <f>CHOOSE(MONTH(H243),"January","February","March","April","May","June","July","August","September","October","November","December")</f>
        <v>August</v>
      </c>
      <c r="J243" s="51">
        <f ca="1">DATEDIF(H243,TODAY(),"Y")</f>
        <v>15</v>
      </c>
    </row>
    <row r="244" spans="1:10" ht="16.5">
      <c r="A244" s="39" t="s">
        <v>607</v>
      </c>
      <c r="B244" s="46" t="s">
        <v>271</v>
      </c>
      <c r="C244" s="39" t="s">
        <v>465</v>
      </c>
      <c r="D244" s="72">
        <v>501523688</v>
      </c>
      <c r="E244" s="73">
        <v>2528560698</v>
      </c>
      <c r="F244" s="39" t="s">
        <v>256</v>
      </c>
      <c r="G244" s="256">
        <v>34330</v>
      </c>
      <c r="H244" s="255">
        <v>36376</v>
      </c>
      <c r="I244" s="105" t="str">
        <f>CHOOSE(MONTH(H244),"January","February","March","April","May","June","July","August","September","October","November","December")</f>
        <v>August</v>
      </c>
      <c r="J244" s="51">
        <f ca="1">DATEDIF(H244,TODAY(),"Y")</f>
        <v>17</v>
      </c>
    </row>
    <row r="245" spans="1:10" ht="16.5">
      <c r="A245" s="39" t="s">
        <v>1021</v>
      </c>
      <c r="B245" s="46" t="s">
        <v>285</v>
      </c>
      <c r="C245" s="39" t="s">
        <v>417</v>
      </c>
      <c r="D245" s="72">
        <v>541365827</v>
      </c>
      <c r="E245" s="73">
        <v>2525317859</v>
      </c>
      <c r="F245" s="39" t="s">
        <v>256</v>
      </c>
      <c r="G245" s="256">
        <v>25310</v>
      </c>
      <c r="H245" s="255">
        <v>34915</v>
      </c>
      <c r="I245" s="105" t="str">
        <f>CHOOSE(MONTH(H245),"January","February","March","April","May","June","July","August","September","October","November","December")</f>
        <v>August</v>
      </c>
      <c r="J245" s="51">
        <f ca="1">DATEDIF(H245,TODAY(),"Y")</f>
        <v>21</v>
      </c>
    </row>
    <row r="246" spans="1:10" ht="16.5">
      <c r="A246" s="39" t="s">
        <v>1023</v>
      </c>
      <c r="B246" s="46" t="s">
        <v>245</v>
      </c>
      <c r="C246" s="39" t="s">
        <v>767</v>
      </c>
      <c r="D246" s="72">
        <v>991221095</v>
      </c>
      <c r="E246" s="73">
        <v>9194630903</v>
      </c>
      <c r="F246" s="39" t="s">
        <v>256</v>
      </c>
      <c r="G246" s="256">
        <v>78520</v>
      </c>
      <c r="H246" s="255">
        <v>34913</v>
      </c>
      <c r="I246" s="105" t="str">
        <f>CHOOSE(MONTH(H246),"January","February","March","April","May","June","July","August","September","October","November","December")</f>
        <v>August</v>
      </c>
      <c r="J246" s="51">
        <f ca="1">DATEDIF(H246,TODAY(),"Y")</f>
        <v>21</v>
      </c>
    </row>
    <row r="247" spans="1:10" ht="16.5">
      <c r="A247" s="39" t="s">
        <v>416</v>
      </c>
      <c r="B247" s="46" t="s">
        <v>285</v>
      </c>
      <c r="C247" s="39" t="s">
        <v>930</v>
      </c>
      <c r="D247" s="72">
        <v>458734969</v>
      </c>
      <c r="E247" s="73">
        <v>9196354278</v>
      </c>
      <c r="F247" s="39" t="s">
        <v>256</v>
      </c>
      <c r="G247" s="256">
        <v>47885</v>
      </c>
      <c r="H247" s="255">
        <v>40057</v>
      </c>
      <c r="I247" s="105" t="str">
        <f>CHOOSE(MONTH(H247),"January","February","March","April","May","June","July","August","September","October","November","December")</f>
        <v>September</v>
      </c>
      <c r="J247" s="51">
        <f ca="1">DATEDIF(H247,TODAY(),"Y")</f>
        <v>7</v>
      </c>
    </row>
    <row r="248" spans="1:10" ht="16.5">
      <c r="A248" s="39" t="s">
        <v>418</v>
      </c>
      <c r="B248" s="46" t="s">
        <v>245</v>
      </c>
      <c r="C248" s="39" t="s">
        <v>767</v>
      </c>
      <c r="D248" s="72">
        <v>217968415</v>
      </c>
      <c r="E248" s="73">
        <v>2522814530</v>
      </c>
      <c r="F248" s="39" t="s">
        <v>256</v>
      </c>
      <c r="G248" s="256">
        <v>66740</v>
      </c>
      <c r="H248" s="255">
        <v>36427</v>
      </c>
      <c r="I248" s="105" t="str">
        <f>CHOOSE(MONTH(H248),"January","February","March","April","May","June","July","August","September","October","November","December")</f>
        <v>September</v>
      </c>
      <c r="J248" s="51">
        <f ca="1">DATEDIF(H248,TODAY(),"Y")</f>
        <v>17</v>
      </c>
    </row>
    <row r="249" spans="1:10" ht="16.5">
      <c r="A249" s="39" t="s">
        <v>478</v>
      </c>
      <c r="B249" s="46" t="s">
        <v>271</v>
      </c>
      <c r="C249" s="39" t="s">
        <v>678</v>
      </c>
      <c r="D249" s="72">
        <v>221364716</v>
      </c>
      <c r="E249" s="73">
        <v>2521389906</v>
      </c>
      <c r="F249" s="39" t="s">
        <v>256</v>
      </c>
      <c r="G249" s="256">
        <v>76584</v>
      </c>
      <c r="H249" s="255">
        <v>37512</v>
      </c>
      <c r="I249" s="105" t="str">
        <f>CHOOSE(MONTH(H249),"January","February","March","April","May","June","July","August","September","October","November","December")</f>
        <v>September</v>
      </c>
      <c r="J249" s="51">
        <f ca="1">DATEDIF(H249,TODAY(),"Y")</f>
        <v>14</v>
      </c>
    </row>
    <row r="250" spans="1:10" ht="16.5">
      <c r="A250" s="39" t="s">
        <v>781</v>
      </c>
      <c r="B250" s="46" t="s">
        <v>285</v>
      </c>
      <c r="C250" s="39" t="s">
        <v>856</v>
      </c>
      <c r="D250" s="72">
        <v>110726520</v>
      </c>
      <c r="E250" s="73">
        <v>9197963782</v>
      </c>
      <c r="F250" s="39" t="s">
        <v>256</v>
      </c>
      <c r="G250" s="256">
        <v>14568</v>
      </c>
      <c r="H250" s="255">
        <v>41163</v>
      </c>
      <c r="I250" s="105" t="str">
        <f>CHOOSE(MONTH(H250),"January","February","March","April","May","June","July","August","September","October","November","December")</f>
        <v>September</v>
      </c>
      <c r="J250" s="51">
        <f ca="1">DATEDIF(H250,TODAY(),"Y")</f>
        <v>4</v>
      </c>
    </row>
    <row r="251" spans="1:10" ht="16.5">
      <c r="A251" s="39" t="s">
        <v>619</v>
      </c>
      <c r="B251" s="46" t="s">
        <v>285</v>
      </c>
      <c r="C251" s="39" t="s">
        <v>626</v>
      </c>
      <c r="D251" s="72">
        <v>983891302</v>
      </c>
      <c r="E251" s="73">
        <v>9191462245</v>
      </c>
      <c r="F251" s="39" t="s">
        <v>256</v>
      </c>
      <c r="G251" s="256">
        <v>70760</v>
      </c>
      <c r="H251" s="255">
        <v>40057</v>
      </c>
      <c r="I251" s="105" t="str">
        <f>CHOOSE(MONTH(H251),"January","February","March","April","May","June","July","August","September","October","November","December")</f>
        <v>September</v>
      </c>
      <c r="J251" s="51">
        <f ca="1">DATEDIF(H251,TODAY(),"Y")</f>
        <v>7</v>
      </c>
    </row>
    <row r="252" spans="1:10" ht="16.5">
      <c r="A252" s="39" t="s">
        <v>785</v>
      </c>
      <c r="B252" s="46" t="s">
        <v>266</v>
      </c>
      <c r="C252" s="39" t="s">
        <v>465</v>
      </c>
      <c r="D252" s="72">
        <v>425634540</v>
      </c>
      <c r="E252" s="73">
        <v>9196969994</v>
      </c>
      <c r="F252" s="39" t="s">
        <v>256</v>
      </c>
      <c r="G252" s="256">
        <v>61148</v>
      </c>
      <c r="H252" s="255">
        <v>36060</v>
      </c>
      <c r="I252" s="105" t="str">
        <f>CHOOSE(MONTH(H252),"January","February","March","April","May","June","July","August","September","October","November","December")</f>
        <v>September</v>
      </c>
      <c r="J252" s="51">
        <f ca="1">DATEDIF(H252,TODAY(),"Y")</f>
        <v>18</v>
      </c>
    </row>
    <row r="253" spans="1:10" ht="16.5">
      <c r="A253" s="39" t="s">
        <v>412</v>
      </c>
      <c r="B253" s="46" t="s">
        <v>251</v>
      </c>
      <c r="C253" s="39" t="s">
        <v>767</v>
      </c>
      <c r="D253" s="72">
        <v>343185481</v>
      </c>
      <c r="E253" s="73">
        <v>9196446519</v>
      </c>
      <c r="F253" s="39" t="s">
        <v>256</v>
      </c>
      <c r="G253" s="256">
        <v>65250</v>
      </c>
      <c r="H253" s="255">
        <v>41169</v>
      </c>
      <c r="I253" s="105" t="str">
        <f>CHOOSE(MONTH(H253),"January","February","March","April","May","June","July","August","September","October","November","December")</f>
        <v>September</v>
      </c>
      <c r="J253" s="51">
        <f ca="1">DATEDIF(H253,TODAY(),"Y")</f>
        <v>4</v>
      </c>
    </row>
    <row r="254" spans="1:10" ht="16.5">
      <c r="A254" s="39" t="s">
        <v>319</v>
      </c>
      <c r="B254" s="46" t="s">
        <v>285</v>
      </c>
      <c r="C254" s="39" t="s">
        <v>417</v>
      </c>
      <c r="D254" s="72">
        <v>302598687</v>
      </c>
      <c r="E254" s="73">
        <v>9195394899</v>
      </c>
      <c r="F254" s="39" t="s">
        <v>256</v>
      </c>
      <c r="G254" s="256">
        <v>49810</v>
      </c>
      <c r="H254" s="255">
        <v>35681</v>
      </c>
      <c r="I254" s="105" t="str">
        <f>CHOOSE(MONTH(H254),"January","February","March","April","May","June","July","August","September","October","November","December")</f>
        <v>September</v>
      </c>
      <c r="J254" s="51">
        <f ca="1">DATEDIF(H254,TODAY(),"Y")</f>
        <v>19</v>
      </c>
    </row>
    <row r="255" spans="1:10" ht="16.5">
      <c r="A255" s="39" t="s">
        <v>320</v>
      </c>
      <c r="B255" s="46" t="s">
        <v>251</v>
      </c>
      <c r="C255" s="39" t="s">
        <v>930</v>
      </c>
      <c r="D255" s="72">
        <v>759471070</v>
      </c>
      <c r="E255" s="73">
        <v>2525402828</v>
      </c>
      <c r="F255" s="39" t="s">
        <v>256</v>
      </c>
      <c r="G255" s="256">
        <v>71010</v>
      </c>
      <c r="H255" s="255">
        <v>40803</v>
      </c>
      <c r="I255" s="105" t="str">
        <f>CHOOSE(MONTH(H255),"January","February","March","April","May","June","July","August","September","October","November","December")</f>
        <v>September</v>
      </c>
      <c r="J255" s="51">
        <f ca="1">DATEDIF(H255,TODAY(),"Y")</f>
        <v>5</v>
      </c>
    </row>
    <row r="256" spans="1:10" ht="16.5">
      <c r="A256" s="39" t="s">
        <v>509</v>
      </c>
      <c r="B256" s="46" t="s">
        <v>271</v>
      </c>
      <c r="C256" s="39" t="s">
        <v>465</v>
      </c>
      <c r="D256" s="72">
        <v>854806695</v>
      </c>
      <c r="E256" s="73">
        <v>9192672603</v>
      </c>
      <c r="F256" s="39" t="s">
        <v>256</v>
      </c>
      <c r="G256" s="256">
        <v>69060</v>
      </c>
      <c r="H256" s="255">
        <v>41173</v>
      </c>
      <c r="I256" s="105" t="str">
        <f>CHOOSE(MONTH(H256),"January","February","March","April","May","June","July","August","September","October","November","December")</f>
        <v>September</v>
      </c>
      <c r="J256" s="51">
        <f ca="1">DATEDIF(H256,TODAY(),"Y")</f>
        <v>4</v>
      </c>
    </row>
    <row r="257" spans="1:10" ht="16.5">
      <c r="A257" s="39" t="s">
        <v>323</v>
      </c>
      <c r="B257" s="46" t="s">
        <v>266</v>
      </c>
      <c r="C257" s="39" t="s">
        <v>465</v>
      </c>
      <c r="D257" s="72">
        <v>881975933</v>
      </c>
      <c r="E257" s="73">
        <v>9192354572</v>
      </c>
      <c r="F257" s="39" t="s">
        <v>256</v>
      </c>
      <c r="G257" s="256">
        <v>32880</v>
      </c>
      <c r="H257" s="255">
        <v>34963</v>
      </c>
      <c r="I257" s="105" t="str">
        <f>CHOOSE(MONTH(H257),"January","February","March","April","May","June","July","August","September","October","November","December")</f>
        <v>September</v>
      </c>
      <c r="J257" s="51">
        <f ca="1">DATEDIF(H257,TODAY(),"Y")</f>
        <v>21</v>
      </c>
    </row>
    <row r="258" spans="1:10" ht="16.5">
      <c r="A258" s="39" t="s">
        <v>716</v>
      </c>
      <c r="B258" s="46" t="s">
        <v>245</v>
      </c>
      <c r="C258" s="39" t="s">
        <v>626</v>
      </c>
      <c r="D258" s="72">
        <v>422929693</v>
      </c>
      <c r="E258" s="73">
        <v>9191487375</v>
      </c>
      <c r="F258" s="39" t="s">
        <v>256</v>
      </c>
      <c r="G258" s="256">
        <v>78710</v>
      </c>
      <c r="H258" s="255">
        <v>37514</v>
      </c>
      <c r="I258" s="105" t="str">
        <f>CHOOSE(MONTH(H258),"January","February","March","April","May","June","July","August","September","October","November","December")</f>
        <v>September</v>
      </c>
      <c r="J258" s="51">
        <f ca="1">DATEDIF(H258,TODAY(),"Y")</f>
        <v>14</v>
      </c>
    </row>
    <row r="259" spans="1:10" ht="16.5">
      <c r="A259" s="39" t="s">
        <v>797</v>
      </c>
      <c r="B259" s="46" t="s">
        <v>271</v>
      </c>
      <c r="C259" s="39" t="s">
        <v>411</v>
      </c>
      <c r="D259" s="72">
        <v>999789446</v>
      </c>
      <c r="E259" s="73">
        <v>2521696804</v>
      </c>
      <c r="F259" s="39" t="s">
        <v>256</v>
      </c>
      <c r="G259" s="256">
        <v>87280</v>
      </c>
      <c r="H259" s="255">
        <v>35314</v>
      </c>
      <c r="I259" s="105" t="str">
        <f>CHOOSE(MONTH(H259),"January","February","March","April","May","June","July","August","September","October","November","December")</f>
        <v>September</v>
      </c>
      <c r="J259" s="51">
        <f ca="1">DATEDIF(H259,TODAY(),"Y")</f>
        <v>20</v>
      </c>
    </row>
    <row r="260" spans="1:10" ht="16.5">
      <c r="A260" s="39" t="s">
        <v>459</v>
      </c>
      <c r="B260" s="46" t="s">
        <v>266</v>
      </c>
      <c r="C260" s="39" t="s">
        <v>465</v>
      </c>
      <c r="D260" s="72">
        <v>523758324</v>
      </c>
      <c r="E260" s="73">
        <v>9191308831</v>
      </c>
      <c r="F260" s="39" t="s">
        <v>256</v>
      </c>
      <c r="G260" s="256">
        <v>46380</v>
      </c>
      <c r="H260" s="255">
        <v>38236</v>
      </c>
      <c r="I260" s="105" t="str">
        <f>CHOOSE(MONTH(H260),"January","February","March","April","May","June","July","August","September","October","November","December")</f>
        <v>September</v>
      </c>
      <c r="J260" s="51">
        <f ca="1">DATEDIF(H260,TODAY(),"Y")</f>
        <v>12</v>
      </c>
    </row>
    <row r="261" spans="1:10" ht="16.5">
      <c r="A261" s="39" t="s">
        <v>881</v>
      </c>
      <c r="B261" s="46" t="s">
        <v>285</v>
      </c>
      <c r="C261" s="39" t="s">
        <v>465</v>
      </c>
      <c r="D261" s="72">
        <v>798466688</v>
      </c>
      <c r="E261" s="73">
        <v>9192232339</v>
      </c>
      <c r="F261" s="39" t="s">
        <v>256</v>
      </c>
      <c r="G261" s="256">
        <v>64780</v>
      </c>
      <c r="H261" s="255">
        <v>35335</v>
      </c>
      <c r="I261" s="105" t="str">
        <f>CHOOSE(MONTH(H261),"January","February","March","April","May","June","July","August","September","October","November","December")</f>
        <v>September</v>
      </c>
      <c r="J261" s="51">
        <f ca="1">DATEDIF(H261,TODAY(),"Y")</f>
        <v>20</v>
      </c>
    </row>
    <row r="262" spans="1:10" ht="16.5">
      <c r="A262" s="39" t="s">
        <v>413</v>
      </c>
      <c r="B262" s="46" t="s">
        <v>271</v>
      </c>
      <c r="C262" s="39" t="s">
        <v>856</v>
      </c>
      <c r="D262" s="72">
        <v>404589373</v>
      </c>
      <c r="E262" s="73">
        <v>9198407416</v>
      </c>
      <c r="F262" s="39" t="s">
        <v>256</v>
      </c>
      <c r="G262" s="256">
        <v>49090</v>
      </c>
      <c r="H262" s="255">
        <v>40448</v>
      </c>
      <c r="I262" s="105" t="str">
        <f>CHOOSE(MONTH(H262),"January","February","March","April","May","June","July","August","September","October","November","December")</f>
        <v>September</v>
      </c>
      <c r="J262" s="51">
        <f ca="1">DATEDIF(H262,TODAY(),"Y")</f>
        <v>6</v>
      </c>
    </row>
    <row r="263" spans="1:10" ht="16.5">
      <c r="A263" s="39" t="s">
        <v>720</v>
      </c>
      <c r="B263" s="46" t="s">
        <v>266</v>
      </c>
      <c r="C263" s="39" t="s">
        <v>767</v>
      </c>
      <c r="D263" s="72">
        <v>546159785</v>
      </c>
      <c r="E263" s="73">
        <v>2522924678</v>
      </c>
      <c r="F263" s="39" t="s">
        <v>256</v>
      </c>
      <c r="G263" s="256">
        <v>65320</v>
      </c>
      <c r="H263" s="255">
        <v>38983</v>
      </c>
      <c r="I263" s="105" t="str">
        <f>CHOOSE(MONTH(H263),"January","February","March","April","May","June","July","August","September","October","November","December")</f>
        <v>September</v>
      </c>
      <c r="J263" s="51">
        <f ca="1">DATEDIF(H263,TODAY(),"Y")</f>
        <v>10</v>
      </c>
    </row>
    <row r="264" spans="1:10" ht="16.5">
      <c r="A264" s="39" t="s">
        <v>328</v>
      </c>
      <c r="B264" s="46" t="s">
        <v>245</v>
      </c>
      <c r="C264" s="39" t="s">
        <v>465</v>
      </c>
      <c r="D264" s="72">
        <v>405396173</v>
      </c>
      <c r="E264" s="73">
        <v>2521777060</v>
      </c>
      <c r="F264" s="39" t="s">
        <v>256</v>
      </c>
      <c r="G264" s="256">
        <v>22660</v>
      </c>
      <c r="H264" s="255">
        <v>37510</v>
      </c>
      <c r="I264" s="105" t="str">
        <f>CHOOSE(MONTH(H264),"January","February","March","April","May","June","July","August","September","October","November","December")</f>
        <v>September</v>
      </c>
      <c r="J264" s="51">
        <f ca="1">DATEDIF(H264,TODAY(),"Y")</f>
        <v>14</v>
      </c>
    </row>
    <row r="265" spans="1:10" ht="16.5">
      <c r="A265" s="39" t="s">
        <v>758</v>
      </c>
      <c r="B265" s="46" t="s">
        <v>271</v>
      </c>
      <c r="C265" s="39" t="s">
        <v>930</v>
      </c>
      <c r="D265" s="72">
        <v>318723704</v>
      </c>
      <c r="E265" s="73">
        <v>9196526117</v>
      </c>
      <c r="F265" s="39" t="s">
        <v>256</v>
      </c>
      <c r="G265" s="256">
        <v>80120</v>
      </c>
      <c r="H265" s="255">
        <v>39719</v>
      </c>
      <c r="I265" s="105" t="str">
        <f>CHOOSE(MONTH(H265),"January","February","March","April","May","June","July","August","September","October","November","December")</f>
        <v>September</v>
      </c>
      <c r="J265" s="51">
        <f ca="1">DATEDIF(H265,TODAY(),"Y")</f>
        <v>8</v>
      </c>
    </row>
    <row r="266" spans="1:10" ht="16.5">
      <c r="A266" s="39" t="s">
        <v>888</v>
      </c>
      <c r="B266" s="46" t="s">
        <v>266</v>
      </c>
      <c r="C266" s="39" t="s">
        <v>391</v>
      </c>
      <c r="D266" s="72">
        <v>291798311</v>
      </c>
      <c r="E266" s="73">
        <v>2526742736</v>
      </c>
      <c r="F266" s="39" t="s">
        <v>256</v>
      </c>
      <c r="G266" s="256">
        <v>66920</v>
      </c>
      <c r="H266" s="255">
        <v>41180</v>
      </c>
      <c r="I266" s="105" t="str">
        <f>CHOOSE(MONTH(H266),"January","February","March","April","May","June","July","August","September","October","November","December")</f>
        <v>September</v>
      </c>
      <c r="J266" s="51">
        <f ca="1">DATEDIF(H266,TODAY(),"Y")</f>
        <v>4</v>
      </c>
    </row>
    <row r="267" spans="1:10" ht="16.5">
      <c r="A267" s="39" t="s">
        <v>810</v>
      </c>
      <c r="B267" s="46" t="s">
        <v>245</v>
      </c>
      <c r="C267" s="39" t="s">
        <v>465</v>
      </c>
      <c r="D267" s="72">
        <v>466947318</v>
      </c>
      <c r="E267" s="73">
        <v>9191765611</v>
      </c>
      <c r="F267" s="39" t="s">
        <v>256</v>
      </c>
      <c r="G267" s="256">
        <v>36630</v>
      </c>
      <c r="H267" s="255">
        <v>36066</v>
      </c>
      <c r="I267" s="105" t="str">
        <f>CHOOSE(MONTH(H267),"January","February","March","April","May","June","July","August","September","October","November","December")</f>
        <v>September</v>
      </c>
      <c r="J267" s="51">
        <f ca="1">DATEDIF(H267,TODAY(),"Y")</f>
        <v>18</v>
      </c>
    </row>
    <row r="268" spans="1:10" ht="16.5">
      <c r="A268" s="39" t="s">
        <v>376</v>
      </c>
      <c r="B268" s="46" t="s">
        <v>245</v>
      </c>
      <c r="C268" s="39" t="s">
        <v>626</v>
      </c>
      <c r="D268" s="72">
        <v>948189231</v>
      </c>
      <c r="E268" s="73">
        <v>2527687161</v>
      </c>
      <c r="F268" s="39" t="s">
        <v>256</v>
      </c>
      <c r="G268" s="256">
        <v>63050</v>
      </c>
      <c r="H268" s="255">
        <v>34605</v>
      </c>
      <c r="I268" s="105" t="str">
        <f>CHOOSE(MONTH(H268),"January","February","March","April","May","June","July","August","September","October","November","December")</f>
        <v>September</v>
      </c>
      <c r="J268" s="51">
        <f ca="1">DATEDIF(H268,TODAY(),"Y")</f>
        <v>22</v>
      </c>
    </row>
    <row r="269" spans="1:10" ht="16.5">
      <c r="A269" s="39" t="s">
        <v>699</v>
      </c>
      <c r="B269" s="46" t="s">
        <v>285</v>
      </c>
      <c r="C269" s="39" t="s">
        <v>856</v>
      </c>
      <c r="D269" s="72">
        <v>100703382</v>
      </c>
      <c r="E269" s="73">
        <v>9195157047</v>
      </c>
      <c r="F269" s="39" t="s">
        <v>256</v>
      </c>
      <c r="G269" s="256">
        <v>38920</v>
      </c>
      <c r="H269" s="255">
        <v>34229</v>
      </c>
      <c r="I269" s="105" t="str">
        <f>CHOOSE(MONTH(H269),"January","February","March","April","May","June","July","August","September","October","November","December")</f>
        <v>September</v>
      </c>
      <c r="J269" s="51">
        <f ca="1">DATEDIF(H269,TODAY(),"Y")</f>
        <v>23</v>
      </c>
    </row>
    <row r="270" spans="1:10" ht="16.5">
      <c r="A270" s="39" t="s">
        <v>759</v>
      </c>
      <c r="B270" s="46" t="s">
        <v>245</v>
      </c>
      <c r="C270" s="39" t="s">
        <v>856</v>
      </c>
      <c r="D270" s="72">
        <v>512404764</v>
      </c>
      <c r="E270" s="73">
        <v>9193976775</v>
      </c>
      <c r="F270" s="39" t="s">
        <v>256</v>
      </c>
      <c r="G270" s="256">
        <v>81400</v>
      </c>
      <c r="H270" s="255">
        <v>34215</v>
      </c>
      <c r="I270" s="105" t="str">
        <f>CHOOSE(MONTH(H270),"January","February","March","April","May","June","July","August","September","October","November","December")</f>
        <v>September</v>
      </c>
      <c r="J270" s="51">
        <f ca="1">DATEDIF(H270,TODAY(),"Y")</f>
        <v>23</v>
      </c>
    </row>
    <row r="271" spans="1:10" ht="16.5">
      <c r="A271" s="39" t="s">
        <v>433</v>
      </c>
      <c r="B271" s="46" t="s">
        <v>280</v>
      </c>
      <c r="C271" s="39" t="s">
        <v>930</v>
      </c>
      <c r="D271" s="72">
        <v>311309049</v>
      </c>
      <c r="E271" s="73">
        <v>2527560634</v>
      </c>
      <c r="F271" s="39" t="s">
        <v>256</v>
      </c>
      <c r="G271" s="256">
        <v>25885</v>
      </c>
      <c r="H271" s="255">
        <v>40067</v>
      </c>
      <c r="I271" s="105" t="str">
        <f>CHOOSE(MONTH(H271),"January","February","March","April","May","June","July","August","September","October","November","December")</f>
        <v>September</v>
      </c>
      <c r="J271" s="51">
        <f ca="1">DATEDIF(H271,TODAY(),"Y")</f>
        <v>7</v>
      </c>
    </row>
    <row r="272" spans="1:10" ht="16.5">
      <c r="A272" s="39" t="s">
        <v>341</v>
      </c>
      <c r="B272" s="46" t="s">
        <v>245</v>
      </c>
      <c r="C272" s="39" t="s">
        <v>312</v>
      </c>
      <c r="D272" s="72">
        <v>365117800</v>
      </c>
      <c r="E272" s="73">
        <v>2524125146</v>
      </c>
      <c r="F272" s="39" t="s">
        <v>256</v>
      </c>
      <c r="G272" s="256">
        <v>46650</v>
      </c>
      <c r="H272" s="255">
        <v>39717</v>
      </c>
      <c r="I272" s="105" t="str">
        <f>CHOOSE(MONTH(H272),"January","February","March","April","May","June","July","August","September","October","November","December")</f>
        <v>September</v>
      </c>
      <c r="J272" s="51">
        <f ca="1">DATEDIF(H272,TODAY(),"Y")</f>
        <v>8</v>
      </c>
    </row>
    <row r="273" spans="1:10" ht="16.5">
      <c r="A273" s="39" t="s">
        <v>436</v>
      </c>
      <c r="B273" s="46" t="s">
        <v>266</v>
      </c>
      <c r="C273" s="39" t="s">
        <v>856</v>
      </c>
      <c r="D273" s="72">
        <v>313648228</v>
      </c>
      <c r="E273" s="73">
        <v>2524998145</v>
      </c>
      <c r="F273" s="39" t="s">
        <v>256</v>
      </c>
      <c r="G273" s="256">
        <v>67280</v>
      </c>
      <c r="H273" s="255">
        <v>36043</v>
      </c>
      <c r="I273" s="105" t="str">
        <f>CHOOSE(MONTH(H273),"January","February","March","April","May","June","July","August","September","October","November","December")</f>
        <v>September</v>
      </c>
      <c r="J273" s="51">
        <f ca="1">DATEDIF(H273,TODAY(),"Y")</f>
        <v>18</v>
      </c>
    </row>
    <row r="274" spans="1:10" ht="16.5">
      <c r="A274" s="39" t="s">
        <v>389</v>
      </c>
      <c r="B274" s="46" t="s">
        <v>251</v>
      </c>
      <c r="C274" s="39" t="s">
        <v>930</v>
      </c>
      <c r="D274" s="72">
        <v>635240617</v>
      </c>
      <c r="E274" s="73">
        <v>9192259651</v>
      </c>
      <c r="F274" s="39" t="s">
        <v>256</v>
      </c>
      <c r="G274" s="256">
        <v>25245</v>
      </c>
      <c r="H274" s="255">
        <v>34971</v>
      </c>
      <c r="I274" s="105" t="str">
        <f>CHOOSE(MONTH(H274),"January","February","March","April","May","June","July","August","September","October","November","December")</f>
        <v>September</v>
      </c>
      <c r="J274" s="51">
        <f ca="1">DATEDIF(H274,TODAY(),"Y")</f>
        <v>21</v>
      </c>
    </row>
    <row r="275" spans="1:10" ht="16.5">
      <c r="A275" s="39" t="s">
        <v>440</v>
      </c>
      <c r="B275" s="46" t="s">
        <v>285</v>
      </c>
      <c r="C275" s="39" t="s">
        <v>272</v>
      </c>
      <c r="D275" s="72">
        <v>768681542</v>
      </c>
      <c r="E275" s="73">
        <v>8021673267</v>
      </c>
      <c r="F275" s="39" t="s">
        <v>256</v>
      </c>
      <c r="G275" s="256">
        <v>60380</v>
      </c>
      <c r="H275" s="255">
        <v>41534</v>
      </c>
      <c r="I275" s="105" t="str">
        <f>CHOOSE(MONTH(H275),"January","February","March","April","May","June","July","August","September","October","November","December")</f>
        <v>September</v>
      </c>
      <c r="J275" s="51">
        <f ca="1">DATEDIF(H275,TODAY(),"Y")</f>
        <v>3</v>
      </c>
    </row>
    <row r="276" spans="1:10" ht="16.5">
      <c r="A276" s="39" t="s">
        <v>566</v>
      </c>
      <c r="B276" s="46" t="s">
        <v>285</v>
      </c>
      <c r="C276" s="39" t="s">
        <v>372</v>
      </c>
      <c r="D276" s="72">
        <v>207506781</v>
      </c>
      <c r="E276" s="73">
        <v>9194125294</v>
      </c>
      <c r="F276" s="39" t="s">
        <v>256</v>
      </c>
      <c r="G276" s="256">
        <v>71030</v>
      </c>
      <c r="H276" s="255">
        <v>38611</v>
      </c>
      <c r="I276" s="105" t="str">
        <f>CHOOSE(MONTH(H276),"January","February","March","April","May","June","July","August","September","October","November","December")</f>
        <v>September</v>
      </c>
      <c r="J276" s="51">
        <f ca="1">DATEDIF(H276,TODAY(),"Y")</f>
        <v>11</v>
      </c>
    </row>
    <row r="277" spans="1:10" ht="16.5">
      <c r="A277" s="45" t="s">
        <v>255</v>
      </c>
      <c r="B277" s="46" t="s">
        <v>251</v>
      </c>
      <c r="C277" s="39" t="s">
        <v>626</v>
      </c>
      <c r="D277" s="72">
        <v>662974752</v>
      </c>
      <c r="E277" s="73">
        <v>2526040465</v>
      </c>
      <c r="F277" s="39" t="s">
        <v>256</v>
      </c>
      <c r="G277" s="256">
        <v>43410</v>
      </c>
      <c r="H277" s="255">
        <v>39333</v>
      </c>
      <c r="I277" s="105" t="str">
        <f>CHOOSE(MONTH(H277),"January","February","March","April","May","June","July","August","September","October","November","December")</f>
        <v>September</v>
      </c>
      <c r="J277" s="51">
        <f ca="1">DATEDIF(H277,TODAY(),"Y")</f>
        <v>9</v>
      </c>
    </row>
    <row r="278" spans="1:10" ht="16.5">
      <c r="A278" s="39" t="s">
        <v>568</v>
      </c>
      <c r="B278" s="46" t="s">
        <v>245</v>
      </c>
      <c r="C278" s="39" t="s">
        <v>312</v>
      </c>
      <c r="D278" s="72">
        <v>721173550</v>
      </c>
      <c r="E278" s="73">
        <v>2528356334</v>
      </c>
      <c r="F278" s="39" t="s">
        <v>256</v>
      </c>
      <c r="G278" s="256">
        <v>60550</v>
      </c>
      <c r="H278" s="255">
        <v>34581</v>
      </c>
      <c r="I278" s="105" t="str">
        <f>CHOOSE(MONTH(H278),"January","February","March","April","May","June","July","August","September","October","November","December")</f>
        <v>September</v>
      </c>
      <c r="J278" s="51">
        <f ca="1">DATEDIF(H278,TODAY(),"Y")</f>
        <v>22</v>
      </c>
    </row>
    <row r="279" spans="1:10" ht="16.5">
      <c r="A279" s="39" t="s">
        <v>660</v>
      </c>
      <c r="B279" s="46" t="s">
        <v>245</v>
      </c>
      <c r="C279" s="39" t="s">
        <v>465</v>
      </c>
      <c r="D279" s="72">
        <v>561968668</v>
      </c>
      <c r="E279" s="73">
        <v>2522433774</v>
      </c>
      <c r="F279" s="39" t="s">
        <v>256</v>
      </c>
      <c r="G279" s="256">
        <v>76930</v>
      </c>
      <c r="H279" s="255">
        <v>36056</v>
      </c>
      <c r="I279" s="105" t="str">
        <f>CHOOSE(MONTH(H279),"January","February","March","April","May","June","July","August","September","October","November","December")</f>
        <v>September</v>
      </c>
      <c r="J279" s="51">
        <f ca="1">DATEDIF(H279,TODAY(),"Y")</f>
        <v>18</v>
      </c>
    </row>
    <row r="280" spans="1:10" ht="16.5">
      <c r="A280" s="39" t="s">
        <v>415</v>
      </c>
      <c r="B280" s="46" t="s">
        <v>285</v>
      </c>
      <c r="C280" s="39" t="s">
        <v>391</v>
      </c>
      <c r="D280" s="72">
        <v>694800128</v>
      </c>
      <c r="E280" s="73">
        <v>9197111802</v>
      </c>
      <c r="F280" s="39" t="s">
        <v>256</v>
      </c>
      <c r="G280" s="256">
        <v>45565</v>
      </c>
      <c r="H280" s="255">
        <v>41164</v>
      </c>
      <c r="I280" s="105" t="str">
        <f>CHOOSE(MONTH(H280),"January","February","March","April","May","June","July","August","September","October","November","December")</f>
        <v>September</v>
      </c>
      <c r="J280" s="51">
        <f ca="1">DATEDIF(H280,TODAY(),"Y")</f>
        <v>4</v>
      </c>
    </row>
    <row r="281" spans="1:10" ht="16.5">
      <c r="A281" s="39" t="s">
        <v>583</v>
      </c>
      <c r="B281" s="46" t="s">
        <v>285</v>
      </c>
      <c r="C281" s="39" t="s">
        <v>856</v>
      </c>
      <c r="D281" s="72">
        <v>125540405</v>
      </c>
      <c r="E281" s="73">
        <v>2524589262</v>
      </c>
      <c r="F281" s="39" t="s">
        <v>256</v>
      </c>
      <c r="G281" s="256">
        <v>46110</v>
      </c>
      <c r="H281" s="255">
        <v>40809</v>
      </c>
      <c r="I281" s="105" t="str">
        <f>CHOOSE(MONTH(H281),"January","February","March","April","May","June","July","August","September","October","November","December")</f>
        <v>September</v>
      </c>
      <c r="J281" s="51">
        <f ca="1">DATEDIF(H281,TODAY(),"Y")</f>
        <v>5</v>
      </c>
    </row>
    <row r="282" spans="1:10" ht="16.5">
      <c r="A282" s="39" t="s">
        <v>354</v>
      </c>
      <c r="B282" s="46" t="s">
        <v>280</v>
      </c>
      <c r="C282" s="39" t="s">
        <v>417</v>
      </c>
      <c r="D282" s="72">
        <v>291841866</v>
      </c>
      <c r="E282" s="73">
        <v>9191534053</v>
      </c>
      <c r="F282" s="39" t="s">
        <v>256</v>
      </c>
      <c r="G282" s="256">
        <v>54230</v>
      </c>
      <c r="H282" s="255">
        <v>34595</v>
      </c>
      <c r="I282" s="105" t="str">
        <f>CHOOSE(MONTH(H282),"January","February","March","April","May","June","July","August","September","October","November","December")</f>
        <v>September</v>
      </c>
      <c r="J282" s="51">
        <f ca="1">DATEDIF(H282,TODAY(),"Y")</f>
        <v>22</v>
      </c>
    </row>
    <row r="283" spans="1:10" ht="16.5">
      <c r="A283" s="39" t="s">
        <v>1002</v>
      </c>
      <c r="B283" s="46" t="s">
        <v>280</v>
      </c>
      <c r="C283" s="39" t="s">
        <v>465</v>
      </c>
      <c r="D283" s="72">
        <v>350104448</v>
      </c>
      <c r="E283" s="73">
        <v>9193883356</v>
      </c>
      <c r="F283" s="39" t="s">
        <v>256</v>
      </c>
      <c r="G283" s="256">
        <v>23560</v>
      </c>
      <c r="H283" s="255">
        <v>36407</v>
      </c>
      <c r="I283" s="105" t="str">
        <f>CHOOSE(MONTH(H283),"January","February","March","April","May","June","July","August","September","October","November","December")</f>
        <v>September</v>
      </c>
      <c r="J283" s="51">
        <f ca="1">DATEDIF(H283,TODAY(),"Y")</f>
        <v>17</v>
      </c>
    </row>
    <row r="284" spans="1:10" ht="16.5">
      <c r="A284" s="39" t="s">
        <v>762</v>
      </c>
      <c r="B284" s="46" t="s">
        <v>271</v>
      </c>
      <c r="C284" s="39" t="s">
        <v>767</v>
      </c>
      <c r="D284" s="72">
        <v>561530671</v>
      </c>
      <c r="E284" s="73">
        <v>9192999652</v>
      </c>
      <c r="F284" s="39" t="s">
        <v>256</v>
      </c>
      <c r="G284" s="256">
        <v>49070</v>
      </c>
      <c r="H284" s="255">
        <v>36771</v>
      </c>
      <c r="I284" s="105" t="str">
        <f>CHOOSE(MONTH(H284),"January","February","March","April","May","June","July","August","September","October","November","December")</f>
        <v>September</v>
      </c>
      <c r="J284" s="51">
        <f ca="1">DATEDIF(H284,TODAY(),"Y")</f>
        <v>16</v>
      </c>
    </row>
    <row r="285" spans="1:10" ht="16.5">
      <c r="A285" s="39" t="s">
        <v>593</v>
      </c>
      <c r="B285" s="46" t="s">
        <v>271</v>
      </c>
      <c r="C285" s="39" t="s">
        <v>767</v>
      </c>
      <c r="D285" s="72">
        <v>214291610</v>
      </c>
      <c r="E285" s="73">
        <v>2523858464</v>
      </c>
      <c r="F285" s="39" t="s">
        <v>256</v>
      </c>
      <c r="G285" s="256">
        <v>31270</v>
      </c>
      <c r="H285" s="255">
        <v>40063</v>
      </c>
      <c r="I285" s="105" t="str">
        <f>CHOOSE(MONTH(H285),"January","February","March","April","May","June","July","August","September","October","November","December")</f>
        <v>September</v>
      </c>
      <c r="J285" s="51">
        <f ca="1">DATEDIF(H285,TODAY(),"Y")</f>
        <v>7</v>
      </c>
    </row>
    <row r="286" spans="1:10" ht="16.5">
      <c r="A286" s="39" t="s">
        <v>356</v>
      </c>
      <c r="B286" s="46" t="s">
        <v>280</v>
      </c>
      <c r="C286" s="39" t="s">
        <v>465</v>
      </c>
      <c r="D286" s="72">
        <v>487810878</v>
      </c>
      <c r="E286" s="73">
        <v>9194555389</v>
      </c>
      <c r="F286" s="39" t="s">
        <v>256</v>
      </c>
      <c r="G286" s="256">
        <v>53900</v>
      </c>
      <c r="H286" s="255">
        <v>39703</v>
      </c>
      <c r="I286" s="105" t="str">
        <f>CHOOSE(MONTH(H286),"January","February","March","April","May","June","July","August","September","October","November","December")</f>
        <v>September</v>
      </c>
      <c r="J286" s="51">
        <f ca="1">DATEDIF(H286,TODAY(),"Y")</f>
        <v>8</v>
      </c>
    </row>
    <row r="287" spans="1:10" ht="16.5">
      <c r="A287" s="39" t="s">
        <v>448</v>
      </c>
      <c r="B287" s="46" t="s">
        <v>271</v>
      </c>
      <c r="C287" s="39" t="s">
        <v>465</v>
      </c>
      <c r="D287" s="72">
        <v>527185620</v>
      </c>
      <c r="E287" s="73">
        <v>2524627771</v>
      </c>
      <c r="F287" s="39" t="s">
        <v>256</v>
      </c>
      <c r="G287" s="256">
        <v>37750</v>
      </c>
      <c r="H287" s="255">
        <v>37155</v>
      </c>
      <c r="I287" s="105" t="str">
        <f>CHOOSE(MONTH(H287),"January","February","March","April","May","June","July","August","September","October","November","December")</f>
        <v>September</v>
      </c>
      <c r="J287" s="51">
        <f ca="1">DATEDIF(H287,TODAY(),"Y")</f>
        <v>15</v>
      </c>
    </row>
    <row r="288" spans="1:10" ht="16.5">
      <c r="A288" s="39" t="s">
        <v>303</v>
      </c>
      <c r="B288" s="46" t="s">
        <v>280</v>
      </c>
      <c r="C288" s="39" t="s">
        <v>705</v>
      </c>
      <c r="D288" s="72">
        <v>577239513</v>
      </c>
      <c r="E288" s="73">
        <v>9193199265</v>
      </c>
      <c r="F288" s="39" t="s">
        <v>256</v>
      </c>
      <c r="G288" s="256">
        <v>61420</v>
      </c>
      <c r="H288" s="255">
        <v>36047</v>
      </c>
      <c r="I288" s="105" t="str">
        <f>CHOOSE(MONTH(H288),"January","February","March","April","May","June","July","August","September","October","November","December")</f>
        <v>September</v>
      </c>
      <c r="J288" s="51">
        <f ca="1">DATEDIF(H288,TODAY(),"Y")</f>
        <v>18</v>
      </c>
    </row>
    <row r="289" spans="1:10" ht="16.5">
      <c r="A289" s="39" t="s">
        <v>843</v>
      </c>
      <c r="B289" s="46" t="s">
        <v>245</v>
      </c>
      <c r="C289" s="45" t="s">
        <v>246</v>
      </c>
      <c r="D289" s="47">
        <v>100432924</v>
      </c>
      <c r="E289" s="48">
        <v>4022804104</v>
      </c>
      <c r="F289" s="45" t="s">
        <v>256</v>
      </c>
      <c r="G289" s="256">
        <v>62740</v>
      </c>
      <c r="H289" s="255">
        <v>35335</v>
      </c>
      <c r="I289" s="105" t="str">
        <f>CHOOSE(MONTH(H289),"January","February","March","April","May","June","July","August","September","October","November","December")</f>
        <v>September</v>
      </c>
      <c r="J289" s="51">
        <f ca="1">DATEDIF(H289,TODAY(),"Y")</f>
        <v>20</v>
      </c>
    </row>
    <row r="290" spans="1:10" ht="16.5">
      <c r="A290" s="39" t="s">
        <v>609</v>
      </c>
      <c r="B290" s="46" t="s">
        <v>285</v>
      </c>
      <c r="C290" s="39" t="s">
        <v>930</v>
      </c>
      <c r="D290" s="72">
        <v>177324163</v>
      </c>
      <c r="E290" s="73">
        <v>2527091949</v>
      </c>
      <c r="F290" s="39" t="s">
        <v>256</v>
      </c>
      <c r="G290" s="256">
        <v>39160</v>
      </c>
      <c r="H290" s="255">
        <v>37877</v>
      </c>
      <c r="I290" s="105" t="str">
        <f>CHOOSE(MONTH(H290),"January","February","March","April","May","June","July","August","September","October","November","December")</f>
        <v>September</v>
      </c>
      <c r="J290" s="51">
        <f ca="1">DATEDIF(H290,TODAY(),"Y")</f>
        <v>13</v>
      </c>
    </row>
    <row r="291" spans="1:10" ht="16.5">
      <c r="A291" s="39" t="s">
        <v>364</v>
      </c>
      <c r="B291" s="46" t="s">
        <v>266</v>
      </c>
      <c r="C291" s="39" t="s">
        <v>465</v>
      </c>
      <c r="D291" s="72">
        <v>135965371</v>
      </c>
      <c r="E291" s="73">
        <v>9195592950</v>
      </c>
      <c r="F291" s="39" t="s">
        <v>256</v>
      </c>
      <c r="G291" s="256">
        <v>61330</v>
      </c>
      <c r="H291" s="255">
        <v>37153</v>
      </c>
      <c r="I291" s="105" t="str">
        <f>CHOOSE(MONTH(H291),"January","February","March","April","May","June","July","August","September","October","November","December")</f>
        <v>September</v>
      </c>
      <c r="J291" s="51">
        <f ca="1">DATEDIF(H291,TODAY(),"Y")</f>
        <v>15</v>
      </c>
    </row>
    <row r="292" spans="1:10" ht="16.5">
      <c r="A292" s="39" t="s">
        <v>612</v>
      </c>
      <c r="B292" s="46" t="s">
        <v>285</v>
      </c>
      <c r="C292" s="39" t="s">
        <v>312</v>
      </c>
      <c r="D292" s="72">
        <v>571120098</v>
      </c>
      <c r="E292" s="73">
        <v>2525789252</v>
      </c>
      <c r="F292" s="39" t="s">
        <v>256</v>
      </c>
      <c r="G292" s="256">
        <v>32835</v>
      </c>
      <c r="H292" s="255">
        <v>40081</v>
      </c>
      <c r="I292" s="105" t="str">
        <f>CHOOSE(MONTH(H292),"January","February","March","April","May","June","July","August","September","October","November","December")</f>
        <v>September</v>
      </c>
      <c r="J292" s="51">
        <f ca="1">DATEDIF(H292,TODAY(),"Y")</f>
        <v>7</v>
      </c>
    </row>
    <row r="293" spans="1:10" ht="16.5">
      <c r="A293" s="39" t="s">
        <v>1019</v>
      </c>
      <c r="B293" s="46" t="s">
        <v>280</v>
      </c>
      <c r="C293" s="39" t="s">
        <v>465</v>
      </c>
      <c r="D293" s="72">
        <v>575270646</v>
      </c>
      <c r="E293" s="73">
        <v>9197819805</v>
      </c>
      <c r="F293" s="39" t="s">
        <v>256</v>
      </c>
      <c r="G293" s="256">
        <v>56900</v>
      </c>
      <c r="H293" s="255">
        <v>37866</v>
      </c>
      <c r="I293" s="105" t="str">
        <f>CHOOSE(MONTH(H293),"January","February","March","April","May","June","July","August","September","October","November","December")</f>
        <v>September</v>
      </c>
      <c r="J293" s="51">
        <f ca="1">DATEDIF(H293,TODAY(),"Y")</f>
        <v>13</v>
      </c>
    </row>
    <row r="294" spans="1:10" ht="16.5">
      <c r="A294" s="39" t="s">
        <v>1020</v>
      </c>
      <c r="B294" s="46" t="s">
        <v>271</v>
      </c>
      <c r="C294" s="39" t="s">
        <v>312</v>
      </c>
      <c r="D294" s="72">
        <v>923665952</v>
      </c>
      <c r="E294" s="73">
        <v>2525295649</v>
      </c>
      <c r="F294" s="39" t="s">
        <v>256</v>
      </c>
      <c r="G294" s="256">
        <v>79460</v>
      </c>
      <c r="H294" s="255">
        <v>34952</v>
      </c>
      <c r="I294" s="105" t="str">
        <f>CHOOSE(MONTH(H294),"January","February","March","April","May","June","July","August","September","October","November","December")</f>
        <v>September</v>
      </c>
      <c r="J294" s="51">
        <f ca="1">DATEDIF(H294,TODAY(),"Y")</f>
        <v>21</v>
      </c>
    </row>
    <row r="295" spans="1:10" ht="16.5">
      <c r="A295" s="39" t="s">
        <v>368</v>
      </c>
      <c r="B295" s="46" t="s">
        <v>285</v>
      </c>
      <c r="C295" s="39" t="s">
        <v>856</v>
      </c>
      <c r="D295" s="72">
        <v>784064156</v>
      </c>
      <c r="E295" s="78">
        <v>9193355152</v>
      </c>
      <c r="F295" s="39" t="s">
        <v>256</v>
      </c>
      <c r="G295" s="256">
        <v>75120</v>
      </c>
      <c r="H295" s="255">
        <v>39348</v>
      </c>
      <c r="I295" s="105" t="str">
        <f>CHOOSE(MONTH(H295),"January","February","March","April","May","June","July","August","September","October","November","December")</f>
        <v>September</v>
      </c>
      <c r="J295" s="51">
        <f ca="1">DATEDIF(H295,TODAY(),"Y")</f>
        <v>9</v>
      </c>
    </row>
    <row r="296" spans="1:10" ht="16.5">
      <c r="A296" s="39" t="s">
        <v>851</v>
      </c>
      <c r="B296" s="46" t="s">
        <v>266</v>
      </c>
      <c r="C296" s="39" t="s">
        <v>618</v>
      </c>
      <c r="D296" s="72">
        <v>723930767</v>
      </c>
      <c r="E296" s="73">
        <v>9191375297</v>
      </c>
      <c r="F296" s="39" t="s">
        <v>256</v>
      </c>
      <c r="G296" s="256">
        <v>45420</v>
      </c>
      <c r="H296" s="255">
        <v>37529</v>
      </c>
      <c r="I296" s="105" t="str">
        <f>CHOOSE(MONTH(H296),"January","February","March","April","May","June","July","August","September","October","November","December")</f>
        <v>September</v>
      </c>
      <c r="J296" s="51">
        <f ca="1">DATEDIF(H296,TODAY(),"Y")</f>
        <v>14</v>
      </c>
    </row>
    <row r="297" spans="1:10" ht="16.5">
      <c r="A297" s="39" t="s">
        <v>749</v>
      </c>
      <c r="B297" s="46" t="s">
        <v>245</v>
      </c>
      <c r="C297" s="39" t="s">
        <v>465</v>
      </c>
      <c r="D297" s="72">
        <v>416394493</v>
      </c>
      <c r="E297" s="73">
        <v>2525228252</v>
      </c>
      <c r="F297" s="39" t="s">
        <v>256</v>
      </c>
      <c r="G297" s="256">
        <v>46710</v>
      </c>
      <c r="H297" s="255">
        <v>34623</v>
      </c>
      <c r="I297" s="105" t="str">
        <f>CHOOSE(MONTH(H297),"January","February","March","April","May","June","July","August","September","October","November","December")</f>
        <v>October</v>
      </c>
      <c r="J297" s="51">
        <f ca="1">DATEDIF(H297,TODAY(),"Y")</f>
        <v>22</v>
      </c>
    </row>
    <row r="298" spans="1:10" ht="16.5">
      <c r="A298" s="39" t="s">
        <v>475</v>
      </c>
      <c r="B298" s="46" t="s">
        <v>285</v>
      </c>
      <c r="C298" s="39" t="s">
        <v>856</v>
      </c>
      <c r="D298" s="72">
        <v>984881714</v>
      </c>
      <c r="E298" s="73">
        <v>9196973131</v>
      </c>
      <c r="F298" s="39" t="s">
        <v>256</v>
      </c>
      <c r="G298" s="256">
        <v>81010</v>
      </c>
      <c r="H298" s="255">
        <v>40832</v>
      </c>
      <c r="I298" s="105" t="str">
        <f>CHOOSE(MONTH(H298),"January","February","March","April","May","June","July","August","September","October","November","December")</f>
        <v>October</v>
      </c>
      <c r="J298" s="51">
        <f ca="1">DATEDIF(H298,TODAY(),"Y")</f>
        <v>5</v>
      </c>
    </row>
    <row r="299" spans="1:10" ht="16.5">
      <c r="A299" s="39" t="s">
        <v>1030</v>
      </c>
      <c r="B299" s="46" t="s">
        <v>251</v>
      </c>
      <c r="C299" s="39" t="s">
        <v>296</v>
      </c>
      <c r="D299" s="72">
        <v>764375259</v>
      </c>
      <c r="E299" s="73">
        <v>2527515181</v>
      </c>
      <c r="F299" s="39" t="s">
        <v>256</v>
      </c>
      <c r="G299" s="256">
        <v>81530</v>
      </c>
      <c r="H299" s="255">
        <v>36812</v>
      </c>
      <c r="I299" s="105" t="str">
        <f>CHOOSE(MONTH(H299),"January","February","March","April","May","June","July","August","September","October","November","December")</f>
        <v>October</v>
      </c>
      <c r="J299" s="51">
        <f ca="1">DATEDIF(H299,TODAY(),"Y")</f>
        <v>16</v>
      </c>
    </row>
    <row r="300" spans="1:10" ht="16.5">
      <c r="A300" s="39" t="s">
        <v>681</v>
      </c>
      <c r="B300" s="46" t="s">
        <v>251</v>
      </c>
      <c r="C300" s="39" t="s">
        <v>930</v>
      </c>
      <c r="D300" s="72">
        <v>120361975</v>
      </c>
      <c r="E300" s="73">
        <v>2521789943</v>
      </c>
      <c r="F300" s="39" t="s">
        <v>256</v>
      </c>
      <c r="G300" s="256">
        <v>12545</v>
      </c>
      <c r="H300" s="255">
        <v>41184</v>
      </c>
      <c r="I300" s="105" t="str">
        <f>CHOOSE(MONTH(H300),"January","February","March","April","May","June","July","August","September","October","November","December")</f>
        <v>October</v>
      </c>
      <c r="J300" s="51">
        <f ca="1">DATEDIF(H300,TODAY(),"Y")</f>
        <v>4</v>
      </c>
    </row>
    <row r="301" spans="1:10" ht="16.5">
      <c r="A301" s="39" t="s">
        <v>632</v>
      </c>
      <c r="B301" s="46" t="s">
        <v>285</v>
      </c>
      <c r="C301" s="39" t="s">
        <v>312</v>
      </c>
      <c r="D301" s="72">
        <v>905675120</v>
      </c>
      <c r="E301" s="73">
        <v>9192526124</v>
      </c>
      <c r="F301" s="39" t="s">
        <v>256</v>
      </c>
      <c r="G301" s="256">
        <v>10636</v>
      </c>
      <c r="H301" s="255">
        <v>36070</v>
      </c>
      <c r="I301" s="105" t="str">
        <f>CHOOSE(MONTH(H301),"January","February","March","April","May","June","July","August","September","October","November","December")</f>
        <v>October</v>
      </c>
      <c r="J301" s="51">
        <f ca="1">DATEDIF(H301,TODAY(),"Y")</f>
        <v>18</v>
      </c>
    </row>
    <row r="302" spans="1:10" ht="16.5">
      <c r="A302" s="39" t="s">
        <v>457</v>
      </c>
      <c r="B302" s="46" t="s">
        <v>285</v>
      </c>
      <c r="C302" s="39" t="s">
        <v>465</v>
      </c>
      <c r="D302" s="72">
        <v>618535019</v>
      </c>
      <c r="E302" s="73">
        <v>9193695179</v>
      </c>
      <c r="F302" s="39" t="s">
        <v>256</v>
      </c>
      <c r="G302" s="256">
        <v>22820</v>
      </c>
      <c r="H302" s="255">
        <v>40833</v>
      </c>
      <c r="I302" s="105" t="str">
        <f>CHOOSE(MONTH(H302),"January","February","March","April","May","June","July","August","September","October","November","December")</f>
        <v>October</v>
      </c>
      <c r="J302" s="51">
        <f ca="1">DATEDIF(H302,TODAY(),"Y")</f>
        <v>5</v>
      </c>
    </row>
    <row r="303" spans="1:10" ht="16.5">
      <c r="A303" s="39" t="s">
        <v>493</v>
      </c>
      <c r="B303" s="46" t="s">
        <v>271</v>
      </c>
      <c r="C303" s="39" t="s">
        <v>767</v>
      </c>
      <c r="D303" s="72">
        <v>558903229</v>
      </c>
      <c r="E303" s="73">
        <v>9195699651</v>
      </c>
      <c r="F303" s="39" t="s">
        <v>256</v>
      </c>
      <c r="G303" s="256">
        <v>50110</v>
      </c>
      <c r="H303" s="255">
        <v>37179</v>
      </c>
      <c r="I303" s="105" t="str">
        <f>CHOOSE(MONTH(H303),"January","February","March","April","May","June","July","August","September","October","November","December")</f>
        <v>October</v>
      </c>
      <c r="J303" s="51">
        <f ca="1">DATEDIF(H303,TODAY(),"Y")</f>
        <v>15</v>
      </c>
    </row>
    <row r="304" spans="1:10" ht="16.5">
      <c r="A304" s="39" t="s">
        <v>373</v>
      </c>
      <c r="B304" s="46" t="s">
        <v>271</v>
      </c>
      <c r="C304" s="39" t="s">
        <v>930</v>
      </c>
      <c r="D304" s="72">
        <v>876082195</v>
      </c>
      <c r="E304" s="73">
        <v>2526049607</v>
      </c>
      <c r="F304" s="39" t="s">
        <v>256</v>
      </c>
      <c r="G304" s="256">
        <v>63030</v>
      </c>
      <c r="H304" s="255">
        <v>34619</v>
      </c>
      <c r="I304" s="105" t="str">
        <f>CHOOSE(MONTH(H304),"January","February","March","April","May","June","July","August","September","October","November","December")</f>
        <v>October</v>
      </c>
      <c r="J304" s="51">
        <f ca="1">DATEDIF(H304,TODAY(),"Y")</f>
        <v>22</v>
      </c>
    </row>
    <row r="305" spans="1:10" ht="16.5">
      <c r="A305" s="39" t="s">
        <v>423</v>
      </c>
      <c r="B305" s="46" t="s">
        <v>245</v>
      </c>
      <c r="C305" s="39" t="s">
        <v>312</v>
      </c>
      <c r="D305" s="72">
        <v>787156286</v>
      </c>
      <c r="E305" s="73">
        <v>2524588703</v>
      </c>
      <c r="F305" s="39" t="s">
        <v>256</v>
      </c>
      <c r="G305" s="256">
        <v>53310</v>
      </c>
      <c r="H305" s="255">
        <v>36096</v>
      </c>
      <c r="I305" s="105" t="str">
        <f>CHOOSE(MONTH(H305),"January","February","March","April","May","June","July","August","September","October","November","December")</f>
        <v>October</v>
      </c>
      <c r="J305" s="51">
        <f ca="1">DATEDIF(H305,TODAY(),"Y")</f>
        <v>18</v>
      </c>
    </row>
    <row r="306" spans="1:10" ht="16.5">
      <c r="A306" s="39" t="s">
        <v>946</v>
      </c>
      <c r="B306" s="46" t="s">
        <v>245</v>
      </c>
      <c r="C306" s="39" t="s">
        <v>312</v>
      </c>
      <c r="D306" s="72">
        <v>415228597</v>
      </c>
      <c r="E306" s="73">
        <v>9196252690</v>
      </c>
      <c r="F306" s="39" t="s">
        <v>256</v>
      </c>
      <c r="G306" s="256">
        <v>74020</v>
      </c>
      <c r="H306" s="255">
        <v>37553</v>
      </c>
      <c r="I306" s="105" t="str">
        <f>CHOOSE(MONTH(H306),"January","February","March","April","May","June","July","August","September","October","November","December")</f>
        <v>October</v>
      </c>
      <c r="J306" s="51">
        <f ca="1">DATEDIF(H306,TODAY(),"Y")</f>
        <v>14</v>
      </c>
    </row>
    <row r="307" spans="1:10" ht="16.5">
      <c r="A307" s="39" t="s">
        <v>876</v>
      </c>
      <c r="B307" s="46" t="s">
        <v>271</v>
      </c>
      <c r="C307" s="39" t="s">
        <v>626</v>
      </c>
      <c r="D307" s="72">
        <v>597641409</v>
      </c>
      <c r="E307" s="73">
        <v>9196201509</v>
      </c>
      <c r="F307" s="39" t="s">
        <v>256</v>
      </c>
      <c r="G307" s="256">
        <v>28768</v>
      </c>
      <c r="H307" s="255">
        <v>37183</v>
      </c>
      <c r="I307" s="105" t="str">
        <f>CHOOSE(MONTH(H307),"January","February","March","April","May","June","July","August","September","October","November","December")</f>
        <v>October</v>
      </c>
      <c r="J307" s="51">
        <f ca="1">DATEDIF(H307,TODAY(),"Y")</f>
        <v>15</v>
      </c>
    </row>
    <row r="308" spans="1:10" ht="16.5">
      <c r="A308" s="39" t="s">
        <v>510</v>
      </c>
      <c r="B308" s="46" t="s">
        <v>271</v>
      </c>
      <c r="C308" s="39" t="s">
        <v>705</v>
      </c>
      <c r="D308" s="72">
        <v>150132247</v>
      </c>
      <c r="E308" s="73">
        <v>9198561612</v>
      </c>
      <c r="F308" s="39" t="s">
        <v>256</v>
      </c>
      <c r="G308" s="256">
        <v>66010</v>
      </c>
      <c r="H308" s="255">
        <v>36095</v>
      </c>
      <c r="I308" s="105" t="str">
        <f>CHOOSE(MONTH(H308),"January","February","March","April","May","June","July","August","September","October","November","December")</f>
        <v>October</v>
      </c>
      <c r="J308" s="51">
        <f ca="1">DATEDIF(H308,TODAY(),"Y")</f>
        <v>18</v>
      </c>
    </row>
    <row r="309" spans="1:10" ht="16.5">
      <c r="A309" s="39" t="s">
        <v>715</v>
      </c>
      <c r="B309" s="46" t="s">
        <v>271</v>
      </c>
      <c r="C309" s="39" t="s">
        <v>391</v>
      </c>
      <c r="D309" s="72">
        <v>863161920</v>
      </c>
      <c r="E309" s="73">
        <v>2523748373</v>
      </c>
      <c r="F309" s="39" t="s">
        <v>256</v>
      </c>
      <c r="G309" s="256">
        <v>84170</v>
      </c>
      <c r="H309" s="255">
        <v>37179</v>
      </c>
      <c r="I309" s="105" t="str">
        <f>CHOOSE(MONTH(H309),"January","February","March","April","May","June","July","August","September","October","November","December")</f>
        <v>October</v>
      </c>
      <c r="J309" s="51">
        <f ca="1">DATEDIF(H309,TODAY(),"Y")</f>
        <v>15</v>
      </c>
    </row>
    <row r="310" spans="1:10" ht="16.5">
      <c r="A310" s="39" t="s">
        <v>792</v>
      </c>
      <c r="B310" s="46" t="s">
        <v>271</v>
      </c>
      <c r="C310" s="39" t="s">
        <v>465</v>
      </c>
      <c r="D310" s="72">
        <v>775217609</v>
      </c>
      <c r="E310" s="73">
        <v>9191591006</v>
      </c>
      <c r="F310" s="39" t="s">
        <v>256</v>
      </c>
      <c r="G310" s="256">
        <v>32100</v>
      </c>
      <c r="H310" s="255">
        <v>39742</v>
      </c>
      <c r="I310" s="105" t="str">
        <f>CHOOSE(MONTH(H310),"January","February","March","April","May","June","July","August","September","October","November","December")</f>
        <v>October</v>
      </c>
      <c r="J310" s="51">
        <f ca="1">DATEDIF(H310,TODAY(),"Y")</f>
        <v>8</v>
      </c>
    </row>
    <row r="311" spans="1:10" ht="16.5">
      <c r="A311" s="39" t="s">
        <v>518</v>
      </c>
      <c r="B311" s="46" t="s">
        <v>271</v>
      </c>
      <c r="C311" s="39" t="s">
        <v>626</v>
      </c>
      <c r="D311" s="72">
        <v>999156829</v>
      </c>
      <c r="E311" s="73">
        <v>2521401774</v>
      </c>
      <c r="F311" s="39" t="s">
        <v>256</v>
      </c>
      <c r="G311" s="256">
        <v>24300</v>
      </c>
      <c r="H311" s="255">
        <v>38640</v>
      </c>
      <c r="I311" s="105" t="str">
        <f>CHOOSE(MONTH(H311),"January","February","March","April","May","June","July","August","September","October","November","December")</f>
        <v>October</v>
      </c>
      <c r="J311" s="51">
        <f ca="1">DATEDIF(H311,TODAY(),"Y")</f>
        <v>11</v>
      </c>
    </row>
    <row r="312" spans="1:10" ht="16.5">
      <c r="A312" s="39" t="s">
        <v>804</v>
      </c>
      <c r="B312" s="46" t="s">
        <v>285</v>
      </c>
      <c r="C312" s="39" t="s">
        <v>856</v>
      </c>
      <c r="D312" s="72">
        <v>337411408</v>
      </c>
      <c r="E312" s="73">
        <v>9194729409</v>
      </c>
      <c r="F312" s="39" t="s">
        <v>256</v>
      </c>
      <c r="G312" s="256">
        <v>78170</v>
      </c>
      <c r="H312" s="255">
        <v>40099</v>
      </c>
      <c r="I312" s="105" t="str">
        <f>CHOOSE(MONTH(H312),"January","February","March","April","May","June","July","August","September","October","November","December")</f>
        <v>October</v>
      </c>
      <c r="J312" s="51">
        <f ca="1">DATEDIF(H312,TODAY(),"Y")</f>
        <v>7</v>
      </c>
    </row>
    <row r="313" spans="1:10" ht="16.5">
      <c r="A313" s="39" t="s">
        <v>722</v>
      </c>
      <c r="B313" s="46" t="s">
        <v>285</v>
      </c>
      <c r="C313" s="39" t="s">
        <v>626</v>
      </c>
      <c r="D313" s="72">
        <v>254201611</v>
      </c>
      <c r="E313" s="73">
        <v>9197803578</v>
      </c>
      <c r="F313" s="39" t="s">
        <v>256</v>
      </c>
      <c r="G313" s="256">
        <v>77820</v>
      </c>
      <c r="H313" s="255">
        <v>36098</v>
      </c>
      <c r="I313" s="105" t="str">
        <f>CHOOSE(MONTH(H313),"January","February","March","April","May","June","July","August","September","October","November","December")</f>
        <v>October</v>
      </c>
      <c r="J313" s="51">
        <f ca="1">DATEDIF(H313,TODAY(),"Y")</f>
        <v>18</v>
      </c>
    </row>
    <row r="314" spans="1:10" ht="16.5">
      <c r="A314" s="39" t="s">
        <v>329</v>
      </c>
      <c r="B314" s="46" t="s">
        <v>245</v>
      </c>
      <c r="C314" s="39" t="s">
        <v>705</v>
      </c>
      <c r="D314" s="72">
        <v>847051774</v>
      </c>
      <c r="E314" s="73">
        <v>2522881600</v>
      </c>
      <c r="F314" s="39" t="s">
        <v>256</v>
      </c>
      <c r="G314" s="256">
        <v>76910</v>
      </c>
      <c r="H314" s="255">
        <v>36099</v>
      </c>
      <c r="I314" s="105" t="str">
        <f>CHOOSE(MONTH(H314),"January","February","March","April","May","June","July","August","September","October","November","December")</f>
        <v>October</v>
      </c>
      <c r="J314" s="51">
        <f ca="1">DATEDIF(H314,TODAY(),"Y")</f>
        <v>18</v>
      </c>
    </row>
    <row r="315" spans="1:10" ht="16.5">
      <c r="A315" s="39" t="s">
        <v>621</v>
      </c>
      <c r="B315" s="46" t="s">
        <v>271</v>
      </c>
      <c r="C315" s="39" t="s">
        <v>391</v>
      </c>
      <c r="D315" s="72">
        <v>469591073</v>
      </c>
      <c r="E315" s="73">
        <v>2523327522</v>
      </c>
      <c r="F315" s="39" t="s">
        <v>256</v>
      </c>
      <c r="G315" s="256">
        <v>56870</v>
      </c>
      <c r="H315" s="255">
        <v>36439</v>
      </c>
      <c r="I315" s="105" t="str">
        <f>CHOOSE(MONTH(H315),"January","February","March","April","May","June","July","August","September","October","November","December")</f>
        <v>October</v>
      </c>
      <c r="J315" s="51">
        <f ca="1">DATEDIF(H315,TODAY(),"Y")</f>
        <v>17</v>
      </c>
    </row>
    <row r="316" spans="1:10" ht="16.5">
      <c r="A316" s="39" t="s">
        <v>435</v>
      </c>
      <c r="B316" s="46" t="s">
        <v>271</v>
      </c>
      <c r="C316" s="39" t="s">
        <v>856</v>
      </c>
      <c r="D316" s="72">
        <v>644489557</v>
      </c>
      <c r="E316" s="73">
        <v>2526532463</v>
      </c>
      <c r="F316" s="39" t="s">
        <v>256</v>
      </c>
      <c r="G316" s="256">
        <v>57520</v>
      </c>
      <c r="H316" s="255">
        <v>35724</v>
      </c>
      <c r="I316" s="105" t="str">
        <f>CHOOSE(MONTH(H316),"January","February","March","April","May","June","July","August","September","October","November","December")</f>
        <v>October</v>
      </c>
      <c r="J316" s="51">
        <f ca="1">DATEDIF(H316,TODAY(),"Y")</f>
        <v>19</v>
      </c>
    </row>
    <row r="317" spans="1:10" ht="16.5">
      <c r="A317" s="39" t="s">
        <v>339</v>
      </c>
      <c r="B317" s="46" t="s">
        <v>266</v>
      </c>
      <c r="C317" s="39" t="s">
        <v>626</v>
      </c>
      <c r="D317" s="72">
        <v>506165137</v>
      </c>
      <c r="E317" s="73">
        <v>9193613417</v>
      </c>
      <c r="F317" s="39" t="s">
        <v>256</v>
      </c>
      <c r="G317" s="256">
        <v>77136</v>
      </c>
      <c r="H317" s="255">
        <v>36813</v>
      </c>
      <c r="I317" s="105" t="str">
        <f>CHOOSE(MONTH(H317),"January","February","March","April","May","June","July","August","September","October","November","December")</f>
        <v>October</v>
      </c>
      <c r="J317" s="51">
        <f ca="1">DATEDIF(H317,TODAY(),"Y")</f>
        <v>16</v>
      </c>
    </row>
    <row r="318" spans="1:10" ht="16.5">
      <c r="A318" s="39" t="s">
        <v>437</v>
      </c>
      <c r="B318" s="46" t="s">
        <v>251</v>
      </c>
      <c r="C318" s="39" t="s">
        <v>465</v>
      </c>
      <c r="D318" s="72">
        <v>338977629</v>
      </c>
      <c r="E318" s="73">
        <v>2524252315</v>
      </c>
      <c r="F318" s="39" t="s">
        <v>256</v>
      </c>
      <c r="G318" s="256">
        <v>62780</v>
      </c>
      <c r="H318" s="255">
        <v>34259</v>
      </c>
      <c r="I318" s="105" t="str">
        <f>CHOOSE(MONTH(H318),"January","February","March","April","May","June","July","August","September","October","November","December")</f>
        <v>October</v>
      </c>
      <c r="J318" s="51">
        <f ca="1">DATEDIF(H318,TODAY(),"Y")</f>
        <v>23</v>
      </c>
    </row>
    <row r="319" spans="1:10" ht="16.5">
      <c r="A319" s="39" t="s">
        <v>1034</v>
      </c>
      <c r="B319" s="46" t="s">
        <v>271</v>
      </c>
      <c r="C319" s="39" t="s">
        <v>465</v>
      </c>
      <c r="D319" s="72">
        <v>280304785</v>
      </c>
      <c r="E319" s="73">
        <v>2525918708</v>
      </c>
      <c r="F319" s="39" t="s">
        <v>256</v>
      </c>
      <c r="G319" s="256">
        <v>63290</v>
      </c>
      <c r="H319" s="255">
        <v>36828</v>
      </c>
      <c r="I319" s="105" t="str">
        <f>CHOOSE(MONTH(H319),"January","February","March","April","May","June","July","August","September","October","November","December")</f>
        <v>October</v>
      </c>
      <c r="J319" s="51">
        <f ca="1">DATEDIF(H319,TODAY(),"Y")</f>
        <v>16</v>
      </c>
    </row>
    <row r="320" spans="1:10" ht="16.5">
      <c r="A320" s="39" t="s">
        <v>569</v>
      </c>
      <c r="B320" s="46" t="s">
        <v>245</v>
      </c>
      <c r="C320" s="39" t="s">
        <v>465</v>
      </c>
      <c r="D320" s="72">
        <v>136620388</v>
      </c>
      <c r="E320" s="73">
        <v>9195119214</v>
      </c>
      <c r="F320" s="39" t="s">
        <v>256</v>
      </c>
      <c r="G320" s="256">
        <v>46105</v>
      </c>
      <c r="H320" s="255">
        <v>36438</v>
      </c>
      <c r="I320" s="105" t="str">
        <f>CHOOSE(MONTH(H320),"January","February","March","April","May","June","July","August","September","October","November","December")</f>
        <v>October</v>
      </c>
      <c r="J320" s="51">
        <f ca="1">DATEDIF(H320,TODAY(),"Y")</f>
        <v>17</v>
      </c>
    </row>
    <row r="321" spans="1:10" ht="16.5">
      <c r="A321" s="39" t="s">
        <v>351</v>
      </c>
      <c r="B321" s="46" t="s">
        <v>266</v>
      </c>
      <c r="C321" s="39" t="s">
        <v>767</v>
      </c>
      <c r="D321" s="72">
        <v>289103201</v>
      </c>
      <c r="E321" s="73">
        <v>9192921836</v>
      </c>
      <c r="F321" s="39" t="s">
        <v>256</v>
      </c>
      <c r="G321" s="256">
        <v>32360</v>
      </c>
      <c r="H321" s="255">
        <v>34271</v>
      </c>
      <c r="I321" s="105" t="str">
        <f>CHOOSE(MONTH(H321),"January","February","March","April","May","June","July","August","September","October","November","December")</f>
        <v>October</v>
      </c>
      <c r="J321" s="51">
        <f ca="1">DATEDIF(H321,TODAY(),"Y")</f>
        <v>23</v>
      </c>
    </row>
    <row r="322" spans="1:10" ht="16.5">
      <c r="A322" s="39" t="s">
        <v>828</v>
      </c>
      <c r="B322" s="46" t="s">
        <v>266</v>
      </c>
      <c r="C322" s="39" t="s">
        <v>465</v>
      </c>
      <c r="D322" s="72">
        <v>858800513</v>
      </c>
      <c r="E322" s="73">
        <v>9193547588</v>
      </c>
      <c r="F322" s="39" t="s">
        <v>256</v>
      </c>
      <c r="G322" s="256">
        <v>70480</v>
      </c>
      <c r="H322" s="255">
        <v>36451</v>
      </c>
      <c r="I322" s="105" t="str">
        <f>CHOOSE(MONTH(H322),"January","February","March","April","May","June","July","August","September","October","November","December")</f>
        <v>October</v>
      </c>
      <c r="J322" s="51">
        <f ca="1">DATEDIF(H322,TODAY(),"Y")</f>
        <v>17</v>
      </c>
    </row>
    <row r="323" spans="1:10" ht="16.5">
      <c r="A323" s="39" t="s">
        <v>667</v>
      </c>
      <c r="B323" s="46" t="s">
        <v>271</v>
      </c>
      <c r="C323" s="39" t="s">
        <v>750</v>
      </c>
      <c r="D323" s="72">
        <v>763518183</v>
      </c>
      <c r="E323" s="73">
        <v>2522581491</v>
      </c>
      <c r="F323" s="39" t="s">
        <v>256</v>
      </c>
      <c r="G323" s="256">
        <v>70020</v>
      </c>
      <c r="H323" s="255">
        <v>35710</v>
      </c>
      <c r="I323" s="105" t="str">
        <f>CHOOSE(MONTH(H323),"January","February","March","April","May","June","July","August","September","October","November","December")</f>
        <v>October</v>
      </c>
      <c r="J323" s="51">
        <f ca="1">DATEDIF(H323,TODAY(),"Y")</f>
        <v>19</v>
      </c>
    </row>
    <row r="324" spans="1:10" ht="16.5">
      <c r="A324" s="39" t="s">
        <v>449</v>
      </c>
      <c r="B324" s="46" t="s">
        <v>266</v>
      </c>
      <c r="C324" s="39" t="s">
        <v>930</v>
      </c>
      <c r="D324" s="72">
        <v>616055292</v>
      </c>
      <c r="E324" s="73">
        <v>9192913490</v>
      </c>
      <c r="F324" s="39" t="s">
        <v>256</v>
      </c>
      <c r="G324" s="256">
        <v>63670</v>
      </c>
      <c r="H324" s="255">
        <v>37919</v>
      </c>
      <c r="I324" s="105" t="str">
        <f>CHOOSE(MONTH(H324),"January","February","March","April","May","June","July","August","September","October","November","December")</f>
        <v>October</v>
      </c>
      <c r="J324" s="51">
        <f ca="1">DATEDIF(H324,TODAY(),"Y")</f>
        <v>13</v>
      </c>
    </row>
    <row r="325" spans="1:10" ht="16.5">
      <c r="A325" s="39" t="s">
        <v>770</v>
      </c>
      <c r="B325" s="46" t="s">
        <v>271</v>
      </c>
      <c r="C325" s="39" t="s">
        <v>705</v>
      </c>
      <c r="D325" s="72">
        <v>972086665</v>
      </c>
      <c r="E325" s="73">
        <v>2526007063</v>
      </c>
      <c r="F325" s="39" t="s">
        <v>256</v>
      </c>
      <c r="G325" s="256">
        <v>33970</v>
      </c>
      <c r="H325" s="255">
        <v>38314</v>
      </c>
      <c r="I325" s="105" t="str">
        <f>CHOOSE(MONTH(H325),"January","February","March","April","May","June","July","August","September","October","November","December")</f>
        <v>November</v>
      </c>
      <c r="J325" s="51">
        <f ca="1">DATEDIF(H325,TODAY(),"Y")</f>
        <v>11</v>
      </c>
    </row>
    <row r="326" spans="1:10" ht="16.5">
      <c r="A326" s="39" t="s">
        <v>468</v>
      </c>
      <c r="B326" s="46" t="s">
        <v>271</v>
      </c>
      <c r="C326" s="39" t="s">
        <v>767</v>
      </c>
      <c r="D326" s="72">
        <v>737152868</v>
      </c>
      <c r="E326" s="73">
        <v>9191124357</v>
      </c>
      <c r="F326" s="39" t="s">
        <v>256</v>
      </c>
      <c r="G326" s="256">
        <v>23000</v>
      </c>
      <c r="H326" s="255">
        <v>36474</v>
      </c>
      <c r="I326" s="105" t="str">
        <f>CHOOSE(MONTH(H326),"January","February","March","April","May","June","July","August","September","October","November","December")</f>
        <v>November</v>
      </c>
      <c r="J326" s="51">
        <f ca="1">DATEDIF(H326,TODAY(),"Y")</f>
        <v>17</v>
      </c>
    </row>
    <row r="327" spans="1:10" ht="16.5">
      <c r="A327" s="39" t="s">
        <v>774</v>
      </c>
      <c r="B327" s="46" t="s">
        <v>271</v>
      </c>
      <c r="C327" s="39" t="s">
        <v>856</v>
      </c>
      <c r="D327" s="72">
        <v>709234421</v>
      </c>
      <c r="E327" s="73">
        <v>2523838954</v>
      </c>
      <c r="F327" s="39" t="s">
        <v>256</v>
      </c>
      <c r="G327" s="256">
        <v>68710</v>
      </c>
      <c r="H327" s="255">
        <v>36117</v>
      </c>
      <c r="I327" s="105" t="str">
        <f>CHOOSE(MONTH(H327),"January","February","March","April","May","June","July","August","September","October","November","December")</f>
        <v>November</v>
      </c>
      <c r="J327" s="51">
        <f ca="1">DATEDIF(H327,TODAY(),"Y")</f>
        <v>17</v>
      </c>
    </row>
    <row r="328" spans="1:10" ht="16.5">
      <c r="A328" s="39" t="s">
        <v>306</v>
      </c>
      <c r="B328" s="46" t="s">
        <v>285</v>
      </c>
      <c r="C328" s="39" t="s">
        <v>705</v>
      </c>
      <c r="D328" s="72">
        <v>248820119</v>
      </c>
      <c r="E328" s="73">
        <v>2521711684</v>
      </c>
      <c r="F328" s="39" t="s">
        <v>256</v>
      </c>
      <c r="G328" s="256">
        <v>37612</v>
      </c>
      <c r="H328" s="255">
        <v>36850</v>
      </c>
      <c r="I328" s="105" t="str">
        <f>CHOOSE(MONTH(H328),"January","February","March","April","May","June","July","August","September","October","November","December")</f>
        <v>November</v>
      </c>
      <c r="J328" s="51">
        <f ca="1">DATEDIF(H328,TODAY(),"Y")</f>
        <v>15</v>
      </c>
    </row>
    <row r="329" spans="1:10" ht="16.5">
      <c r="A329" s="39" t="s">
        <v>934</v>
      </c>
      <c r="B329" s="46" t="s">
        <v>285</v>
      </c>
      <c r="C329" s="39" t="s">
        <v>856</v>
      </c>
      <c r="D329" s="72">
        <v>647131956</v>
      </c>
      <c r="E329" s="73">
        <v>2521240785</v>
      </c>
      <c r="F329" s="39" t="s">
        <v>256</v>
      </c>
      <c r="G329" s="256">
        <v>79220</v>
      </c>
      <c r="H329" s="255">
        <v>36479</v>
      </c>
      <c r="I329" s="105" t="str">
        <f>CHOOSE(MONTH(H329),"January","February","March","April","May","June","July","August","September","October","November","December")</f>
        <v>November</v>
      </c>
      <c r="J329" s="51">
        <f ca="1">DATEDIF(H329,TODAY(),"Y")</f>
        <v>16</v>
      </c>
    </row>
    <row r="330" spans="1:10" ht="16.5">
      <c r="A330" s="39" t="s">
        <v>629</v>
      </c>
      <c r="B330" s="46" t="s">
        <v>251</v>
      </c>
      <c r="C330" s="39" t="s">
        <v>417</v>
      </c>
      <c r="D330" s="72">
        <v>105708355</v>
      </c>
      <c r="E330" s="73">
        <v>2524697218</v>
      </c>
      <c r="F330" s="39" t="s">
        <v>256</v>
      </c>
      <c r="G330" s="256">
        <v>31205</v>
      </c>
      <c r="H330" s="255">
        <v>34656</v>
      </c>
      <c r="I330" s="105" t="str">
        <f>CHOOSE(MONTH(H330),"January","February","March","April","May","June","July","August","September","October","November","December")</f>
        <v>November</v>
      </c>
      <c r="J330" s="51">
        <f ca="1">DATEDIF(H330,TODAY(),"Y")</f>
        <v>21</v>
      </c>
    </row>
    <row r="331" spans="1:10" ht="16.5">
      <c r="A331" s="39" t="s">
        <v>682</v>
      </c>
      <c r="B331" s="46" t="s">
        <v>266</v>
      </c>
      <c r="C331" s="39" t="s">
        <v>856</v>
      </c>
      <c r="D331" s="72">
        <v>889210902</v>
      </c>
      <c r="E331" s="73">
        <v>2527422559</v>
      </c>
      <c r="F331" s="39" t="s">
        <v>256</v>
      </c>
      <c r="G331" s="256">
        <v>73190</v>
      </c>
      <c r="H331" s="255">
        <v>35742</v>
      </c>
      <c r="I331" s="105" t="str">
        <f>CHOOSE(MONTH(H331),"January","February","March","April","May","June","July","August","September","October","November","December")</f>
        <v>November</v>
      </c>
      <c r="J331" s="51">
        <f ca="1">DATEDIF(H331,TODAY(),"Y")</f>
        <v>19</v>
      </c>
    </row>
    <row r="332" spans="1:10" ht="16.5">
      <c r="A332" s="39" t="s">
        <v>501</v>
      </c>
      <c r="B332" s="46" t="s">
        <v>271</v>
      </c>
      <c r="C332" s="39" t="s">
        <v>767</v>
      </c>
      <c r="D332" s="72">
        <v>113252240</v>
      </c>
      <c r="E332" s="73">
        <v>2526712695</v>
      </c>
      <c r="F332" s="39" t="s">
        <v>256</v>
      </c>
      <c r="G332" s="256">
        <v>66890</v>
      </c>
      <c r="H332" s="255">
        <v>36849</v>
      </c>
      <c r="I332" s="105" t="str">
        <f>CHOOSE(MONTH(H332),"January","February","March","April","May","June","July","August","September","October","November","December")</f>
        <v>November</v>
      </c>
      <c r="J332" s="51">
        <f ca="1">DATEDIF(H332,TODAY(),"Y")</f>
        <v>15</v>
      </c>
    </row>
    <row r="333" spans="1:10" ht="16.5">
      <c r="A333" s="39" t="s">
        <v>508</v>
      </c>
      <c r="B333" s="46" t="s">
        <v>285</v>
      </c>
      <c r="C333" s="39" t="s">
        <v>767</v>
      </c>
      <c r="D333" s="72">
        <v>828395582</v>
      </c>
      <c r="E333" s="73">
        <v>9198591986</v>
      </c>
      <c r="F333" s="39" t="s">
        <v>256</v>
      </c>
      <c r="G333" s="256">
        <v>63850</v>
      </c>
      <c r="H333" s="255">
        <v>39045</v>
      </c>
      <c r="I333" s="105" t="str">
        <f>CHOOSE(MONTH(H333),"January","February","March","April","May","June","July","August","September","October","November","December")</f>
        <v>November</v>
      </c>
      <c r="J333" s="51">
        <f ca="1">DATEDIF(H333,TODAY(),"Y")</f>
        <v>9</v>
      </c>
    </row>
    <row r="334" spans="1:10" ht="16.5">
      <c r="A334" s="39" t="s">
        <v>789</v>
      </c>
      <c r="B334" s="46" t="s">
        <v>271</v>
      </c>
      <c r="C334" s="39" t="s">
        <v>465</v>
      </c>
      <c r="D334" s="72">
        <v>914326052</v>
      </c>
      <c r="E334" s="73">
        <v>2524249228</v>
      </c>
      <c r="F334" s="39" t="s">
        <v>256</v>
      </c>
      <c r="G334" s="256">
        <v>26890</v>
      </c>
      <c r="H334" s="255">
        <v>34295</v>
      </c>
      <c r="I334" s="105" t="str">
        <f>CHOOSE(MONTH(H334),"January","February","March","April","May","June","July","August","September","October","November","December")</f>
        <v>November</v>
      </c>
      <c r="J334" s="51">
        <f ca="1">DATEDIF(H334,TODAY(),"Y")</f>
        <v>22</v>
      </c>
    </row>
    <row r="335" spans="1:10" ht="16.5">
      <c r="A335" s="39" t="s">
        <v>714</v>
      </c>
      <c r="B335" s="46" t="s">
        <v>266</v>
      </c>
      <c r="C335" s="39" t="s">
        <v>312</v>
      </c>
      <c r="D335" s="72">
        <v>964243524</v>
      </c>
      <c r="E335" s="73">
        <v>2522339143</v>
      </c>
      <c r="F335" s="39" t="s">
        <v>256</v>
      </c>
      <c r="G335" s="256">
        <v>49860</v>
      </c>
      <c r="H335" s="255">
        <v>37953</v>
      </c>
      <c r="I335" s="105" t="str">
        <f>CHOOSE(MONTH(H335),"January","February","March","April","May","June","July","August","September","October","November","December")</f>
        <v>November</v>
      </c>
      <c r="J335" s="51">
        <f ca="1">DATEDIF(H335,TODAY(),"Y")</f>
        <v>12</v>
      </c>
    </row>
    <row r="336" spans="1:10" ht="16.5">
      <c r="A336" s="39" t="s">
        <v>514</v>
      </c>
      <c r="B336" s="46" t="s">
        <v>271</v>
      </c>
      <c r="C336" s="39" t="s">
        <v>705</v>
      </c>
      <c r="D336" s="72">
        <v>803776506</v>
      </c>
      <c r="E336" s="73">
        <v>2526920236</v>
      </c>
      <c r="F336" s="39" t="s">
        <v>256</v>
      </c>
      <c r="G336" s="256">
        <v>55450</v>
      </c>
      <c r="H336" s="255">
        <v>36842</v>
      </c>
      <c r="I336" s="105" t="str">
        <f>CHOOSE(MONTH(H336),"January","February","March","April","May","June","July","August","September","October","November","December")</f>
        <v>November</v>
      </c>
      <c r="J336" s="51">
        <f ca="1">DATEDIF(H336,TODAY(),"Y")</f>
        <v>15</v>
      </c>
    </row>
    <row r="337" spans="1:10" ht="16.5">
      <c r="A337" s="39" t="s">
        <v>516</v>
      </c>
      <c r="B337" s="46" t="s">
        <v>285</v>
      </c>
      <c r="C337" s="39" t="s">
        <v>930</v>
      </c>
      <c r="D337" s="72">
        <v>296641985</v>
      </c>
      <c r="E337" s="73">
        <v>2528217409</v>
      </c>
      <c r="F337" s="39" t="s">
        <v>256</v>
      </c>
      <c r="G337" s="256">
        <v>63850</v>
      </c>
      <c r="H337" s="255">
        <v>35393</v>
      </c>
      <c r="I337" s="105" t="str">
        <f>CHOOSE(MONTH(H337),"January","February","March","April","May","June","July","August","September","October","November","December")</f>
        <v>November</v>
      </c>
      <c r="J337" s="51">
        <f ca="1">DATEDIF(H337,TODAY(),"Y")</f>
        <v>19</v>
      </c>
    </row>
    <row r="338" spans="1:10" ht="16.5">
      <c r="A338" s="39" t="s">
        <v>794</v>
      </c>
      <c r="B338" s="46" t="s">
        <v>285</v>
      </c>
      <c r="C338" s="39" t="s">
        <v>465</v>
      </c>
      <c r="D338" s="72">
        <v>561737107</v>
      </c>
      <c r="E338" s="73">
        <v>9198294156</v>
      </c>
      <c r="F338" s="39" t="s">
        <v>256</v>
      </c>
      <c r="G338" s="256">
        <v>46030</v>
      </c>
      <c r="H338" s="255">
        <v>36837</v>
      </c>
      <c r="I338" s="105" t="str">
        <f>CHOOSE(MONTH(H338),"January","February","March","April","May","June","July","August","September","October","November","December")</f>
        <v>November</v>
      </c>
      <c r="J338" s="51">
        <f ca="1">DATEDIF(H338,TODAY(),"Y")</f>
        <v>16</v>
      </c>
    </row>
    <row r="339" spans="1:10" ht="16.5">
      <c r="A339" s="39" t="s">
        <v>956</v>
      </c>
      <c r="B339" s="46" t="s">
        <v>251</v>
      </c>
      <c r="C339" s="39" t="s">
        <v>705</v>
      </c>
      <c r="D339" s="72">
        <v>551132018</v>
      </c>
      <c r="E339" s="73">
        <v>2525796953</v>
      </c>
      <c r="F339" s="39" t="s">
        <v>256</v>
      </c>
      <c r="G339" s="256">
        <v>46095</v>
      </c>
      <c r="H339" s="255">
        <v>36109</v>
      </c>
      <c r="I339" s="105" t="str">
        <f>CHOOSE(MONTH(H339),"January","February","March","April","May","June","July","August","September","October","November","December")</f>
        <v>November</v>
      </c>
      <c r="J339" s="51">
        <f ca="1">DATEDIF(H339,TODAY(),"Y")</f>
        <v>18</v>
      </c>
    </row>
    <row r="340" spans="1:10" ht="16.5">
      <c r="A340" s="39" t="s">
        <v>808</v>
      </c>
      <c r="B340" s="46" t="s">
        <v>266</v>
      </c>
      <c r="C340" s="39" t="s">
        <v>930</v>
      </c>
      <c r="D340" s="72">
        <v>941937371</v>
      </c>
      <c r="E340" s="73">
        <v>9195060466</v>
      </c>
      <c r="F340" s="39" t="s">
        <v>256</v>
      </c>
      <c r="G340" s="256">
        <v>45110</v>
      </c>
      <c r="H340" s="255">
        <v>34661</v>
      </c>
      <c r="I340" s="105" t="str">
        <f>CHOOSE(MONTH(H340),"January","February","March","April","May","June","July","August","September","October","November","December")</f>
        <v>November</v>
      </c>
      <c r="J340" s="51">
        <f ca="1">DATEDIF(H340,TODAY(),"Y")</f>
        <v>21</v>
      </c>
    </row>
    <row r="341" spans="1:10" ht="16.5">
      <c r="A341" s="39" t="s">
        <v>375</v>
      </c>
      <c r="B341" s="46" t="s">
        <v>285</v>
      </c>
      <c r="C341" s="39" t="s">
        <v>705</v>
      </c>
      <c r="D341" s="72">
        <v>145240921</v>
      </c>
      <c r="E341" s="73">
        <v>2525227751</v>
      </c>
      <c r="F341" s="39" t="s">
        <v>256</v>
      </c>
      <c r="G341" s="256">
        <v>39620</v>
      </c>
      <c r="H341" s="255">
        <v>37207</v>
      </c>
      <c r="I341" s="105" t="str">
        <f>CHOOSE(MONTH(H341),"January","February","March","April","May","June","July","August","September","October","November","December")</f>
        <v>November</v>
      </c>
      <c r="J341" s="51">
        <f ca="1">DATEDIF(H341,TODAY(),"Y")</f>
        <v>14</v>
      </c>
    </row>
    <row r="342" spans="1:10" ht="16.5">
      <c r="A342" s="39" t="s">
        <v>974</v>
      </c>
      <c r="B342" s="46" t="s">
        <v>271</v>
      </c>
      <c r="C342" s="39" t="s">
        <v>767</v>
      </c>
      <c r="D342" s="72">
        <v>880747384</v>
      </c>
      <c r="E342" s="73">
        <v>9195220001</v>
      </c>
      <c r="F342" s="39" t="s">
        <v>256</v>
      </c>
      <c r="G342" s="256">
        <v>10630</v>
      </c>
      <c r="H342" s="255">
        <v>37572</v>
      </c>
      <c r="I342" s="105" t="str">
        <f>CHOOSE(MONTH(H342),"January","February","March","April","May","June","July","August","September","October","November","December")</f>
        <v>November</v>
      </c>
      <c r="J342" s="51">
        <f ca="1">DATEDIF(H342,TODAY(),"Y")</f>
        <v>13</v>
      </c>
    </row>
    <row r="343" spans="1:10" ht="16.5">
      <c r="A343" s="39" t="s">
        <v>818</v>
      </c>
      <c r="B343" s="46" t="s">
        <v>251</v>
      </c>
      <c r="C343" s="39" t="s">
        <v>856</v>
      </c>
      <c r="D343" s="72">
        <v>462461365</v>
      </c>
      <c r="E343" s="73">
        <v>2527126482</v>
      </c>
      <c r="F343" s="39" t="s">
        <v>256</v>
      </c>
      <c r="G343" s="256">
        <v>79730</v>
      </c>
      <c r="H343" s="255">
        <v>39406</v>
      </c>
      <c r="I343" s="105" t="str">
        <f>CHOOSE(MONTH(H343),"January","February","March","April","May","June","July","August","September","October","November","December")</f>
        <v>November</v>
      </c>
      <c r="J343" s="51">
        <f ca="1">DATEDIF(H343,TODAY(),"Y")</f>
        <v>8</v>
      </c>
    </row>
    <row r="344" spans="1:10" ht="16.5">
      <c r="A344" s="39" t="s">
        <v>545</v>
      </c>
      <c r="B344" s="46" t="s">
        <v>271</v>
      </c>
      <c r="C344" s="39" t="s">
        <v>312</v>
      </c>
      <c r="D344" s="72">
        <v>631405285</v>
      </c>
      <c r="E344" s="73">
        <v>2527491979</v>
      </c>
      <c r="F344" s="39" t="s">
        <v>256</v>
      </c>
      <c r="G344" s="256">
        <v>63340</v>
      </c>
      <c r="H344" s="255">
        <v>34651</v>
      </c>
      <c r="I344" s="105" t="str">
        <f>CHOOSE(MONTH(H344),"January","February","March","April","May","June","July","August","September","October","November","December")</f>
        <v>November</v>
      </c>
      <c r="J344" s="51">
        <f ca="1">DATEDIF(H344,TODAY(),"Y")</f>
        <v>21</v>
      </c>
    </row>
    <row r="345" spans="1:10" ht="16.5">
      <c r="A345" s="39" t="s">
        <v>728</v>
      </c>
      <c r="B345" s="46" t="s">
        <v>271</v>
      </c>
      <c r="C345" s="39" t="s">
        <v>856</v>
      </c>
      <c r="D345" s="72">
        <v>277925508</v>
      </c>
      <c r="E345" s="73">
        <v>2526584511</v>
      </c>
      <c r="F345" s="39" t="s">
        <v>256</v>
      </c>
      <c r="G345" s="256">
        <v>72700</v>
      </c>
      <c r="H345" s="255">
        <v>36477</v>
      </c>
      <c r="I345" s="105" t="str">
        <f>CHOOSE(MONTH(H345),"January","February","March","April","May","June","July","August","September","October","November","December")</f>
        <v>November</v>
      </c>
      <c r="J345" s="51">
        <f ca="1">DATEDIF(H345,TODAY(),"Y")</f>
        <v>16</v>
      </c>
    </row>
    <row r="346" spans="1:10" ht="16.5">
      <c r="A346" s="39" t="s">
        <v>549</v>
      </c>
      <c r="B346" s="46" t="s">
        <v>271</v>
      </c>
      <c r="C346" s="39" t="s">
        <v>626</v>
      </c>
      <c r="D346" s="72">
        <v>649234799</v>
      </c>
      <c r="E346" s="73">
        <v>2521588597</v>
      </c>
      <c r="F346" s="39" t="s">
        <v>256</v>
      </c>
      <c r="G346" s="256">
        <v>62480</v>
      </c>
      <c r="H346" s="255">
        <v>36831</v>
      </c>
      <c r="I346" s="105" t="str">
        <f>CHOOSE(MONTH(H346),"January","February","March","April","May","June","July","August","September","October","November","December")</f>
        <v>November</v>
      </c>
      <c r="J346" s="51">
        <f ca="1">DATEDIF(H346,TODAY(),"Y")</f>
        <v>16</v>
      </c>
    </row>
    <row r="347" spans="1:10" ht="16.5">
      <c r="A347" s="39" t="s">
        <v>902</v>
      </c>
      <c r="B347" s="46" t="s">
        <v>285</v>
      </c>
      <c r="C347" s="39" t="s">
        <v>465</v>
      </c>
      <c r="D347" s="72">
        <v>565952209</v>
      </c>
      <c r="E347" s="73">
        <v>2522889972</v>
      </c>
      <c r="F347" s="39" t="s">
        <v>256</v>
      </c>
      <c r="G347" s="256">
        <v>43320</v>
      </c>
      <c r="H347" s="255">
        <v>35021</v>
      </c>
      <c r="I347" s="105" t="str">
        <f>CHOOSE(MONTH(H347),"January","February","March","April","May","June","July","August","September","October","November","December")</f>
        <v>November</v>
      </c>
      <c r="J347" s="51">
        <f ca="1">DATEDIF(H347,TODAY(),"Y")</f>
        <v>20</v>
      </c>
    </row>
    <row r="348" spans="1:10" ht="16.5">
      <c r="A348" s="39" t="s">
        <v>827</v>
      </c>
      <c r="B348" s="46" t="s">
        <v>285</v>
      </c>
      <c r="C348" s="39" t="s">
        <v>312</v>
      </c>
      <c r="D348" s="72">
        <v>951516517</v>
      </c>
      <c r="E348" s="73">
        <v>2524936058</v>
      </c>
      <c r="F348" s="39" t="s">
        <v>256</v>
      </c>
      <c r="G348" s="256">
        <v>73830</v>
      </c>
      <c r="H348" s="255">
        <v>37583</v>
      </c>
      <c r="I348" s="105" t="str">
        <f>CHOOSE(MONTH(H348),"January","February","March","April","May","June","July","August","September","October","November","December")</f>
        <v>November</v>
      </c>
      <c r="J348" s="51">
        <f ca="1">DATEDIF(H348,TODAY(),"Y")</f>
        <v>13</v>
      </c>
    </row>
    <row r="349" spans="1:10" ht="16.5">
      <c r="A349" s="39" t="s">
        <v>1029</v>
      </c>
      <c r="B349" s="46" t="s">
        <v>271</v>
      </c>
      <c r="C349" s="39" t="s">
        <v>465</v>
      </c>
      <c r="D349" s="72">
        <v>676030562</v>
      </c>
      <c r="E349" s="73">
        <v>9198253211</v>
      </c>
      <c r="F349" s="39" t="s">
        <v>256</v>
      </c>
      <c r="G349" s="256">
        <v>88000</v>
      </c>
      <c r="H349" s="255">
        <v>36856</v>
      </c>
      <c r="I349" s="105" t="str">
        <f>CHOOSE(MONTH(H349),"January","February","March","April","May","June","July","August","September","October","November","December")</f>
        <v>November</v>
      </c>
      <c r="J349" s="51">
        <f ca="1">DATEDIF(H349,TODAY(),"Y")</f>
        <v>15</v>
      </c>
    </row>
    <row r="350" spans="1:10" ht="16.5">
      <c r="A350" s="45" t="s">
        <v>282</v>
      </c>
      <c r="B350" s="46" t="s">
        <v>271</v>
      </c>
      <c r="C350" s="39" t="s">
        <v>465</v>
      </c>
      <c r="D350" s="72">
        <v>380653169</v>
      </c>
      <c r="E350" s="73">
        <v>9194743535</v>
      </c>
      <c r="F350" s="39" t="s">
        <v>256</v>
      </c>
      <c r="G350" s="256">
        <v>48490</v>
      </c>
      <c r="H350" s="255">
        <v>38314</v>
      </c>
      <c r="I350" s="105" t="str">
        <f>CHOOSE(MONTH(H350),"January","February","March","April","May","June","July","August","September","October","November","December")</f>
        <v>November</v>
      </c>
      <c r="J350" s="51">
        <f ca="1">DATEDIF(H350,TODAY(),"Y")</f>
        <v>11</v>
      </c>
    </row>
    <row r="351" spans="1:10" ht="16.5">
      <c r="A351" s="39" t="s">
        <v>353</v>
      </c>
      <c r="B351" s="46" t="s">
        <v>271</v>
      </c>
      <c r="C351" s="39" t="s">
        <v>750</v>
      </c>
      <c r="D351" s="72">
        <v>967826310</v>
      </c>
      <c r="E351" s="73">
        <v>9196100410</v>
      </c>
      <c r="F351" s="39" t="s">
        <v>256</v>
      </c>
      <c r="G351" s="256">
        <v>25830</v>
      </c>
      <c r="H351" s="255">
        <v>35388</v>
      </c>
      <c r="I351" s="105" t="str">
        <f>CHOOSE(MONTH(H351),"January","February","March","April","May","June","July","August","September","October","November","December")</f>
        <v>November</v>
      </c>
      <c r="J351" s="51">
        <f ca="1">DATEDIF(H351,TODAY(),"Y")</f>
        <v>19</v>
      </c>
    </row>
    <row r="352" spans="1:10" ht="16.5">
      <c r="A352" s="39" t="s">
        <v>1007</v>
      </c>
      <c r="B352" s="46" t="s">
        <v>285</v>
      </c>
      <c r="C352" s="39" t="s">
        <v>705</v>
      </c>
      <c r="D352" s="72">
        <v>868128171</v>
      </c>
      <c r="E352" s="73">
        <v>2525048978</v>
      </c>
      <c r="F352" s="39" t="s">
        <v>256</v>
      </c>
      <c r="G352" s="256">
        <v>29420</v>
      </c>
      <c r="H352" s="255">
        <v>38685</v>
      </c>
      <c r="I352" s="105" t="str">
        <f>CHOOSE(MONTH(H352),"January","February","March","April","May","June","July","August","September","October","November","December")</f>
        <v>November</v>
      </c>
      <c r="J352" s="51">
        <f ca="1">DATEDIF(H352,TODAY(),"Y")</f>
        <v>10</v>
      </c>
    </row>
    <row r="353" spans="1:10" ht="16.5">
      <c r="A353" s="39" t="s">
        <v>1470</v>
      </c>
      <c r="B353" s="46" t="s">
        <v>271</v>
      </c>
      <c r="C353" s="39" t="s">
        <v>417</v>
      </c>
      <c r="D353" s="72">
        <v>707553376</v>
      </c>
      <c r="E353" s="73">
        <v>9194194193</v>
      </c>
      <c r="F353" s="39" t="s">
        <v>256</v>
      </c>
      <c r="G353" s="256">
        <v>30920</v>
      </c>
      <c r="H353" s="255">
        <v>37200</v>
      </c>
      <c r="I353" s="105" t="str">
        <f>CHOOSE(MONTH(H353),"January","February","March","April","May","June","July","August","September","October","November","December")</f>
        <v>November</v>
      </c>
      <c r="J353" s="51">
        <f ca="1">DATEDIF(H353,TODAY(),"Y")</f>
        <v>15</v>
      </c>
    </row>
    <row r="354" spans="1:10" ht="16.5">
      <c r="A354" s="39" t="s">
        <v>599</v>
      </c>
      <c r="B354" s="46" t="s">
        <v>285</v>
      </c>
      <c r="C354" s="39" t="s">
        <v>626</v>
      </c>
      <c r="D354" s="72">
        <v>422957475</v>
      </c>
      <c r="E354" s="73">
        <v>2524273090</v>
      </c>
      <c r="F354" s="39" t="s">
        <v>256</v>
      </c>
      <c r="G354" s="256">
        <v>79150</v>
      </c>
      <c r="H354" s="255">
        <v>36479</v>
      </c>
      <c r="I354" s="105" t="str">
        <f>CHOOSE(MONTH(H354),"January","February","March","April","May","June","July","August","September","October","November","December")</f>
        <v>November</v>
      </c>
      <c r="J354" s="51">
        <f ca="1">DATEDIF(H354,TODAY(),"Y")</f>
        <v>16</v>
      </c>
    </row>
    <row r="355" spans="1:10" ht="16.5">
      <c r="A355" s="39" t="s">
        <v>670</v>
      </c>
      <c r="B355" s="46" t="s">
        <v>271</v>
      </c>
      <c r="C355" s="39" t="s">
        <v>391</v>
      </c>
      <c r="D355" s="72">
        <v>690374765</v>
      </c>
      <c r="E355" s="73">
        <v>2525786813</v>
      </c>
      <c r="F355" s="39" t="s">
        <v>256</v>
      </c>
      <c r="G355" s="256">
        <v>79770</v>
      </c>
      <c r="H355" s="255">
        <v>37222</v>
      </c>
      <c r="I355" s="105" t="str">
        <f>CHOOSE(MONTH(H355),"January","February","March","April","May","June","July","August","September","October","November","December")</f>
        <v>November</v>
      </c>
      <c r="J355" s="51">
        <f ca="1">DATEDIF(H355,TODAY(),"Y")</f>
        <v>14</v>
      </c>
    </row>
    <row r="356" spans="1:10" ht="16.5">
      <c r="A356" s="39" t="s">
        <v>672</v>
      </c>
      <c r="B356" s="46" t="s">
        <v>285</v>
      </c>
      <c r="C356" s="39" t="s">
        <v>856</v>
      </c>
      <c r="D356" s="72">
        <v>750722934</v>
      </c>
      <c r="E356" s="73">
        <v>2523631883</v>
      </c>
      <c r="F356" s="39" t="s">
        <v>256</v>
      </c>
      <c r="G356" s="256">
        <v>39300</v>
      </c>
      <c r="H356" s="255">
        <v>34301</v>
      </c>
      <c r="I356" s="105" t="str">
        <f>CHOOSE(MONTH(H356),"January","February","March","April","May","June","July","August","September","October","November","December")</f>
        <v>November</v>
      </c>
      <c r="J356" s="51">
        <f ca="1">DATEDIF(H356,TODAY(),"Y")</f>
        <v>22</v>
      </c>
    </row>
    <row r="357" spans="1:10" ht="16.5">
      <c r="A357" s="39" t="s">
        <v>379</v>
      </c>
      <c r="B357" s="46" t="s">
        <v>280</v>
      </c>
      <c r="C357" s="39" t="s">
        <v>705</v>
      </c>
      <c r="D357" s="72">
        <v>542214575</v>
      </c>
      <c r="E357" s="73">
        <v>2522172913</v>
      </c>
      <c r="F357" s="39" t="s">
        <v>256</v>
      </c>
      <c r="G357" s="256">
        <v>57410</v>
      </c>
      <c r="H357" s="255">
        <v>36486</v>
      </c>
      <c r="I357" s="105" t="str">
        <f>CHOOSE(MONTH(H357),"January","February","March","April","May","June","July","August","September","October","November","December")</f>
        <v>November</v>
      </c>
      <c r="J357" s="51">
        <f ca="1">DATEDIF(H357,TODAY(),"Y")</f>
        <v>16</v>
      </c>
    </row>
    <row r="358" spans="1:10" ht="16.5">
      <c r="A358" s="39" t="s">
        <v>610</v>
      </c>
      <c r="B358" s="46" t="s">
        <v>251</v>
      </c>
      <c r="C358" s="39" t="s">
        <v>417</v>
      </c>
      <c r="D358" s="72">
        <v>212136062</v>
      </c>
      <c r="E358" s="73">
        <v>9197226463</v>
      </c>
      <c r="F358" s="39" t="s">
        <v>256</v>
      </c>
      <c r="G358" s="256">
        <v>44260</v>
      </c>
      <c r="H358" s="255">
        <v>37582</v>
      </c>
      <c r="I358" s="105" t="str">
        <f>CHOOSE(MONTH(H358),"January","February","March","April","May","June","July","August","September","October","November","December")</f>
        <v>November</v>
      </c>
      <c r="J358" s="51">
        <f ca="1">DATEDIF(H358,TODAY(),"Y")</f>
        <v>13</v>
      </c>
    </row>
    <row r="359" spans="1:10" ht="16.5">
      <c r="A359" s="39" t="s">
        <v>763</v>
      </c>
      <c r="B359" s="46" t="s">
        <v>285</v>
      </c>
      <c r="C359" s="39" t="s">
        <v>930</v>
      </c>
      <c r="D359" s="72">
        <v>121173068</v>
      </c>
      <c r="E359" s="73">
        <v>9196778600</v>
      </c>
      <c r="F359" s="39" t="s">
        <v>256</v>
      </c>
      <c r="G359" s="256">
        <v>68410</v>
      </c>
      <c r="H359" s="255">
        <v>35735</v>
      </c>
      <c r="I359" s="105" t="str">
        <f>CHOOSE(MONTH(H359),"January","February","March","April","May","June","July","August","September","October","November","December")</f>
        <v>November</v>
      </c>
      <c r="J359" s="51">
        <f ca="1">DATEDIF(H359,TODAY(),"Y")</f>
        <v>19</v>
      </c>
    </row>
    <row r="360" spans="1:10" ht="16.5">
      <c r="A360" s="39" t="s">
        <v>849</v>
      </c>
      <c r="B360" s="46" t="s">
        <v>285</v>
      </c>
      <c r="C360" s="39" t="s">
        <v>626</v>
      </c>
      <c r="D360" s="72">
        <v>424800509</v>
      </c>
      <c r="E360" s="73">
        <v>2523986051</v>
      </c>
      <c r="F360" s="39" t="s">
        <v>256</v>
      </c>
      <c r="G360" s="256">
        <v>25120</v>
      </c>
      <c r="H360" s="255">
        <v>41590</v>
      </c>
      <c r="I360" s="105" t="str">
        <f>CHOOSE(MONTH(H360),"January","February","March","April","May","June","July","August","September","October","November","December")</f>
        <v>November</v>
      </c>
      <c r="J360" s="51">
        <f ca="1">DATEDIF(H360,TODAY(),"Y")</f>
        <v>2</v>
      </c>
    </row>
    <row r="361" spans="1:10" ht="16.5">
      <c r="A361" s="39" t="s">
        <v>624</v>
      </c>
      <c r="B361" s="46" t="s">
        <v>285</v>
      </c>
      <c r="C361" s="39" t="s">
        <v>381</v>
      </c>
      <c r="D361" s="72">
        <v>405297884</v>
      </c>
      <c r="E361" s="73">
        <v>2524747044</v>
      </c>
      <c r="F361" s="39" t="s">
        <v>256</v>
      </c>
      <c r="G361" s="256">
        <v>35620</v>
      </c>
      <c r="H361" s="255">
        <v>34297</v>
      </c>
      <c r="I361" s="105" t="str">
        <f>CHOOSE(MONTH(H361),"January","February","March","April","May","June","July","August","September","October","November","December")</f>
        <v>November</v>
      </c>
      <c r="J361" s="51">
        <f ca="1">DATEDIF(H361,TODAY(),"Y")</f>
        <v>22</v>
      </c>
    </row>
    <row r="362" spans="1:10" ht="16.5">
      <c r="A362" s="39" t="s">
        <v>932</v>
      </c>
      <c r="B362" s="46" t="s">
        <v>245</v>
      </c>
      <c r="C362" s="39" t="s">
        <v>391</v>
      </c>
      <c r="D362" s="72">
        <v>719937584</v>
      </c>
      <c r="E362" s="73">
        <v>9191653055</v>
      </c>
      <c r="F362" s="39" t="s">
        <v>256</v>
      </c>
      <c r="G362" s="256">
        <v>63330</v>
      </c>
      <c r="H362" s="255">
        <v>38695</v>
      </c>
      <c r="I362" s="105" t="str">
        <f>CHOOSE(MONTH(H362),"January","February","March","April","May","June","July","August","September","October","November","December")</f>
        <v>December</v>
      </c>
      <c r="J362" s="51">
        <f ca="1">DATEDIF(H362,TODAY(),"Y")</f>
        <v>10</v>
      </c>
    </row>
    <row r="363" spans="1:10" ht="16.5">
      <c r="A363" s="39" t="s">
        <v>936</v>
      </c>
      <c r="B363" s="46" t="s">
        <v>285</v>
      </c>
      <c r="C363" s="39" t="s">
        <v>856</v>
      </c>
      <c r="D363" s="72">
        <v>323701315</v>
      </c>
      <c r="E363" s="73">
        <v>9194479196</v>
      </c>
      <c r="F363" s="39" t="s">
        <v>256</v>
      </c>
      <c r="G363" s="256">
        <v>46340</v>
      </c>
      <c r="H363" s="255">
        <v>36875</v>
      </c>
      <c r="I363" s="105" t="str">
        <f>CHOOSE(MONTH(H363),"January","February","March","April","May","June","July","August","September","October","November","December")</f>
        <v>December</v>
      </c>
      <c r="J363" s="51">
        <f ca="1">DATEDIF(H363,TODAY(),"Y")</f>
        <v>15</v>
      </c>
    </row>
    <row r="364" spans="1:10" ht="16.5">
      <c r="A364" s="39" t="s">
        <v>937</v>
      </c>
      <c r="B364" s="46" t="s">
        <v>285</v>
      </c>
      <c r="C364" s="39" t="s">
        <v>465</v>
      </c>
      <c r="D364" s="72">
        <v>276980518</v>
      </c>
      <c r="E364" s="73">
        <v>9195267252</v>
      </c>
      <c r="F364" s="39" t="s">
        <v>256</v>
      </c>
      <c r="G364" s="256">
        <v>64090</v>
      </c>
      <c r="H364" s="255">
        <v>34696</v>
      </c>
      <c r="I364" s="105" t="str">
        <f>CHOOSE(MONTH(H364),"January","February","March","April","May","June","July","August","September","October","November","December")</f>
        <v>December</v>
      </c>
      <c r="J364" s="51">
        <f ca="1">DATEDIF(H364,TODAY(),"Y")</f>
        <v>21</v>
      </c>
    </row>
    <row r="365" spans="1:10" ht="16.5">
      <c r="A365" s="39" t="s">
        <v>713</v>
      </c>
      <c r="B365" s="46" t="s">
        <v>271</v>
      </c>
      <c r="C365" s="39" t="s">
        <v>705</v>
      </c>
      <c r="D365" s="72">
        <v>839899522</v>
      </c>
      <c r="E365" s="73">
        <v>9195512521</v>
      </c>
      <c r="F365" s="39" t="s">
        <v>256</v>
      </c>
      <c r="G365" s="256">
        <v>21668</v>
      </c>
      <c r="H365" s="255">
        <v>36869</v>
      </c>
      <c r="I365" s="105" t="str">
        <f>CHOOSE(MONTH(H365),"January","February","March","April","May","June","July","August","September","October","November","December")</f>
        <v>December</v>
      </c>
      <c r="J365" s="51">
        <f ca="1">DATEDIF(H365,TODAY(),"Y")</f>
        <v>15</v>
      </c>
    </row>
    <row r="366" spans="1:10" ht="16.5">
      <c r="A366" s="39" t="s">
        <v>494</v>
      </c>
      <c r="B366" s="46" t="s">
        <v>280</v>
      </c>
      <c r="C366" s="39" t="s">
        <v>465</v>
      </c>
      <c r="D366" s="72">
        <v>180095803</v>
      </c>
      <c r="E366" s="73">
        <v>2526503334</v>
      </c>
      <c r="F366" s="39" t="s">
        <v>256</v>
      </c>
      <c r="G366" s="256">
        <v>61890</v>
      </c>
      <c r="H366" s="255">
        <v>39437</v>
      </c>
      <c r="I366" s="105" t="str">
        <f>CHOOSE(MONTH(H366),"January","February","March","April","May","June","July","August","September","October","November","December")</f>
        <v>December</v>
      </c>
      <c r="J366" s="51">
        <f ca="1">DATEDIF(H366,TODAY(),"Y")</f>
        <v>8</v>
      </c>
    </row>
    <row r="367" spans="1:10" ht="16.5">
      <c r="A367" s="39" t="s">
        <v>382</v>
      </c>
      <c r="B367" s="46" t="s">
        <v>285</v>
      </c>
      <c r="C367" s="39" t="s">
        <v>767</v>
      </c>
      <c r="D367" s="72">
        <v>945160038</v>
      </c>
      <c r="E367" s="73">
        <v>2527909707</v>
      </c>
      <c r="F367" s="39" t="s">
        <v>256</v>
      </c>
      <c r="G367" s="256">
        <v>45105</v>
      </c>
      <c r="H367" s="255">
        <v>36501</v>
      </c>
      <c r="I367" s="105" t="str">
        <f>CHOOSE(MONTH(H367),"January","February","March","April","May","June","July","August","September","October","November","December")</f>
        <v>December</v>
      </c>
      <c r="J367" s="51">
        <f ca="1">DATEDIF(H367,TODAY(),"Y")</f>
        <v>16</v>
      </c>
    </row>
    <row r="368" spans="1:10" ht="16.5">
      <c r="A368" s="39" t="s">
        <v>795</v>
      </c>
      <c r="B368" s="46" t="s">
        <v>245</v>
      </c>
      <c r="C368" s="39" t="s">
        <v>465</v>
      </c>
      <c r="D368" s="72">
        <v>353414196</v>
      </c>
      <c r="E368" s="73">
        <v>2528159919</v>
      </c>
      <c r="F368" s="39" t="s">
        <v>256</v>
      </c>
      <c r="G368" s="256">
        <v>80729</v>
      </c>
      <c r="H368" s="255">
        <v>39417</v>
      </c>
      <c r="I368" s="105" t="str">
        <f>CHOOSE(MONTH(H368),"January","February","March","April","May","June","July","August","September","October","November","December")</f>
        <v>December</v>
      </c>
      <c r="J368" s="51">
        <f ca="1">DATEDIF(H368,TODAY(),"Y")</f>
        <v>8</v>
      </c>
    </row>
    <row r="369" spans="1:10" ht="16.5">
      <c r="A369" s="45" t="s">
        <v>278</v>
      </c>
      <c r="B369" s="46" t="s">
        <v>271</v>
      </c>
      <c r="C369" s="39" t="s">
        <v>767</v>
      </c>
      <c r="D369" s="72">
        <v>313358310</v>
      </c>
      <c r="E369" s="73">
        <v>9195442791</v>
      </c>
      <c r="F369" s="39" t="s">
        <v>256</v>
      </c>
      <c r="G369" s="256">
        <v>66840</v>
      </c>
      <c r="H369" s="255">
        <v>37608</v>
      </c>
      <c r="I369" s="105" t="str">
        <f>CHOOSE(MONTH(H369),"January","February","March","April","May","June","July","August","September","October","November","December")</f>
        <v>December</v>
      </c>
      <c r="J369" s="51">
        <f ca="1">DATEDIF(H369,TODAY(),"Y")</f>
        <v>13</v>
      </c>
    </row>
    <row r="370" spans="1:10" ht="16.5">
      <c r="A370" s="39" t="s">
        <v>529</v>
      </c>
      <c r="B370" s="46" t="s">
        <v>245</v>
      </c>
      <c r="C370" s="39" t="s">
        <v>767</v>
      </c>
      <c r="D370" s="72">
        <v>828715080</v>
      </c>
      <c r="E370" s="73">
        <v>2523613559</v>
      </c>
      <c r="F370" s="39" t="s">
        <v>256</v>
      </c>
      <c r="G370" s="256">
        <v>48010</v>
      </c>
      <c r="H370" s="255">
        <v>39056</v>
      </c>
      <c r="I370" s="105" t="str">
        <f>CHOOSE(MONTH(H370),"January","February","March","April","May","June","July","August","September","October","November","December")</f>
        <v>December</v>
      </c>
      <c r="J370" s="51">
        <f ca="1">DATEDIF(H370,TODAY(),"Y")</f>
        <v>9</v>
      </c>
    </row>
    <row r="371" spans="1:10" ht="16.5">
      <c r="A371" s="39" t="s">
        <v>968</v>
      </c>
      <c r="B371" s="46" t="s">
        <v>251</v>
      </c>
      <c r="C371" s="39" t="s">
        <v>626</v>
      </c>
      <c r="D371" s="72">
        <v>634954970</v>
      </c>
      <c r="E371" s="73">
        <v>9194900864</v>
      </c>
      <c r="F371" s="39" t="s">
        <v>256</v>
      </c>
      <c r="G371" s="256">
        <v>77680</v>
      </c>
      <c r="H371" s="255">
        <v>37242</v>
      </c>
      <c r="I371" s="105" t="str">
        <f>CHOOSE(MONTH(H371),"January","February","March","April","May","June","July","August","September","October","November","December")</f>
        <v>December</v>
      </c>
      <c r="J371" s="51">
        <f ca="1">DATEDIF(H371,TODAY(),"Y")</f>
        <v>14</v>
      </c>
    </row>
    <row r="372" spans="1:10" ht="16.5">
      <c r="A372" s="39" t="s">
        <v>812</v>
      </c>
      <c r="B372" s="46" t="s">
        <v>285</v>
      </c>
      <c r="C372" s="39" t="s">
        <v>930</v>
      </c>
      <c r="D372" s="72">
        <v>992674973</v>
      </c>
      <c r="E372" s="73">
        <v>2526088101</v>
      </c>
      <c r="F372" s="39" t="s">
        <v>256</v>
      </c>
      <c r="G372" s="256">
        <v>31255</v>
      </c>
      <c r="H372" s="255">
        <v>39447</v>
      </c>
      <c r="I372" s="105" t="str">
        <f>CHOOSE(MONTH(H372),"January","February","March","April","May","June","July","August","September","October","November","December")</f>
        <v>December</v>
      </c>
      <c r="J372" s="51">
        <f ca="1">DATEDIF(H372,TODAY(),"Y")</f>
        <v>8</v>
      </c>
    </row>
    <row r="373" spans="1:10" ht="16.5">
      <c r="A373" s="39" t="s">
        <v>645</v>
      </c>
      <c r="B373" s="46" t="s">
        <v>285</v>
      </c>
      <c r="C373" s="39" t="s">
        <v>767</v>
      </c>
      <c r="D373" s="72">
        <v>302170290</v>
      </c>
      <c r="E373" s="73">
        <v>9191971988</v>
      </c>
      <c r="F373" s="39" t="s">
        <v>256</v>
      </c>
      <c r="G373" s="256">
        <v>23560</v>
      </c>
      <c r="H373" s="255">
        <v>36882</v>
      </c>
      <c r="I373" s="105" t="str">
        <f>CHOOSE(MONTH(H373),"January","February","March","April","May","June","July","August","September","October","November","December")</f>
        <v>December</v>
      </c>
      <c r="J373" s="51">
        <f ca="1">DATEDIF(H373,TODAY(),"Y")</f>
        <v>15</v>
      </c>
    </row>
    <row r="374" spans="1:10" ht="16.5">
      <c r="A374" s="39" t="s">
        <v>539</v>
      </c>
      <c r="B374" s="46" t="s">
        <v>285</v>
      </c>
      <c r="C374" s="39" t="s">
        <v>618</v>
      </c>
      <c r="D374" s="72">
        <v>214234804</v>
      </c>
      <c r="E374" s="73">
        <v>2528908079</v>
      </c>
      <c r="F374" s="39" t="s">
        <v>256</v>
      </c>
      <c r="G374" s="256">
        <v>27710</v>
      </c>
      <c r="H374" s="255">
        <v>41271</v>
      </c>
      <c r="I374" s="105" t="str">
        <f>CHOOSE(MONTH(H374),"January","February","March","April","May","June","July","August","September","October","November","December")</f>
        <v>December</v>
      </c>
      <c r="J374" s="51">
        <f ca="1">DATEDIF(H374,TODAY(),"Y")</f>
        <v>3</v>
      </c>
    </row>
    <row r="375" spans="1:10" ht="16.5">
      <c r="A375" s="39" t="s">
        <v>978</v>
      </c>
      <c r="B375" s="46" t="s">
        <v>285</v>
      </c>
      <c r="C375" s="39" t="s">
        <v>930</v>
      </c>
      <c r="D375" s="72">
        <v>212558012</v>
      </c>
      <c r="E375" s="73">
        <v>2526860208</v>
      </c>
      <c r="F375" s="39" t="s">
        <v>256</v>
      </c>
      <c r="G375" s="256">
        <v>17912</v>
      </c>
      <c r="H375" s="255">
        <v>35785</v>
      </c>
      <c r="I375" s="105" t="str">
        <f>CHOOSE(MONTH(H375),"January","February","March","April","May","June","July","August","September","October","November","December")</f>
        <v>December</v>
      </c>
      <c r="J375" s="51">
        <f ca="1">DATEDIF(H375,TODAY(),"Y")</f>
        <v>18</v>
      </c>
    </row>
    <row r="376" spans="1:10" ht="16.5">
      <c r="A376" s="39" t="s">
        <v>432</v>
      </c>
      <c r="B376" s="46" t="s">
        <v>266</v>
      </c>
      <c r="C376" s="39" t="s">
        <v>465</v>
      </c>
      <c r="D376" s="72">
        <v>590896401</v>
      </c>
      <c r="E376" s="73">
        <v>2523122603</v>
      </c>
      <c r="F376" s="39" t="s">
        <v>256</v>
      </c>
      <c r="G376" s="256">
        <v>52940</v>
      </c>
      <c r="H376" s="255">
        <v>36130</v>
      </c>
      <c r="I376" s="105" t="str">
        <f>CHOOSE(MONTH(H376),"January","February","March","April","May","June","July","August","September","October","November","December")</f>
        <v>December</v>
      </c>
      <c r="J376" s="51">
        <f ca="1">DATEDIF(H376,TODAY(),"Y")</f>
        <v>17</v>
      </c>
    </row>
    <row r="377" spans="1:10" ht="16.5">
      <c r="A377" s="39" t="s">
        <v>981</v>
      </c>
      <c r="B377" s="46" t="s">
        <v>245</v>
      </c>
      <c r="C377" s="39" t="s">
        <v>296</v>
      </c>
      <c r="D377" s="72">
        <v>515543972</v>
      </c>
      <c r="E377" s="73">
        <v>9193539483</v>
      </c>
      <c r="F377" s="39" t="s">
        <v>256</v>
      </c>
      <c r="G377" s="256">
        <v>10700</v>
      </c>
      <c r="H377" s="255">
        <v>37613</v>
      </c>
      <c r="I377" s="105" t="str">
        <f>CHOOSE(MONTH(H377),"January","February","March","April","May","June","July","August","September","October","November","December")</f>
        <v>December</v>
      </c>
      <c r="J377" s="51">
        <f ca="1">DATEDIF(H377,TODAY(),"Y")</f>
        <v>13</v>
      </c>
    </row>
    <row r="378" spans="1:10" ht="16.5">
      <c r="A378" s="39" t="s">
        <v>727</v>
      </c>
      <c r="B378" s="46" t="s">
        <v>285</v>
      </c>
      <c r="C378" s="39" t="s">
        <v>930</v>
      </c>
      <c r="D378" s="72">
        <v>892040187</v>
      </c>
      <c r="E378" s="73">
        <v>2524877123</v>
      </c>
      <c r="F378" s="39" t="s">
        <v>256</v>
      </c>
      <c r="G378" s="256">
        <v>52490</v>
      </c>
      <c r="H378" s="255">
        <v>36871</v>
      </c>
      <c r="I378" s="105" t="str">
        <f>CHOOSE(MONTH(H378),"January","February","March","April","May","June","July","August","September","October","November","December")</f>
        <v>December</v>
      </c>
      <c r="J378" s="51">
        <f ca="1">DATEDIF(H378,TODAY(),"Y")</f>
        <v>15</v>
      </c>
    </row>
    <row r="379" spans="1:10" ht="16.5">
      <c r="A379" s="39" t="s">
        <v>691</v>
      </c>
      <c r="B379" s="46" t="s">
        <v>285</v>
      </c>
      <c r="C379" s="39" t="s">
        <v>705</v>
      </c>
      <c r="D379" s="72">
        <v>959568761</v>
      </c>
      <c r="E379" s="73">
        <v>9194744493</v>
      </c>
      <c r="F379" s="39" t="s">
        <v>256</v>
      </c>
      <c r="G379" s="256">
        <v>42990</v>
      </c>
      <c r="H379" s="255">
        <v>37239</v>
      </c>
      <c r="I379" s="105" t="str">
        <f>CHOOSE(MONTH(H379),"January","February","March","April","May","June","July","August","September","October","November","December")</f>
        <v>December</v>
      </c>
      <c r="J379" s="51">
        <f ca="1">DATEDIF(H379,TODAY(),"Y")</f>
        <v>14</v>
      </c>
    </row>
    <row r="380" spans="1:10" ht="16.5">
      <c r="A380" s="39" t="s">
        <v>402</v>
      </c>
      <c r="B380" s="46" t="s">
        <v>271</v>
      </c>
      <c r="C380" s="39" t="s">
        <v>465</v>
      </c>
      <c r="D380" s="72">
        <v>387517948</v>
      </c>
      <c r="E380" s="73">
        <v>9198213594</v>
      </c>
      <c r="F380" s="39" t="s">
        <v>256</v>
      </c>
      <c r="G380" s="256">
        <v>44530</v>
      </c>
      <c r="H380" s="255">
        <v>37605</v>
      </c>
      <c r="I380" s="105" t="str">
        <f>CHOOSE(MONTH(H380),"January","February","March","April","May","June","July","August","September","October","November","December")</f>
        <v>December</v>
      </c>
      <c r="J380" s="51">
        <f ca="1">DATEDIF(H380,TODAY(),"Y")</f>
        <v>13</v>
      </c>
    </row>
    <row r="381" spans="1:10" ht="16.5">
      <c r="A381" s="39" t="s">
        <v>1028</v>
      </c>
      <c r="B381" s="46" t="s">
        <v>271</v>
      </c>
      <c r="C381" s="39" t="s">
        <v>465</v>
      </c>
      <c r="D381" s="72">
        <v>147724014</v>
      </c>
      <c r="E381" s="73">
        <v>9192212512</v>
      </c>
      <c r="F381" s="39" t="s">
        <v>256</v>
      </c>
      <c r="G381" s="256">
        <v>48740</v>
      </c>
      <c r="H381" s="255">
        <v>39054</v>
      </c>
      <c r="I381" s="105" t="str">
        <f>CHOOSE(MONTH(H381),"January","February","March","April","May","June","July","August","September","October","November","December")</f>
        <v>December</v>
      </c>
      <c r="J381" s="51">
        <f ca="1">DATEDIF(H381,TODAY(),"Y")</f>
        <v>9</v>
      </c>
    </row>
    <row r="382" spans="1:10" ht="16.5">
      <c r="A382" s="39" t="s">
        <v>442</v>
      </c>
      <c r="B382" s="46" t="s">
        <v>251</v>
      </c>
      <c r="C382" s="39" t="s">
        <v>856</v>
      </c>
      <c r="D382" s="72">
        <v>593584018</v>
      </c>
      <c r="E382" s="73">
        <v>9194626281</v>
      </c>
      <c r="F382" s="39" t="s">
        <v>256</v>
      </c>
      <c r="G382" s="256">
        <v>44150</v>
      </c>
      <c r="H382" s="255">
        <v>36868</v>
      </c>
      <c r="I382" s="105" t="str">
        <f>CHOOSE(MONTH(H382),"January","February","March","April","May","June","July","August","September","October","November","December")</f>
        <v>December</v>
      </c>
      <c r="J382" s="51">
        <f ca="1">DATEDIF(H382,TODAY(),"Y")</f>
        <v>15</v>
      </c>
    </row>
    <row r="383" spans="1:10" ht="16.5">
      <c r="A383" s="39" t="s">
        <v>348</v>
      </c>
      <c r="B383" s="46" t="s">
        <v>285</v>
      </c>
      <c r="C383" s="39" t="s">
        <v>465</v>
      </c>
      <c r="D383" s="72">
        <v>597131266</v>
      </c>
      <c r="E383" s="73">
        <v>9195043141</v>
      </c>
      <c r="F383" s="39" t="s">
        <v>256</v>
      </c>
      <c r="G383" s="256">
        <v>39000</v>
      </c>
      <c r="H383" s="255">
        <v>34312</v>
      </c>
      <c r="I383" s="105" t="str">
        <f>CHOOSE(MONTH(H383),"January","February","March","April","May","June","July","August","September","October","November","December")</f>
        <v>December</v>
      </c>
      <c r="J383" s="51">
        <f ca="1">DATEDIF(H383,TODAY(),"Y")</f>
        <v>22</v>
      </c>
    </row>
    <row r="384" spans="1:10" ht="16.5">
      <c r="A384" s="39" t="s">
        <v>664</v>
      </c>
      <c r="B384" s="46" t="s">
        <v>271</v>
      </c>
      <c r="C384" s="39" t="s">
        <v>705</v>
      </c>
      <c r="D384" s="72">
        <v>931977751</v>
      </c>
      <c r="E384" s="73">
        <v>9194471952</v>
      </c>
      <c r="F384" s="39" t="s">
        <v>256</v>
      </c>
      <c r="G384" s="256">
        <v>29760</v>
      </c>
      <c r="H384" s="255">
        <v>35059</v>
      </c>
      <c r="I384" s="105" t="str">
        <f>CHOOSE(MONTH(H384),"January","February","March","April","May","June","July","August","September","October","November","December")</f>
        <v>December</v>
      </c>
      <c r="J384" s="51">
        <f ca="1">DATEDIF(H384,TODAY(),"Y")</f>
        <v>20</v>
      </c>
    </row>
    <row r="385" spans="1:10" ht="16.5">
      <c r="A385" s="39" t="s">
        <v>1006</v>
      </c>
      <c r="B385" s="46" t="s">
        <v>271</v>
      </c>
      <c r="C385" s="39" t="s">
        <v>465</v>
      </c>
      <c r="D385" s="72">
        <v>415299442</v>
      </c>
      <c r="E385" s="73">
        <v>2521408985</v>
      </c>
      <c r="F385" s="39" t="s">
        <v>256</v>
      </c>
      <c r="G385" s="256">
        <v>11810</v>
      </c>
      <c r="H385" s="255">
        <v>41260</v>
      </c>
      <c r="I385" s="105" t="str">
        <f>CHOOSE(MONTH(H385),"January","February","March","April","May","June","July","August","September","October","November","December")</f>
        <v>December</v>
      </c>
      <c r="J385" s="51">
        <f ca="1">DATEDIF(H385,TODAY(),"Y")</f>
        <v>3</v>
      </c>
    </row>
    <row r="386" spans="1:10" ht="16.5">
      <c r="A386" s="39" t="s">
        <v>1015</v>
      </c>
      <c r="B386" s="46" t="s">
        <v>245</v>
      </c>
      <c r="C386" s="39" t="s">
        <v>296</v>
      </c>
      <c r="D386" s="72">
        <v>460412180</v>
      </c>
      <c r="E386" s="73">
        <v>9196822349</v>
      </c>
      <c r="F386" s="39" t="s">
        <v>256</v>
      </c>
      <c r="G386" s="256">
        <v>81340</v>
      </c>
      <c r="H386" s="255">
        <v>34311</v>
      </c>
      <c r="I386" s="105" t="str">
        <f>CHOOSE(MONTH(H386),"January","February","March","April","May","June","July","August","September","October","November","December")</f>
        <v>December</v>
      </c>
      <c r="J386" s="51">
        <f ca="1">DATEDIF(H386,TODAY(),"Y")</f>
        <v>22</v>
      </c>
    </row>
    <row r="387" spans="1:10" ht="16.5">
      <c r="A387" s="39" t="s">
        <v>360</v>
      </c>
      <c r="B387" s="46" t="s">
        <v>245</v>
      </c>
      <c r="C387" s="39" t="s">
        <v>856</v>
      </c>
      <c r="D387" s="72">
        <v>288741910</v>
      </c>
      <c r="E387" s="73">
        <v>2522842668</v>
      </c>
      <c r="F387" s="39" t="s">
        <v>256</v>
      </c>
      <c r="G387" s="256">
        <v>82370</v>
      </c>
      <c r="H387" s="255">
        <v>37975</v>
      </c>
      <c r="I387" s="105" t="str">
        <f>CHOOSE(MONTH(H387),"January","February","March","April","May","June","July","August","September","October","November","December")</f>
        <v>December</v>
      </c>
      <c r="J387" s="51">
        <f ca="1">DATEDIF(H387,TODAY(),"Y")</f>
        <v>12</v>
      </c>
    </row>
    <row r="388" spans="1:10" ht="16.5">
      <c r="A388" s="39" t="s">
        <v>605</v>
      </c>
      <c r="B388" s="46" t="s">
        <v>271</v>
      </c>
      <c r="C388" s="39" t="s">
        <v>856</v>
      </c>
      <c r="D388" s="72">
        <v>562497973</v>
      </c>
      <c r="E388" s="73">
        <v>2524111882</v>
      </c>
      <c r="F388" s="39" t="s">
        <v>256</v>
      </c>
      <c r="G388" s="256">
        <v>15910</v>
      </c>
      <c r="H388" s="255">
        <v>34699</v>
      </c>
      <c r="I388" s="105" t="str">
        <f>CHOOSE(MONTH(H388),"January","February","March","April","May","June","July","August","September","October","November","December")</f>
        <v>December</v>
      </c>
      <c r="J388" s="51">
        <f ca="1">DATEDIF(H388,TODAY(),"Y")</f>
        <v>21</v>
      </c>
    </row>
    <row r="389" spans="1:10" ht="16.5">
      <c r="A389" s="39" t="s">
        <v>362</v>
      </c>
      <c r="B389" s="46" t="s">
        <v>280</v>
      </c>
      <c r="C389" s="39" t="s">
        <v>767</v>
      </c>
      <c r="D389" s="72">
        <v>886332647</v>
      </c>
      <c r="E389" s="73">
        <v>2526698101</v>
      </c>
      <c r="F389" s="39" t="s">
        <v>256</v>
      </c>
      <c r="G389" s="256">
        <v>87830</v>
      </c>
      <c r="H389" s="255">
        <v>37240</v>
      </c>
      <c r="I389" s="105" t="str">
        <f>CHOOSE(MONTH(H389),"January","February","March","April","May","June","July","August","September","October","November","December")</f>
        <v>December</v>
      </c>
      <c r="J389" s="51">
        <f ca="1">DATEDIF(H389,TODAY(),"Y")</f>
        <v>14</v>
      </c>
    </row>
    <row r="390" spans="1:10" ht="16.5">
      <c r="A390" s="39" t="s">
        <v>921</v>
      </c>
      <c r="B390" s="46" t="s">
        <v>271</v>
      </c>
      <c r="C390" s="39" t="s">
        <v>465</v>
      </c>
      <c r="D390" s="72">
        <v>468053610</v>
      </c>
      <c r="E390" s="73">
        <v>2525344270</v>
      </c>
      <c r="F390" s="39" t="s">
        <v>256</v>
      </c>
      <c r="G390" s="256">
        <v>82760</v>
      </c>
      <c r="H390" s="255">
        <v>41244</v>
      </c>
      <c r="I390" s="105" t="str">
        <f>CHOOSE(MONTH(H390),"January","February","March","April","May","June","July","August","September","October","November","December")</f>
        <v>December</v>
      </c>
      <c r="J390" s="51">
        <f ca="1">DATEDIF(H390,TODAY(),"Y")</f>
        <v>3</v>
      </c>
    </row>
    <row r="391" spans="1:10" ht="16.5">
      <c r="A391" s="39" t="s">
        <v>765</v>
      </c>
      <c r="B391" s="46" t="s">
        <v>271</v>
      </c>
      <c r="C391" s="39" t="s">
        <v>750</v>
      </c>
      <c r="D391" s="72">
        <v>134557291</v>
      </c>
      <c r="E391" s="73">
        <v>2525536623</v>
      </c>
      <c r="F391" s="39" t="s">
        <v>256</v>
      </c>
      <c r="G391" s="256">
        <v>28680</v>
      </c>
      <c r="H391" s="255">
        <v>34323</v>
      </c>
      <c r="I391" s="105" t="str">
        <f>CHOOSE(MONTH(H391),"January","February","March","April","May","June","July","August","September","October","November","December")</f>
        <v>December</v>
      </c>
      <c r="J391" s="51">
        <f ca="1">DATEDIF(H391,TODAY(),"Y")</f>
        <v>22</v>
      </c>
    </row>
    <row r="392" spans="1:10" ht="16.5">
      <c r="A392" s="39" t="s">
        <v>452</v>
      </c>
      <c r="B392" s="46" t="s">
        <v>271</v>
      </c>
      <c r="C392" s="39" t="s">
        <v>930</v>
      </c>
      <c r="D392" s="72">
        <v>308317457</v>
      </c>
      <c r="E392" s="73">
        <v>9192729524</v>
      </c>
      <c r="F392" s="39" t="s">
        <v>256</v>
      </c>
      <c r="G392" s="256">
        <v>33508</v>
      </c>
      <c r="H392" s="255">
        <v>35050</v>
      </c>
      <c r="I392" s="105" t="str">
        <f>CHOOSE(MONTH(H392),"January","February","March","April","May","June","July","August","September","October","November","December")</f>
        <v>December</v>
      </c>
      <c r="J392" s="51">
        <f ca="1">DATEDIF(H392,TODAY(),"Y")</f>
        <v>20</v>
      </c>
    </row>
    <row r="393" spans="1:10" ht="16.5">
      <c r="A393" s="39" t="s">
        <v>854</v>
      </c>
      <c r="B393" s="46" t="s">
        <v>266</v>
      </c>
      <c r="C393" s="45" t="s">
        <v>246</v>
      </c>
      <c r="D393" s="47">
        <v>991656720</v>
      </c>
      <c r="E393" s="48">
        <v>2528138394</v>
      </c>
      <c r="F393" s="45" t="s">
        <v>256</v>
      </c>
      <c r="G393" s="256">
        <v>85880</v>
      </c>
      <c r="H393" s="255">
        <v>37983</v>
      </c>
      <c r="I393" s="105" t="str">
        <f>CHOOSE(MONTH(H393),"January","February","March","April","May","June","July","August","September","October","November","December")</f>
        <v>December</v>
      </c>
      <c r="J393" s="51">
        <f ca="1">DATEDIF(H393,TODAY(),"Y")</f>
        <v>12</v>
      </c>
    </row>
    <row r="394" spans="1:10" ht="16.5">
      <c r="A394" s="39" t="s">
        <v>453</v>
      </c>
      <c r="B394" s="46" t="s">
        <v>285</v>
      </c>
      <c r="C394" s="39" t="s">
        <v>296</v>
      </c>
      <c r="D394" s="72">
        <v>533976888</v>
      </c>
      <c r="E394" s="73">
        <v>9192572783</v>
      </c>
      <c r="F394" s="39" t="s">
        <v>256</v>
      </c>
      <c r="G394" s="256">
        <v>35240</v>
      </c>
      <c r="H394" s="255">
        <v>41629</v>
      </c>
      <c r="I394" s="105" t="str">
        <f>CHOOSE(MONTH(H394),"January","February","March","April","May","June","July","August","September","October","November","December")</f>
        <v>December</v>
      </c>
      <c r="J394" s="51">
        <f ca="1">DATEDIF(H394,TODAY(),"Y")</f>
        <v>2</v>
      </c>
    </row>
    <row r="395" spans="1:10" ht="16.5">
      <c r="A395" s="39" t="s">
        <v>499</v>
      </c>
      <c r="B395" s="46" t="s">
        <v>280</v>
      </c>
      <c r="C395" s="39" t="s">
        <v>626</v>
      </c>
      <c r="D395" s="72">
        <v>357081517</v>
      </c>
      <c r="E395" s="73">
        <v>2527660273</v>
      </c>
      <c r="F395" s="39" t="s">
        <v>261</v>
      </c>
      <c r="G395" s="256">
        <v>44220</v>
      </c>
      <c r="H395" s="255">
        <v>36899</v>
      </c>
      <c r="I395" s="105" t="str">
        <f>CHOOSE(MONTH(H395),"January","February","March","April","May","June","July","August","September","October","November","December")</f>
        <v>January</v>
      </c>
      <c r="J395" s="51">
        <f ca="1">DATEDIF(H395,TODAY(),"Y")</f>
        <v>15</v>
      </c>
    </row>
    <row r="396" spans="1:10" ht="16.5">
      <c r="A396" s="39" t="s">
        <v>513</v>
      </c>
      <c r="B396" s="46" t="s">
        <v>271</v>
      </c>
      <c r="C396" s="39" t="s">
        <v>767</v>
      </c>
      <c r="D396" s="72">
        <v>924942231</v>
      </c>
      <c r="E396" s="73">
        <v>9193279828</v>
      </c>
      <c r="F396" s="39" t="s">
        <v>261</v>
      </c>
      <c r="G396" s="256">
        <v>50990</v>
      </c>
      <c r="H396" s="255">
        <v>34729</v>
      </c>
      <c r="I396" s="105" t="str">
        <f>CHOOSE(MONTH(H396),"January","February","March","April","May","June","July","August","September","October","November","December")</f>
        <v>January</v>
      </c>
      <c r="J396" s="51">
        <f ca="1">DATEDIF(H396,TODAY(),"Y")</f>
        <v>21</v>
      </c>
    </row>
    <row r="397" spans="1:10" ht="16.5">
      <c r="A397" s="39" t="s">
        <v>685</v>
      </c>
      <c r="B397" s="46" t="s">
        <v>245</v>
      </c>
      <c r="C397" s="39" t="s">
        <v>750</v>
      </c>
      <c r="D397" s="72">
        <v>671360508</v>
      </c>
      <c r="E397" s="73">
        <v>2528385730</v>
      </c>
      <c r="F397" s="39" t="s">
        <v>261</v>
      </c>
      <c r="G397" s="256">
        <v>42905</v>
      </c>
      <c r="H397" s="255">
        <v>36892</v>
      </c>
      <c r="I397" s="105" t="str">
        <f>CHOOSE(MONTH(H397),"January","February","March","April","May","June","July","August","September","October","November","December")</f>
        <v>January</v>
      </c>
      <c r="J397" s="51">
        <f ca="1">DATEDIF(H397,TODAY(),"Y")</f>
        <v>15</v>
      </c>
    </row>
    <row r="398" spans="1:10" ht="16.5">
      <c r="A398" s="39" t="s">
        <v>528</v>
      </c>
      <c r="B398" s="46" t="s">
        <v>251</v>
      </c>
      <c r="C398" s="39" t="s">
        <v>705</v>
      </c>
      <c r="D398" s="72">
        <v>302854692</v>
      </c>
      <c r="E398" s="73">
        <v>2528651774</v>
      </c>
      <c r="F398" s="39" t="s">
        <v>261</v>
      </c>
      <c r="G398" s="256">
        <v>11065</v>
      </c>
      <c r="H398" s="255">
        <v>36919</v>
      </c>
      <c r="I398" s="105" t="str">
        <f>CHOOSE(MONTH(H398),"January","February","March","April","May","June","July","August","September","October","November","December")</f>
        <v>January</v>
      </c>
      <c r="J398" s="51">
        <f ca="1">DATEDIF(H398,TODAY(),"Y")</f>
        <v>15</v>
      </c>
    </row>
    <row r="399" spans="1:10" ht="16.5">
      <c r="A399" s="39" t="s">
        <v>690</v>
      </c>
      <c r="B399" s="46" t="s">
        <v>271</v>
      </c>
      <c r="C399" s="39" t="s">
        <v>312</v>
      </c>
      <c r="D399" s="72">
        <v>639314672</v>
      </c>
      <c r="E399" s="73">
        <v>9191919478</v>
      </c>
      <c r="F399" s="39" t="s">
        <v>261</v>
      </c>
      <c r="G399" s="256">
        <v>26944</v>
      </c>
      <c r="H399" s="255">
        <v>38380</v>
      </c>
      <c r="I399" s="105" t="str">
        <f>CHOOSE(MONTH(H399),"January","February","March","April","May","June","July","August","September","October","November","December")</f>
        <v>January</v>
      </c>
      <c r="J399" s="51">
        <f ca="1">DATEDIF(H399,TODAY(),"Y")</f>
        <v>11</v>
      </c>
    </row>
    <row r="400" spans="1:10" ht="16.5">
      <c r="A400" s="39" t="s">
        <v>988</v>
      </c>
      <c r="B400" s="46" t="s">
        <v>285</v>
      </c>
      <c r="C400" s="39" t="s">
        <v>417</v>
      </c>
      <c r="D400" s="72">
        <v>425598783</v>
      </c>
      <c r="E400" s="73">
        <v>9191559081</v>
      </c>
      <c r="F400" s="39" t="s">
        <v>261</v>
      </c>
      <c r="G400" s="256">
        <v>77760</v>
      </c>
      <c r="H400" s="255">
        <v>41303</v>
      </c>
      <c r="I400" s="105" t="str">
        <f>CHOOSE(MONTH(H400),"January","February","March","April","May","June","July","August","September","October","November","December")</f>
        <v>January</v>
      </c>
      <c r="J400" s="51">
        <f ca="1">DATEDIF(H400,TODAY(),"Y")</f>
        <v>3</v>
      </c>
    </row>
    <row r="401" spans="1:10" ht="16.5">
      <c r="A401" s="39" t="s">
        <v>405</v>
      </c>
      <c r="B401" s="46" t="s">
        <v>271</v>
      </c>
      <c r="C401" s="39" t="s">
        <v>930</v>
      </c>
      <c r="D401" s="72">
        <v>750006979</v>
      </c>
      <c r="E401" s="73">
        <v>2528444054</v>
      </c>
      <c r="F401" s="39" t="s">
        <v>261</v>
      </c>
      <c r="G401" s="256">
        <v>66710</v>
      </c>
      <c r="H401" s="255">
        <v>39083</v>
      </c>
      <c r="I401" s="105" t="str">
        <f>CHOOSE(MONTH(H401),"January","February","March","April","May","June","July","August","September","October","November","December")</f>
        <v>January</v>
      </c>
      <c r="J401" s="51">
        <f ca="1">DATEDIF(H401,TODAY(),"Y")</f>
        <v>9</v>
      </c>
    </row>
    <row r="402" spans="1:10" ht="16.5">
      <c r="A402" s="39" t="s">
        <v>576</v>
      </c>
      <c r="B402" s="46" t="s">
        <v>271</v>
      </c>
      <c r="C402" s="39" t="s">
        <v>767</v>
      </c>
      <c r="D402" s="72">
        <v>209846975</v>
      </c>
      <c r="E402" s="73">
        <v>2522639452</v>
      </c>
      <c r="F402" s="39" t="s">
        <v>261</v>
      </c>
      <c r="G402" s="256">
        <v>79760</v>
      </c>
      <c r="H402" s="255">
        <v>37285</v>
      </c>
      <c r="I402" s="105" t="str">
        <f>CHOOSE(MONTH(H402),"January","February","March","April","May","June","July","August","September","October","November","December")</f>
        <v>January</v>
      </c>
      <c r="J402" s="51">
        <f ca="1">DATEDIF(H402,TODAY(),"Y")</f>
        <v>14</v>
      </c>
    </row>
    <row r="403" spans="1:10" ht="16.5">
      <c r="A403" s="39" t="s">
        <v>284</v>
      </c>
      <c r="B403" s="46" t="s">
        <v>285</v>
      </c>
      <c r="C403" s="39" t="s">
        <v>465</v>
      </c>
      <c r="D403" s="72">
        <v>110547055</v>
      </c>
      <c r="E403" s="73">
        <v>2526966637</v>
      </c>
      <c r="F403" s="39" t="s">
        <v>261</v>
      </c>
      <c r="G403" s="256">
        <v>48990</v>
      </c>
      <c r="H403" s="255">
        <v>36900</v>
      </c>
      <c r="I403" s="105" t="str">
        <f>CHOOSE(MONTH(H403),"January","February","March","April","May","June","July","August","September","October","November","December")</f>
        <v>January</v>
      </c>
      <c r="J403" s="51">
        <f ca="1">DATEDIF(H403,TODAY(),"Y")</f>
        <v>15</v>
      </c>
    </row>
    <row r="404" spans="1:10" ht="16.5">
      <c r="A404" s="39" t="s">
        <v>918</v>
      </c>
      <c r="B404" s="46" t="s">
        <v>280</v>
      </c>
      <c r="C404" s="39" t="s">
        <v>767</v>
      </c>
      <c r="D404" s="72">
        <v>451159170</v>
      </c>
      <c r="E404" s="73">
        <v>2522604602</v>
      </c>
      <c r="F404" s="39" t="s">
        <v>261</v>
      </c>
      <c r="G404" s="256">
        <v>40920</v>
      </c>
      <c r="H404" s="255">
        <v>38009</v>
      </c>
      <c r="I404" s="105" t="str">
        <f>CHOOSE(MONTH(H404),"January","February","March","April","May","June","July","August","September","October","November","December")</f>
        <v>January</v>
      </c>
      <c r="J404" s="51">
        <f ca="1">DATEDIF(H404,TODAY(),"Y")</f>
        <v>12</v>
      </c>
    </row>
    <row r="405" spans="1:10" ht="16.5">
      <c r="A405" s="39" t="s">
        <v>1017</v>
      </c>
      <c r="B405" s="46" t="s">
        <v>245</v>
      </c>
      <c r="C405" s="39" t="s">
        <v>626</v>
      </c>
      <c r="D405" s="72">
        <v>132016163</v>
      </c>
      <c r="E405" s="73">
        <v>2527726916</v>
      </c>
      <c r="F405" s="39" t="s">
        <v>261</v>
      </c>
      <c r="G405" s="256">
        <v>71830</v>
      </c>
      <c r="H405" s="255">
        <v>35444</v>
      </c>
      <c r="I405" s="105" t="str">
        <f>CHOOSE(MONTH(H405),"January","February","March","April","May","June","July","August","September","October","November","December")</f>
        <v>January</v>
      </c>
      <c r="J405" s="51">
        <f ca="1">DATEDIF(H405,TODAY(),"Y")</f>
        <v>19</v>
      </c>
    </row>
    <row r="406" spans="1:10" ht="16.5">
      <c r="A406" s="39" t="s">
        <v>673</v>
      </c>
      <c r="B406" s="46" t="s">
        <v>251</v>
      </c>
      <c r="C406" s="39" t="s">
        <v>465</v>
      </c>
      <c r="D406" s="72">
        <v>783624212</v>
      </c>
      <c r="E406" s="73">
        <v>9193164024</v>
      </c>
      <c r="F406" s="39" t="s">
        <v>261</v>
      </c>
      <c r="G406" s="256">
        <v>49405</v>
      </c>
      <c r="H406" s="255">
        <v>36537</v>
      </c>
      <c r="I406" s="105" t="str">
        <f>CHOOSE(MONTH(H406),"January","February","March","April","May","June","July","August","September","October","November","December")</f>
        <v>January</v>
      </c>
      <c r="J406" s="51">
        <f ca="1">DATEDIF(H406,TODAY(),"Y")</f>
        <v>16</v>
      </c>
    </row>
    <row r="407" spans="1:10" ht="16.5">
      <c r="A407" s="39" t="s">
        <v>451</v>
      </c>
      <c r="B407" s="46" t="s">
        <v>285</v>
      </c>
      <c r="C407" s="39" t="s">
        <v>856</v>
      </c>
      <c r="D407" s="72">
        <v>393973492</v>
      </c>
      <c r="E407" s="73">
        <v>2522869792</v>
      </c>
      <c r="F407" s="39" t="s">
        <v>261</v>
      </c>
      <c r="G407" s="256">
        <v>46550</v>
      </c>
      <c r="H407" s="255">
        <v>35069</v>
      </c>
      <c r="I407" s="105" t="str">
        <f>CHOOSE(MONTH(H407),"January","February","March","April","May","June","July","August","September","October","November","December")</f>
        <v>January</v>
      </c>
      <c r="J407" s="51">
        <f ca="1">DATEDIF(H407,TODAY(),"Y")</f>
        <v>20</v>
      </c>
    </row>
    <row r="408" spans="1:10" ht="16.5">
      <c r="A408" s="39" t="s">
        <v>473</v>
      </c>
      <c r="B408" s="46" t="s">
        <v>280</v>
      </c>
      <c r="C408" s="39" t="s">
        <v>930</v>
      </c>
      <c r="D408" s="72">
        <v>843299208</v>
      </c>
      <c r="E408" s="73">
        <v>9198631557</v>
      </c>
      <c r="F408" s="39" t="s">
        <v>261</v>
      </c>
      <c r="G408" s="256">
        <v>35312</v>
      </c>
      <c r="H408" s="255">
        <v>36577</v>
      </c>
      <c r="I408" s="105" t="str">
        <f>CHOOSE(MONTH(H408),"January","February","March","April","May","June","July","August","September","October","November","December")</f>
        <v>February</v>
      </c>
      <c r="J408" s="51">
        <f ca="1">DATEDIF(H408,TODAY(),"Y")</f>
        <v>16</v>
      </c>
    </row>
    <row r="409" spans="1:10" ht="16.5">
      <c r="A409" s="39" t="s">
        <v>737</v>
      </c>
      <c r="B409" s="46" t="s">
        <v>245</v>
      </c>
      <c r="C409" s="39" t="s">
        <v>296</v>
      </c>
      <c r="D409" s="72">
        <v>796079833</v>
      </c>
      <c r="E409" s="73">
        <v>2525327906</v>
      </c>
      <c r="F409" s="39" t="s">
        <v>261</v>
      </c>
      <c r="G409" s="256">
        <v>28650</v>
      </c>
      <c r="H409" s="255">
        <v>37290</v>
      </c>
      <c r="I409" s="105" t="str">
        <f>CHOOSE(MONTH(H409),"January","February","March","April","May","June","July","August","September","October","November","December")</f>
        <v>February</v>
      </c>
      <c r="J409" s="51">
        <f ca="1">DATEDIF(H409,TODAY(),"Y")</f>
        <v>14</v>
      </c>
    </row>
    <row r="410" spans="1:10" ht="16.5">
      <c r="A410" s="39" t="s">
        <v>674</v>
      </c>
      <c r="B410" s="46" t="s">
        <v>251</v>
      </c>
      <c r="C410" s="45" t="s">
        <v>272</v>
      </c>
      <c r="D410" s="47">
        <v>356110882</v>
      </c>
      <c r="E410" s="48">
        <v>2527936742</v>
      </c>
      <c r="F410" s="45" t="s">
        <v>261</v>
      </c>
      <c r="G410" s="256">
        <v>74470</v>
      </c>
      <c r="H410" s="255">
        <v>36207</v>
      </c>
      <c r="I410" s="105" t="str">
        <f>CHOOSE(MONTH(H410),"January","February","March","April","May","June","July","August","September","October","November","December")</f>
        <v>February</v>
      </c>
      <c r="J410" s="51">
        <f ca="1">DATEDIF(H410,TODAY(),"Y")</f>
        <v>17</v>
      </c>
    </row>
    <row r="411" spans="1:10" ht="16.5">
      <c r="A411" s="39" t="s">
        <v>615</v>
      </c>
      <c r="B411" s="46" t="s">
        <v>271</v>
      </c>
      <c r="C411" s="39" t="s">
        <v>626</v>
      </c>
      <c r="D411" s="72">
        <v>247406371</v>
      </c>
      <c r="E411" s="73">
        <v>9195299873</v>
      </c>
      <c r="F411" s="39" t="s">
        <v>261</v>
      </c>
      <c r="G411" s="256">
        <v>79610</v>
      </c>
      <c r="H411" s="255">
        <v>36935</v>
      </c>
      <c r="I411" s="105" t="str">
        <f>CHOOSE(MONTH(H411),"January","February","March","April","May","June","July","August","September","October","November","December")</f>
        <v>February</v>
      </c>
      <c r="J411" s="51">
        <f ca="1">DATEDIF(H411,TODAY(),"Y")</f>
        <v>15</v>
      </c>
    </row>
    <row r="412" spans="1:10" ht="16.5">
      <c r="A412" s="45" t="s">
        <v>270</v>
      </c>
      <c r="B412" s="46" t="s">
        <v>251</v>
      </c>
      <c r="C412" s="39" t="s">
        <v>705</v>
      </c>
      <c r="D412" s="72">
        <v>120479503</v>
      </c>
      <c r="E412" s="73">
        <v>9196069116</v>
      </c>
      <c r="F412" s="39" t="s">
        <v>261</v>
      </c>
      <c r="G412" s="256">
        <v>47590</v>
      </c>
      <c r="H412" s="255">
        <v>39880</v>
      </c>
      <c r="I412" s="105" t="str">
        <f>CHOOSE(MONTH(H412),"January","February","March","April","May","June","July","August","September","October","November","December")</f>
        <v>March</v>
      </c>
      <c r="J412" s="51">
        <f ca="1">DATEDIF(H412,TODAY(),"Y")</f>
        <v>7</v>
      </c>
    </row>
    <row r="413" spans="1:10" ht="16.5">
      <c r="A413" s="39" t="s">
        <v>963</v>
      </c>
      <c r="B413" s="46" t="s">
        <v>245</v>
      </c>
      <c r="C413" s="39" t="s">
        <v>767</v>
      </c>
      <c r="D413" s="72">
        <v>378882665</v>
      </c>
      <c r="E413" s="73">
        <v>2526079829</v>
      </c>
      <c r="F413" s="39" t="s">
        <v>261</v>
      </c>
      <c r="G413" s="256">
        <v>85130</v>
      </c>
      <c r="H413" s="255">
        <v>36605</v>
      </c>
      <c r="I413" s="105" t="str">
        <f>CHOOSE(MONTH(H413),"January","February","March","April","May","June","July","August","September","October","November","December")</f>
        <v>March</v>
      </c>
      <c r="J413" s="51">
        <f ca="1">DATEDIF(H413,TODAY(),"Y")</f>
        <v>16</v>
      </c>
    </row>
    <row r="414" spans="1:10" ht="16.5">
      <c r="A414" s="39" t="s">
        <v>384</v>
      </c>
      <c r="B414" s="46" t="s">
        <v>280</v>
      </c>
      <c r="C414" s="39" t="s">
        <v>930</v>
      </c>
      <c r="D414" s="72">
        <v>658842625</v>
      </c>
      <c r="E414" s="73">
        <v>9193788281</v>
      </c>
      <c r="F414" s="39" t="s">
        <v>261</v>
      </c>
      <c r="G414" s="256">
        <v>59050</v>
      </c>
      <c r="H414" s="255">
        <v>36613</v>
      </c>
      <c r="I414" s="105" t="str">
        <f>CHOOSE(MONTH(H414),"January","February","March","April","May","June","July","August","September","October","November","December")</f>
        <v>March</v>
      </c>
      <c r="J414" s="51">
        <f ca="1">DATEDIF(H414,TODAY(),"Y")</f>
        <v>16</v>
      </c>
    </row>
    <row r="415" spans="1:10" ht="16.5">
      <c r="A415" s="39" t="s">
        <v>723</v>
      </c>
      <c r="B415" s="46" t="s">
        <v>271</v>
      </c>
      <c r="C415" s="39" t="s">
        <v>678</v>
      </c>
      <c r="D415" s="72">
        <v>122440839</v>
      </c>
      <c r="E415" s="73">
        <v>2526525807</v>
      </c>
      <c r="F415" s="39" t="s">
        <v>261</v>
      </c>
      <c r="G415" s="256">
        <v>75420</v>
      </c>
      <c r="H415" s="255">
        <v>40606</v>
      </c>
      <c r="I415" s="105" t="str">
        <f>CHOOSE(MONTH(H415),"January","February","March","April","May","June","July","August","September","October","November","December")</f>
        <v>March</v>
      </c>
      <c r="J415" s="51">
        <f ca="1">DATEDIF(H415,TODAY(),"Y")</f>
        <v>5</v>
      </c>
    </row>
    <row r="416" spans="1:10" ht="16.5">
      <c r="A416" s="39" t="s">
        <v>333</v>
      </c>
      <c r="B416" s="46" t="s">
        <v>285</v>
      </c>
      <c r="C416" s="39" t="s">
        <v>626</v>
      </c>
      <c r="D416" s="72">
        <v>364404060</v>
      </c>
      <c r="E416" s="73">
        <v>2527722509</v>
      </c>
      <c r="F416" s="39" t="s">
        <v>261</v>
      </c>
      <c r="G416" s="256">
        <v>47350</v>
      </c>
      <c r="H416" s="255">
        <v>40258</v>
      </c>
      <c r="I416" s="105" t="str">
        <f>CHOOSE(MONTH(H416),"January","February","March","April","May","June","July","August","September","October","November","December")</f>
        <v>March</v>
      </c>
      <c r="J416" s="51">
        <f ca="1">DATEDIF(H416,TODAY(),"Y")</f>
        <v>6</v>
      </c>
    </row>
    <row r="417" spans="1:10" ht="16.5">
      <c r="A417" s="39" t="s">
        <v>1027</v>
      </c>
      <c r="B417" s="46" t="s">
        <v>251</v>
      </c>
      <c r="C417" s="39" t="s">
        <v>465</v>
      </c>
      <c r="D417" s="72">
        <v>624234626</v>
      </c>
      <c r="E417" s="73">
        <v>2523077504</v>
      </c>
      <c r="F417" s="39" t="s">
        <v>261</v>
      </c>
      <c r="G417" s="256">
        <v>48330</v>
      </c>
      <c r="H417" s="255">
        <v>35857</v>
      </c>
      <c r="I417" s="105" t="str">
        <f>CHOOSE(MONTH(H417),"January","February","March","April","May","June","July","August","September","October","November","December")</f>
        <v>March</v>
      </c>
      <c r="J417" s="51">
        <f ca="1">DATEDIF(H417,TODAY(),"Y")</f>
        <v>18</v>
      </c>
    </row>
    <row r="418" spans="1:10" ht="16.5">
      <c r="A418" s="39" t="s">
        <v>826</v>
      </c>
      <c r="B418" s="46" t="s">
        <v>245</v>
      </c>
      <c r="C418" s="39" t="s">
        <v>465</v>
      </c>
      <c r="D418" s="72">
        <v>427260216</v>
      </c>
      <c r="E418" s="73">
        <v>9198999194</v>
      </c>
      <c r="F418" s="39" t="s">
        <v>261</v>
      </c>
      <c r="G418" s="256">
        <v>30780</v>
      </c>
      <c r="H418" s="255">
        <v>34423</v>
      </c>
      <c r="I418" s="105" t="str">
        <f>CHOOSE(MONTH(H418),"January","February","March","April","May","June","July","August","September","October","November","December")</f>
        <v>March</v>
      </c>
      <c r="J418" s="51">
        <f ca="1">DATEDIF(H418,TODAY(),"Y")</f>
        <v>22</v>
      </c>
    </row>
    <row r="419" spans="1:10" ht="16.5">
      <c r="A419" s="39" t="s">
        <v>580</v>
      </c>
      <c r="B419" s="46" t="s">
        <v>285</v>
      </c>
      <c r="C419" s="39" t="s">
        <v>626</v>
      </c>
      <c r="D419" s="72">
        <v>294161481</v>
      </c>
      <c r="E419" s="73">
        <v>2521201242</v>
      </c>
      <c r="F419" s="39" t="s">
        <v>261</v>
      </c>
      <c r="G419" s="256">
        <v>23280</v>
      </c>
      <c r="H419" s="255">
        <v>40253</v>
      </c>
      <c r="I419" s="105" t="str">
        <f>CHOOSE(MONTH(H419),"January","February","March","April","May","June","July","August","September","October","November","December")</f>
        <v>March</v>
      </c>
      <c r="J419" s="51">
        <f ca="1">DATEDIF(H419,TODAY(),"Y")</f>
        <v>6</v>
      </c>
    </row>
    <row r="420" spans="1:10" ht="16.5">
      <c r="A420" s="39" t="s">
        <v>590</v>
      </c>
      <c r="B420" s="46" t="s">
        <v>251</v>
      </c>
      <c r="C420" s="39" t="s">
        <v>767</v>
      </c>
      <c r="D420" s="72">
        <v>618775364</v>
      </c>
      <c r="E420" s="73">
        <v>9193182167</v>
      </c>
      <c r="F420" s="39" t="s">
        <v>261</v>
      </c>
      <c r="G420" s="256">
        <v>54200</v>
      </c>
      <c r="H420" s="255">
        <v>36598</v>
      </c>
      <c r="I420" s="105" t="str">
        <f>CHOOSE(MONTH(H420),"January","February","March","April","May","June","July","August","September","October","November","December")</f>
        <v>March</v>
      </c>
      <c r="J420" s="51">
        <f ca="1">DATEDIF(H420,TODAY(),"Y")</f>
        <v>16</v>
      </c>
    </row>
    <row r="421" spans="1:10" ht="16.5">
      <c r="A421" s="39" t="s">
        <v>698</v>
      </c>
      <c r="B421" s="46" t="s">
        <v>280</v>
      </c>
      <c r="C421" s="39" t="s">
        <v>626</v>
      </c>
      <c r="D421" s="72">
        <v>168147877</v>
      </c>
      <c r="E421" s="73">
        <v>9196530760</v>
      </c>
      <c r="F421" s="39" t="s">
        <v>261</v>
      </c>
      <c r="G421" s="256">
        <v>39530</v>
      </c>
      <c r="H421" s="255">
        <v>36963</v>
      </c>
      <c r="I421" s="105" t="str">
        <f>CHOOSE(MONTH(H421),"January","February","March","April","May","June","July","August","September","October","November","December")</f>
        <v>March</v>
      </c>
      <c r="J421" s="51">
        <f ca="1">DATEDIF(H421,TODAY(),"Y")</f>
        <v>15</v>
      </c>
    </row>
    <row r="422" spans="1:10" ht="16.5">
      <c r="A422" s="39" t="s">
        <v>853</v>
      </c>
      <c r="B422" s="46" t="s">
        <v>266</v>
      </c>
      <c r="C422" s="39" t="s">
        <v>312</v>
      </c>
      <c r="D422" s="72">
        <v>600458368</v>
      </c>
      <c r="E422" s="73">
        <v>9197280453</v>
      </c>
      <c r="F422" s="39" t="s">
        <v>261</v>
      </c>
      <c r="G422" s="256">
        <v>47440</v>
      </c>
      <c r="H422" s="255">
        <v>38051</v>
      </c>
      <c r="I422" s="105" t="str">
        <f>CHOOSE(MONTH(H422),"January","February","March","April","May","June","July","August","September","October","November","December")</f>
        <v>March</v>
      </c>
      <c r="J422" s="51">
        <f ca="1">DATEDIF(H422,TODAY(),"Y")</f>
        <v>12</v>
      </c>
    </row>
    <row r="423" spans="1:10" ht="16.5">
      <c r="A423" s="39" t="s">
        <v>633</v>
      </c>
      <c r="B423" s="46" t="s">
        <v>271</v>
      </c>
      <c r="C423" s="45" t="s">
        <v>272</v>
      </c>
      <c r="D423" s="47">
        <v>535539723</v>
      </c>
      <c r="E423" s="48">
        <v>2523492633</v>
      </c>
      <c r="F423" s="45" t="s">
        <v>261</v>
      </c>
      <c r="G423" s="256">
        <v>67050</v>
      </c>
      <c r="H423" s="255">
        <v>40298</v>
      </c>
      <c r="I423" s="105" t="str">
        <f>CHOOSE(MONTH(H423),"January","February","March","April","May","June","July","August","September","October","November","December")</f>
        <v>April</v>
      </c>
      <c r="J423" s="51">
        <f ca="1">DATEDIF(H423,TODAY(),"Y")</f>
        <v>6</v>
      </c>
    </row>
    <row r="424" spans="1:10" ht="16.5">
      <c r="A424" s="39" t="s">
        <v>806</v>
      </c>
      <c r="B424" s="46" t="s">
        <v>285</v>
      </c>
      <c r="C424" s="39" t="s">
        <v>750</v>
      </c>
      <c r="D424" s="72">
        <v>219740602</v>
      </c>
      <c r="E424" s="73">
        <v>9197429525</v>
      </c>
      <c r="F424" s="39" t="s">
        <v>261</v>
      </c>
      <c r="G424" s="256">
        <v>63060</v>
      </c>
      <c r="H424" s="255">
        <v>38809</v>
      </c>
      <c r="I424" s="105" t="str">
        <f>CHOOSE(MONTH(H424),"January","February","March","April","May","June","July","August","September","October","November","December")</f>
        <v>April</v>
      </c>
      <c r="J424" s="51">
        <f ca="1">DATEDIF(H424,TODAY(),"Y")</f>
        <v>10</v>
      </c>
    </row>
    <row r="425" spans="1:10" ht="16.5">
      <c r="A425" s="39" t="s">
        <v>985</v>
      </c>
      <c r="B425" s="46" t="s">
        <v>271</v>
      </c>
      <c r="C425" s="39" t="s">
        <v>272</v>
      </c>
      <c r="D425" s="72">
        <v>781913936</v>
      </c>
      <c r="E425" s="73">
        <v>9197889149</v>
      </c>
      <c r="F425" s="39" t="s">
        <v>261</v>
      </c>
      <c r="G425" s="256">
        <v>26020</v>
      </c>
      <c r="H425" s="255">
        <v>34814</v>
      </c>
      <c r="I425" s="105" t="str">
        <f>CHOOSE(MONTH(H425),"January","February","March","April","May","June","July","August","September","October","November","December")</f>
        <v>April</v>
      </c>
      <c r="J425" s="51">
        <f ca="1">DATEDIF(H425,TODAY(),"Y")</f>
        <v>21</v>
      </c>
    </row>
    <row r="426" spans="1:10" ht="16.5">
      <c r="A426" s="39" t="s">
        <v>989</v>
      </c>
      <c r="B426" s="46" t="s">
        <v>285</v>
      </c>
      <c r="C426" s="39" t="s">
        <v>456</v>
      </c>
      <c r="D426" s="72">
        <v>875920441</v>
      </c>
      <c r="E426" s="73">
        <v>9191715499</v>
      </c>
      <c r="F426" s="39" t="s">
        <v>261</v>
      </c>
      <c r="G426" s="256">
        <v>75176</v>
      </c>
      <c r="H426" s="255">
        <v>41378</v>
      </c>
      <c r="I426" s="105" t="str">
        <f>CHOOSE(MONTH(H426),"January","February","March","April","May","June","July","August","September","October","November","December")</f>
        <v>April</v>
      </c>
      <c r="J426" s="51">
        <f ca="1">DATEDIF(H426,TODAY(),"Y")</f>
        <v>3</v>
      </c>
    </row>
    <row r="427" spans="1:10" ht="16.5">
      <c r="A427" s="39" t="s">
        <v>570</v>
      </c>
      <c r="B427" s="46" t="s">
        <v>245</v>
      </c>
      <c r="C427" s="39" t="s">
        <v>767</v>
      </c>
      <c r="D427" s="72">
        <v>160184934</v>
      </c>
      <c r="E427" s="73">
        <v>9191191599</v>
      </c>
      <c r="F427" s="39" t="s">
        <v>261</v>
      </c>
      <c r="G427" s="256">
        <v>22860</v>
      </c>
      <c r="H427" s="255">
        <v>34436</v>
      </c>
      <c r="I427" s="105" t="str">
        <f>CHOOSE(MONTH(H427),"January","February","March","April","May","June","July","August","September","October","November","December")</f>
        <v>April</v>
      </c>
      <c r="J427" s="51">
        <f ca="1">DATEDIF(H427,TODAY(),"Y")</f>
        <v>22</v>
      </c>
    </row>
    <row r="428" spans="1:10" ht="16.5">
      <c r="A428" s="39" t="s">
        <v>571</v>
      </c>
      <c r="B428" s="46" t="s">
        <v>245</v>
      </c>
      <c r="C428" s="39" t="s">
        <v>626</v>
      </c>
      <c r="D428" s="72">
        <v>980960186</v>
      </c>
      <c r="E428" s="73">
        <v>9191517218</v>
      </c>
      <c r="F428" s="39" t="s">
        <v>261</v>
      </c>
      <c r="G428" s="256">
        <v>44920</v>
      </c>
      <c r="H428" s="255">
        <v>40638</v>
      </c>
      <c r="I428" s="105" t="str">
        <f>CHOOSE(MONTH(H428),"January","February","March","April","May","June","July","August","September","October","November","December")</f>
        <v>April</v>
      </c>
      <c r="J428" s="51">
        <f ca="1">DATEDIF(H428,TODAY(),"Y")</f>
        <v>5</v>
      </c>
    </row>
    <row r="429" spans="1:10" ht="16.5">
      <c r="A429" s="39" t="s">
        <v>739</v>
      </c>
      <c r="B429" s="46" t="s">
        <v>285</v>
      </c>
      <c r="C429" s="39" t="s">
        <v>930</v>
      </c>
      <c r="D429" s="72">
        <v>287476507</v>
      </c>
      <c r="E429" s="73">
        <v>9191509619</v>
      </c>
      <c r="F429" s="39" t="s">
        <v>261</v>
      </c>
      <c r="G429" s="256">
        <v>29070</v>
      </c>
      <c r="H429" s="255">
        <v>40655</v>
      </c>
      <c r="I429" s="105" t="str">
        <f>CHOOSE(MONTH(H429),"January","February","March","April","May","June","July","August","September","October","November","December")</f>
        <v>April</v>
      </c>
      <c r="J429" s="51">
        <f ca="1">DATEDIF(H429,TODAY(),"Y")</f>
        <v>5</v>
      </c>
    </row>
    <row r="430" spans="1:10" ht="16.5">
      <c r="A430" s="39" t="s">
        <v>613</v>
      </c>
      <c r="B430" s="46" t="s">
        <v>285</v>
      </c>
      <c r="C430" s="39" t="s">
        <v>930</v>
      </c>
      <c r="D430" s="72">
        <v>891224981</v>
      </c>
      <c r="E430" s="73">
        <v>2526391402</v>
      </c>
      <c r="F430" s="39" t="s">
        <v>261</v>
      </c>
      <c r="G430" s="256">
        <v>45180</v>
      </c>
      <c r="H430" s="255">
        <v>36274</v>
      </c>
      <c r="I430" s="105" t="str">
        <f>CHOOSE(MONTH(H430),"January","February","March","April","May","June","July","August","September","October","November","December")</f>
        <v>April</v>
      </c>
      <c r="J430" s="51">
        <f ca="1">DATEDIF(H430,TODAY(),"Y")</f>
        <v>17</v>
      </c>
    </row>
    <row r="431" spans="1:10" ht="16.5">
      <c r="A431" s="39" t="s">
        <v>863</v>
      </c>
      <c r="B431" s="46" t="s">
        <v>285</v>
      </c>
      <c r="C431" s="39" t="s">
        <v>930</v>
      </c>
      <c r="D431" s="72">
        <v>546546374</v>
      </c>
      <c r="E431" s="73">
        <v>9192727944</v>
      </c>
      <c r="F431" s="39" t="s">
        <v>261</v>
      </c>
      <c r="G431" s="256">
        <v>60560</v>
      </c>
      <c r="H431" s="255">
        <v>34461</v>
      </c>
      <c r="I431" s="105" t="str">
        <f>CHOOSE(MONTH(H431),"January","February","March","April","May","June","July","August","September","October","November","December")</f>
        <v>May</v>
      </c>
      <c r="J431" s="51">
        <f ca="1">DATEDIF(H431,TODAY(),"Y")</f>
        <v>22</v>
      </c>
    </row>
    <row r="432" spans="1:10" ht="16.5">
      <c r="A432" s="39" t="s">
        <v>931</v>
      </c>
      <c r="B432" s="46" t="s">
        <v>285</v>
      </c>
      <c r="C432" s="39" t="s">
        <v>312</v>
      </c>
      <c r="D432" s="72">
        <v>870106287</v>
      </c>
      <c r="E432" s="73">
        <v>2528611970</v>
      </c>
      <c r="F432" s="39" t="s">
        <v>261</v>
      </c>
      <c r="G432" s="256">
        <v>86530</v>
      </c>
      <c r="H432" s="255">
        <v>40327</v>
      </c>
      <c r="I432" s="105" t="str">
        <f>CHOOSE(MONTH(H432),"January","February","March","April","May","June","July","August","September","October","November","December")</f>
        <v>May</v>
      </c>
      <c r="J432" s="51">
        <f ca="1">DATEDIF(H432,TODAY(),"Y")</f>
        <v>6</v>
      </c>
    </row>
    <row r="433" spans="1:10" ht="16.5">
      <c r="A433" s="39" t="s">
        <v>311</v>
      </c>
      <c r="B433" s="46" t="s">
        <v>285</v>
      </c>
      <c r="C433" s="39" t="s">
        <v>465</v>
      </c>
      <c r="D433" s="72">
        <v>594680949</v>
      </c>
      <c r="E433" s="73">
        <v>9192375580</v>
      </c>
      <c r="F433" s="39" t="s">
        <v>261</v>
      </c>
      <c r="G433" s="256">
        <v>37612</v>
      </c>
      <c r="H433" s="255">
        <v>34485</v>
      </c>
      <c r="I433" s="105" t="str">
        <f>CHOOSE(MONTH(H433),"January","February","March","April","May","June","July","August","September","October","November","December")</f>
        <v>May</v>
      </c>
      <c r="J433" s="51">
        <f ca="1">DATEDIF(H433,TODAY(),"Y")</f>
        <v>22</v>
      </c>
    </row>
    <row r="434" spans="1:10" ht="16.5">
      <c r="A434" s="39" t="s">
        <v>479</v>
      </c>
      <c r="B434" s="46" t="s">
        <v>271</v>
      </c>
      <c r="C434" s="39" t="s">
        <v>391</v>
      </c>
      <c r="D434" s="72">
        <v>907491320</v>
      </c>
      <c r="E434" s="73">
        <v>2525724528</v>
      </c>
      <c r="F434" s="39" t="s">
        <v>261</v>
      </c>
      <c r="G434" s="256">
        <v>23692</v>
      </c>
      <c r="H434" s="255">
        <v>39950</v>
      </c>
      <c r="I434" s="105" t="str">
        <f>CHOOSE(MONTH(H434),"January","February","March","April","May","June","July","August","September","October","November","December")</f>
        <v>May</v>
      </c>
      <c r="J434" s="51">
        <f ca="1">DATEDIF(H434,TODAY(),"Y")</f>
        <v>7</v>
      </c>
    </row>
    <row r="435" spans="1:10" ht="16.5">
      <c r="A435" s="45" t="s">
        <v>250</v>
      </c>
      <c r="B435" s="46" t="s">
        <v>251</v>
      </c>
      <c r="C435" s="39" t="s">
        <v>930</v>
      </c>
      <c r="D435" s="72">
        <v>900160539</v>
      </c>
      <c r="E435" s="73">
        <v>2522749909</v>
      </c>
      <c r="F435" s="39" t="s">
        <v>261</v>
      </c>
      <c r="G435" s="256">
        <v>87220</v>
      </c>
      <c r="H435" s="255">
        <v>38856</v>
      </c>
      <c r="I435" s="105" t="str">
        <f>CHOOSE(MONTH(H435),"January","February","March","April","May","June","July","August","September","October","November","December")</f>
        <v>May</v>
      </c>
      <c r="J435" s="51">
        <f ca="1">DATEDIF(H435,TODAY(),"Y")</f>
        <v>10</v>
      </c>
    </row>
    <row r="436" spans="1:10" ht="16.5">
      <c r="A436" s="39" t="s">
        <v>519</v>
      </c>
      <c r="B436" s="46" t="s">
        <v>271</v>
      </c>
      <c r="C436" s="39" t="s">
        <v>856</v>
      </c>
      <c r="D436" s="72">
        <v>863736129</v>
      </c>
      <c r="E436" s="73">
        <v>2522778445</v>
      </c>
      <c r="F436" s="39" t="s">
        <v>261</v>
      </c>
      <c r="G436" s="256">
        <v>61030</v>
      </c>
      <c r="H436" s="255">
        <v>35934</v>
      </c>
      <c r="I436" s="105" t="str">
        <f>CHOOSE(MONTH(H436),"January","February","March","April","May","June","July","August","September","October","November","December")</f>
        <v>May</v>
      </c>
      <c r="J436" s="51">
        <f ca="1">DATEDIF(H436,TODAY(),"Y")</f>
        <v>18</v>
      </c>
    </row>
    <row r="437" spans="1:10" ht="16.5">
      <c r="A437" s="39" t="s">
        <v>650</v>
      </c>
      <c r="B437" s="46" t="s">
        <v>271</v>
      </c>
      <c r="C437" s="39" t="s">
        <v>856</v>
      </c>
      <c r="D437" s="72">
        <v>836953739</v>
      </c>
      <c r="E437" s="73">
        <v>2526443692</v>
      </c>
      <c r="F437" s="39" t="s">
        <v>261</v>
      </c>
      <c r="G437" s="256">
        <v>35280</v>
      </c>
      <c r="H437" s="255">
        <v>37026</v>
      </c>
      <c r="I437" s="105" t="str">
        <f>CHOOSE(MONTH(H437),"January","February","March","April","May","June","July","August","September","October","November","December")</f>
        <v>May</v>
      </c>
      <c r="J437" s="51">
        <f ca="1">DATEDIF(H437,TODAY(),"Y")</f>
        <v>15</v>
      </c>
    </row>
    <row r="438" spans="1:10" ht="16.5">
      <c r="A438" s="39" t="s">
        <v>565</v>
      </c>
      <c r="B438" s="46" t="s">
        <v>271</v>
      </c>
      <c r="C438" s="39" t="s">
        <v>465</v>
      </c>
      <c r="D438" s="72">
        <v>698869555</v>
      </c>
      <c r="E438" s="73">
        <v>2526052545</v>
      </c>
      <c r="F438" s="39" t="s">
        <v>261</v>
      </c>
      <c r="G438" s="256">
        <v>85510</v>
      </c>
      <c r="H438" s="255">
        <v>34483</v>
      </c>
      <c r="I438" s="105" t="str">
        <f>CHOOSE(MONTH(H438),"January","February","March","April","May","June","July","August","September","October","November","December")</f>
        <v>May</v>
      </c>
      <c r="J438" s="51">
        <f ca="1">DATEDIF(H438,TODAY(),"Y")</f>
        <v>22</v>
      </c>
    </row>
    <row r="439" spans="1:10" ht="16.5">
      <c r="A439" s="39" t="s">
        <v>697</v>
      </c>
      <c r="B439" s="46" t="s">
        <v>285</v>
      </c>
      <c r="C439" s="39" t="s">
        <v>312</v>
      </c>
      <c r="D439" s="72">
        <v>768215237</v>
      </c>
      <c r="E439" s="73">
        <v>9195993367</v>
      </c>
      <c r="F439" s="39" t="s">
        <v>261</v>
      </c>
      <c r="G439" s="256">
        <v>73440</v>
      </c>
      <c r="H439" s="255">
        <v>34458</v>
      </c>
      <c r="I439" s="105" t="str">
        <f>CHOOSE(MONTH(H439),"January","February","March","April","May","June","July","August","September","October","November","December")</f>
        <v>May</v>
      </c>
      <c r="J439" s="51">
        <f ca="1">DATEDIF(H439,TODAY(),"Y")</f>
        <v>22</v>
      </c>
    </row>
    <row r="440" spans="1:10" ht="16.5">
      <c r="A440" s="39" t="s">
        <v>861</v>
      </c>
      <c r="B440" s="46" t="s">
        <v>271</v>
      </c>
      <c r="C440" s="39" t="s">
        <v>456</v>
      </c>
      <c r="D440" s="72">
        <v>244171882</v>
      </c>
      <c r="E440" s="73">
        <v>2527577867</v>
      </c>
      <c r="F440" s="39" t="s">
        <v>261</v>
      </c>
      <c r="G440" s="256">
        <v>69320</v>
      </c>
      <c r="H440" s="255">
        <v>37053</v>
      </c>
      <c r="I440" s="105" t="str">
        <f>CHOOSE(MONTH(H440),"January","February","March","April","May","June","July","August","September","October","November","December")</f>
        <v>June</v>
      </c>
      <c r="J440" s="51">
        <f ca="1">DATEDIF(H440,TODAY(),"Y")</f>
        <v>15</v>
      </c>
    </row>
    <row r="441" spans="1:10" ht="16.5">
      <c r="A441" s="39" t="s">
        <v>793</v>
      </c>
      <c r="B441" s="46" t="s">
        <v>271</v>
      </c>
      <c r="C441" s="39" t="s">
        <v>705</v>
      </c>
      <c r="D441" s="72">
        <v>290385638</v>
      </c>
      <c r="E441" s="73">
        <v>9194518022</v>
      </c>
      <c r="F441" s="39" t="s">
        <v>261</v>
      </c>
      <c r="G441" s="256">
        <v>65560</v>
      </c>
      <c r="H441" s="255">
        <v>41085</v>
      </c>
      <c r="I441" s="105" t="str">
        <f>CHOOSE(MONTH(H441),"January","February","March","April","May","June","July","August","September","October","November","December")</f>
        <v>June</v>
      </c>
      <c r="J441" s="51">
        <f ca="1">DATEDIF(H441,TODAY(),"Y")</f>
        <v>4</v>
      </c>
    </row>
    <row r="442" spans="1:10" ht="16.5">
      <c r="A442" s="39" t="s">
        <v>643</v>
      </c>
      <c r="B442" s="46" t="s">
        <v>285</v>
      </c>
      <c r="C442" s="39" t="s">
        <v>930</v>
      </c>
      <c r="D442" s="72">
        <v>894855096</v>
      </c>
      <c r="E442" s="73">
        <v>9193936198</v>
      </c>
      <c r="F442" s="39" t="s">
        <v>261</v>
      </c>
      <c r="G442" s="256">
        <v>85920</v>
      </c>
      <c r="H442" s="255">
        <v>38139</v>
      </c>
      <c r="I442" s="105" t="str">
        <f>CHOOSE(MONTH(H442),"January","February","March","April","May","June","July","August","September","October","November","December")</f>
        <v>June</v>
      </c>
      <c r="J442" s="51">
        <f ca="1">DATEDIF(H442,TODAY(),"Y")</f>
        <v>12</v>
      </c>
    </row>
    <row r="443" spans="1:10" ht="16.5">
      <c r="A443" s="39" t="s">
        <v>386</v>
      </c>
      <c r="B443" s="46" t="s">
        <v>280</v>
      </c>
      <c r="C443" s="39" t="s">
        <v>856</v>
      </c>
      <c r="D443" s="72">
        <v>614562070</v>
      </c>
      <c r="E443" s="73">
        <v>9192485673</v>
      </c>
      <c r="F443" s="39" t="s">
        <v>261</v>
      </c>
      <c r="G443" s="256">
        <v>54270</v>
      </c>
      <c r="H443" s="255">
        <v>34133</v>
      </c>
      <c r="I443" s="105" t="str">
        <f>CHOOSE(MONTH(H443),"January","February","March","April","May","June","July","August","September","October","November","December")</f>
        <v>June</v>
      </c>
      <c r="J443" s="51">
        <f ca="1">DATEDIF(H443,TODAY(),"Y")</f>
        <v>23</v>
      </c>
    </row>
    <row r="444" spans="1:10" ht="16.5">
      <c r="A444" s="39" t="s">
        <v>734</v>
      </c>
      <c r="B444" s="46" t="s">
        <v>266</v>
      </c>
      <c r="C444" s="39" t="s">
        <v>705</v>
      </c>
      <c r="D444" s="72">
        <v>851400058</v>
      </c>
      <c r="E444" s="73">
        <v>9196012031</v>
      </c>
      <c r="F444" s="39" t="s">
        <v>261</v>
      </c>
      <c r="G444" s="256">
        <v>65720</v>
      </c>
      <c r="H444" s="255">
        <v>34488</v>
      </c>
      <c r="I444" s="105" t="str">
        <f>CHOOSE(MONTH(H444),"January","February","March","April","May","June","July","August","September","October","November","December")</f>
        <v>June</v>
      </c>
      <c r="J444" s="51">
        <f ca="1">DATEDIF(H444,TODAY(),"Y")</f>
        <v>22</v>
      </c>
    </row>
    <row r="445" spans="1:10" ht="16.5">
      <c r="A445" s="39" t="s">
        <v>302</v>
      </c>
      <c r="B445" s="46" t="s">
        <v>285</v>
      </c>
      <c r="C445" s="39" t="s">
        <v>417</v>
      </c>
      <c r="D445" s="72">
        <v>393051351</v>
      </c>
      <c r="E445" s="73">
        <v>9197508998</v>
      </c>
      <c r="F445" s="39" t="s">
        <v>261</v>
      </c>
      <c r="G445" s="256">
        <v>31260</v>
      </c>
      <c r="H445" s="255">
        <v>35603</v>
      </c>
      <c r="I445" s="105" t="str">
        <f>CHOOSE(MONTH(H445),"January","February","March","April","May","June","July","August","September","October","November","December")</f>
        <v>June</v>
      </c>
      <c r="J445" s="51">
        <f ca="1">DATEDIF(H445,TODAY(),"Y")</f>
        <v>19</v>
      </c>
    </row>
    <row r="446" spans="1:10" ht="16.5">
      <c r="A446" s="39" t="s">
        <v>445</v>
      </c>
      <c r="B446" s="46" t="s">
        <v>245</v>
      </c>
      <c r="C446" s="39" t="s">
        <v>930</v>
      </c>
      <c r="D446" s="72">
        <v>145495793</v>
      </c>
      <c r="E446" s="73">
        <v>2521603964</v>
      </c>
      <c r="F446" s="39" t="s">
        <v>261</v>
      </c>
      <c r="G446" s="256">
        <v>69200</v>
      </c>
      <c r="H446" s="255">
        <v>39263</v>
      </c>
      <c r="I446" s="105" t="str">
        <f>CHOOSE(MONTH(H446),"January","February","March","April","May","June","July","August","September","October","November","December")</f>
        <v>June</v>
      </c>
      <c r="J446" s="51">
        <f ca="1">DATEDIF(H446,TODAY(),"Y")</f>
        <v>9</v>
      </c>
    </row>
    <row r="447" spans="1:10" ht="16.5">
      <c r="A447" s="39" t="s">
        <v>608</v>
      </c>
      <c r="B447" s="46" t="s">
        <v>245</v>
      </c>
      <c r="C447" s="39" t="s">
        <v>626</v>
      </c>
      <c r="D447" s="72">
        <v>372693786</v>
      </c>
      <c r="E447" s="73">
        <v>9198211050</v>
      </c>
      <c r="F447" s="39" t="s">
        <v>261</v>
      </c>
      <c r="G447" s="256">
        <v>74500</v>
      </c>
      <c r="H447" s="255">
        <v>39238</v>
      </c>
      <c r="I447" s="105" t="str">
        <f>CHOOSE(MONTH(H447),"January","February","March","April","May","June","July","August","September","October","November","December")</f>
        <v>June</v>
      </c>
      <c r="J447" s="51">
        <f ca="1">DATEDIF(H447,TODAY(),"Y")</f>
        <v>9</v>
      </c>
    </row>
    <row r="448" spans="1:10" ht="16.5">
      <c r="A448" s="39" t="s">
        <v>707</v>
      </c>
      <c r="B448" s="46" t="s">
        <v>245</v>
      </c>
      <c r="C448" s="39" t="s">
        <v>312</v>
      </c>
      <c r="D448" s="72">
        <v>936730279</v>
      </c>
      <c r="E448" s="73">
        <v>2528033253</v>
      </c>
      <c r="F448" s="39" t="s">
        <v>261</v>
      </c>
      <c r="G448" s="256">
        <v>45260</v>
      </c>
      <c r="H448" s="255">
        <v>36369</v>
      </c>
      <c r="I448" s="105" t="str">
        <f>CHOOSE(MONTH(H448),"January","February","March","April","May","June","July","August","September","October","November","December")</f>
        <v>July</v>
      </c>
      <c r="J448" s="51">
        <f ca="1">DATEDIF(H448,TODAY(),"Y")</f>
        <v>17</v>
      </c>
    </row>
    <row r="449" spans="1:10" ht="16.5">
      <c r="A449" s="39" t="s">
        <v>784</v>
      </c>
      <c r="B449" s="46" t="s">
        <v>271</v>
      </c>
      <c r="C449" s="39" t="s">
        <v>312</v>
      </c>
      <c r="D449" s="72">
        <v>148899089</v>
      </c>
      <c r="E449" s="73">
        <v>2524734960</v>
      </c>
      <c r="F449" s="39" t="s">
        <v>261</v>
      </c>
      <c r="G449" s="256">
        <v>37760</v>
      </c>
      <c r="H449" s="255">
        <v>37086</v>
      </c>
      <c r="I449" s="105" t="str">
        <f>CHOOSE(MONTH(H449),"January","February","March","April","May","June","July","August","September","October","November","December")</f>
        <v>July</v>
      </c>
      <c r="J449" s="51">
        <f ca="1">DATEDIF(H449,TODAY(),"Y")</f>
        <v>15</v>
      </c>
    </row>
    <row r="450" spans="1:10" ht="16.5">
      <c r="A450" s="39" t="s">
        <v>318</v>
      </c>
      <c r="B450" s="46" t="s">
        <v>245</v>
      </c>
      <c r="C450" s="39" t="s">
        <v>626</v>
      </c>
      <c r="D450" s="72">
        <v>499124019</v>
      </c>
      <c r="E450" s="73">
        <v>9195978858</v>
      </c>
      <c r="F450" s="39" t="s">
        <v>261</v>
      </c>
      <c r="G450" s="256">
        <v>78570</v>
      </c>
      <c r="H450" s="255">
        <v>35980</v>
      </c>
      <c r="I450" s="105" t="str">
        <f>CHOOSE(MONTH(H450),"January","February","March","April","May","June","July","August","September","October","November","December")</f>
        <v>July</v>
      </c>
      <c r="J450" s="51">
        <f ca="1">DATEDIF(H450,TODAY(),"Y")</f>
        <v>18</v>
      </c>
    </row>
    <row r="451" spans="1:10" ht="16.5">
      <c r="A451" s="39" t="s">
        <v>321</v>
      </c>
      <c r="B451" s="46" t="s">
        <v>285</v>
      </c>
      <c r="C451" s="39" t="s">
        <v>930</v>
      </c>
      <c r="D451" s="72">
        <v>277423593</v>
      </c>
      <c r="E451" s="73">
        <v>9195790921</v>
      </c>
      <c r="F451" s="39" t="s">
        <v>261</v>
      </c>
      <c r="G451" s="256">
        <v>45770</v>
      </c>
      <c r="H451" s="255">
        <v>39287</v>
      </c>
      <c r="I451" s="105" t="str">
        <f>CHOOSE(MONTH(H451),"January","February","March","April","May","June","July","August","September","October","November","December")</f>
        <v>July</v>
      </c>
      <c r="J451" s="51">
        <f ca="1">DATEDIF(H451,TODAY(),"Y")</f>
        <v>9</v>
      </c>
    </row>
    <row r="452" spans="1:10" ht="16.5">
      <c r="A452" s="39" t="s">
        <v>809</v>
      </c>
      <c r="B452" s="46" t="s">
        <v>245</v>
      </c>
      <c r="C452" s="39" t="s">
        <v>465</v>
      </c>
      <c r="D452" s="72">
        <v>488831244</v>
      </c>
      <c r="E452" s="73">
        <v>9198979762</v>
      </c>
      <c r="F452" s="39" t="s">
        <v>261</v>
      </c>
      <c r="G452" s="256">
        <v>8892</v>
      </c>
      <c r="H452" s="255">
        <v>36361</v>
      </c>
      <c r="I452" s="105" t="str">
        <f>CHOOSE(MONTH(H452),"January","February","March","April","May","June","July","August","September","October","November","December")</f>
        <v>July</v>
      </c>
      <c r="J452" s="51">
        <f ca="1">DATEDIF(H452,TODAY(),"Y")</f>
        <v>17</v>
      </c>
    </row>
    <row r="453" spans="1:10" ht="16.5">
      <c r="A453" s="39" t="s">
        <v>891</v>
      </c>
      <c r="B453" s="46" t="s">
        <v>245</v>
      </c>
      <c r="C453" s="39" t="s">
        <v>856</v>
      </c>
      <c r="D453" s="72">
        <v>357568979</v>
      </c>
      <c r="E453" s="73">
        <v>2524316324</v>
      </c>
      <c r="F453" s="39" t="s">
        <v>261</v>
      </c>
      <c r="G453" s="256">
        <v>26790</v>
      </c>
      <c r="H453" s="255">
        <v>40732</v>
      </c>
      <c r="I453" s="105" t="str">
        <f>CHOOSE(MONTH(H453),"January","February","March","April","May","June","July","August","September","October","November","December")</f>
        <v>July</v>
      </c>
      <c r="J453" s="51">
        <f ca="1">DATEDIF(H453,TODAY(),"Y")</f>
        <v>5</v>
      </c>
    </row>
    <row r="454" spans="1:10" ht="16.5">
      <c r="A454" s="39" t="s">
        <v>896</v>
      </c>
      <c r="B454" s="46" t="s">
        <v>280</v>
      </c>
      <c r="C454" s="39" t="s">
        <v>767</v>
      </c>
      <c r="D454" s="72">
        <v>486016972</v>
      </c>
      <c r="E454" s="73">
        <v>9194532398</v>
      </c>
      <c r="F454" s="39" t="s">
        <v>261</v>
      </c>
      <c r="G454" s="256">
        <v>63206</v>
      </c>
      <c r="H454" s="255">
        <v>41119</v>
      </c>
      <c r="I454" s="105" t="str">
        <f>CHOOSE(MONTH(H454),"January","February","March","April","May","June","July","August","September","October","November","December")</f>
        <v>July</v>
      </c>
      <c r="J454" s="51">
        <f ca="1">DATEDIF(H454,TODAY(),"Y")</f>
        <v>4</v>
      </c>
    </row>
    <row r="455" spans="1:10" ht="16.5">
      <c r="A455" s="45" t="s">
        <v>281</v>
      </c>
      <c r="B455" s="46" t="s">
        <v>285</v>
      </c>
      <c r="C455" s="39" t="s">
        <v>465</v>
      </c>
      <c r="D455" s="72">
        <v>930282755</v>
      </c>
      <c r="E455" s="73">
        <v>9192380636</v>
      </c>
      <c r="F455" s="39" t="s">
        <v>261</v>
      </c>
      <c r="G455" s="256">
        <v>87760</v>
      </c>
      <c r="H455" s="255">
        <v>37446</v>
      </c>
      <c r="I455" s="105" t="str">
        <f>CHOOSE(MONTH(H455),"January","February","March","April","May","June","July","August","September","October","November","December")</f>
        <v>July</v>
      </c>
      <c r="J455" s="51">
        <f ca="1">DATEDIF(H455,TODAY(),"Y")</f>
        <v>14</v>
      </c>
    </row>
    <row r="456" spans="1:10" ht="16.5">
      <c r="A456" s="39" t="s">
        <v>304</v>
      </c>
      <c r="B456" s="46" t="s">
        <v>266</v>
      </c>
      <c r="C456" s="39" t="s">
        <v>767</v>
      </c>
      <c r="D456" s="72">
        <v>437460422</v>
      </c>
      <c r="E456" s="73">
        <v>2528439277</v>
      </c>
      <c r="F456" s="39" t="s">
        <v>261</v>
      </c>
      <c r="G456" s="256">
        <v>50570</v>
      </c>
      <c r="H456" s="255">
        <v>41473</v>
      </c>
      <c r="I456" s="105" t="str">
        <f>CHOOSE(MONTH(H456),"January","February","March","April","May","June","July","August","September","October","November","December")</f>
        <v>July</v>
      </c>
      <c r="J456" s="51">
        <f ca="1">DATEDIF(H456,TODAY(),"Y")</f>
        <v>3</v>
      </c>
    </row>
    <row r="457" spans="1:10" ht="16.5">
      <c r="A457" s="39" t="s">
        <v>409</v>
      </c>
      <c r="B457" s="46" t="s">
        <v>251</v>
      </c>
      <c r="C457" s="39" t="s">
        <v>465</v>
      </c>
      <c r="D457" s="72">
        <v>100679868</v>
      </c>
      <c r="E457" s="73">
        <v>9198082183</v>
      </c>
      <c r="F457" s="39" t="s">
        <v>261</v>
      </c>
      <c r="G457" s="256">
        <v>32120</v>
      </c>
      <c r="H457" s="255">
        <v>41478</v>
      </c>
      <c r="I457" s="105" t="str">
        <f>CHOOSE(MONTH(H457),"January","February","March","April","May","June","July","August","September","October","November","December")</f>
        <v>July</v>
      </c>
      <c r="J457" s="51">
        <f ca="1">DATEDIF(H457,TODAY(),"Y")</f>
        <v>3</v>
      </c>
    </row>
    <row r="458" spans="1:10" ht="16.5">
      <c r="A458" s="39" t="s">
        <v>857</v>
      </c>
      <c r="B458" s="46" t="s">
        <v>245</v>
      </c>
      <c r="C458" s="39" t="s">
        <v>767</v>
      </c>
      <c r="D458" s="72">
        <v>570756015</v>
      </c>
      <c r="E458" s="73">
        <v>2522238535</v>
      </c>
      <c r="F458" s="39" t="s">
        <v>261</v>
      </c>
      <c r="G458" s="256">
        <v>60760</v>
      </c>
      <c r="H458" s="255">
        <v>34200</v>
      </c>
      <c r="I458" s="105" t="str">
        <f>CHOOSE(MONTH(H458),"January","February","March","April","May","June","July","August","September","October","November","December")</f>
        <v>August</v>
      </c>
      <c r="J458" s="51">
        <f ca="1">DATEDIF(H458,TODAY(),"Y")</f>
        <v>23</v>
      </c>
    </row>
    <row r="459" spans="1:10" ht="16.5">
      <c r="A459" s="39" t="s">
        <v>410</v>
      </c>
      <c r="B459" s="46" t="s">
        <v>271</v>
      </c>
      <c r="C459" s="39" t="s">
        <v>465</v>
      </c>
      <c r="D459" s="72">
        <v>984570981</v>
      </c>
      <c r="E459" s="73">
        <v>2528155179</v>
      </c>
      <c r="F459" s="39" t="s">
        <v>261</v>
      </c>
      <c r="G459" s="256">
        <v>64470</v>
      </c>
      <c r="H459" s="255">
        <v>37124</v>
      </c>
      <c r="I459" s="105" t="str">
        <f>CHOOSE(MONTH(H459),"January","February","March","April","May","June","July","August","September","October","November","December")</f>
        <v>August</v>
      </c>
      <c r="J459" s="51">
        <f ca="1">DATEDIF(H459,TODAY(),"Y")</f>
        <v>15</v>
      </c>
    </row>
    <row r="460" spans="1:10" ht="16.5">
      <c r="A460" s="39" t="s">
        <v>498</v>
      </c>
      <c r="B460" s="46" t="s">
        <v>280</v>
      </c>
      <c r="C460" s="39" t="s">
        <v>678</v>
      </c>
      <c r="D460" s="72">
        <v>303641529</v>
      </c>
      <c r="E460" s="73">
        <v>9196753698</v>
      </c>
      <c r="F460" s="39" t="s">
        <v>261</v>
      </c>
      <c r="G460" s="256">
        <v>74670</v>
      </c>
      <c r="H460" s="255">
        <v>39663</v>
      </c>
      <c r="I460" s="105" t="str">
        <f>CHOOSE(MONTH(H460),"January","February","March","April","May","June","July","August","September","October","November","December")</f>
        <v>August</v>
      </c>
      <c r="J460" s="51">
        <f ca="1">DATEDIF(H460,TODAY(),"Y")</f>
        <v>8</v>
      </c>
    </row>
    <row r="461" spans="1:10" ht="16.5">
      <c r="A461" s="39" t="s">
        <v>332</v>
      </c>
      <c r="B461" s="46" t="s">
        <v>266</v>
      </c>
      <c r="C461" s="39" t="s">
        <v>312</v>
      </c>
      <c r="D461" s="72">
        <v>867671341</v>
      </c>
      <c r="E461" s="73">
        <v>2528317543</v>
      </c>
      <c r="F461" s="39" t="s">
        <v>261</v>
      </c>
      <c r="G461" s="256">
        <v>75550</v>
      </c>
      <c r="H461" s="255">
        <v>36400</v>
      </c>
      <c r="I461" s="105" t="str">
        <f>CHOOSE(MONTH(H461),"January","February","March","April","May","June","July","August","September","October","November","December")</f>
        <v>August</v>
      </c>
      <c r="J461" s="51">
        <f ca="1">DATEDIF(H461,TODAY(),"Y")</f>
        <v>17</v>
      </c>
    </row>
    <row r="462" spans="1:10" ht="16.5">
      <c r="A462" s="39" t="s">
        <v>547</v>
      </c>
      <c r="B462" s="46" t="s">
        <v>266</v>
      </c>
      <c r="C462" s="39" t="s">
        <v>1031</v>
      </c>
      <c r="D462" s="72">
        <v>495372474</v>
      </c>
      <c r="E462" s="73">
        <v>9194137278</v>
      </c>
      <c r="F462" s="39" t="s">
        <v>261</v>
      </c>
      <c r="G462" s="256">
        <v>42990</v>
      </c>
      <c r="H462" s="255">
        <v>34552</v>
      </c>
      <c r="I462" s="105" t="str">
        <f>CHOOSE(MONTH(H462),"January","February","March","April","May","June","July","August","September","October","November","December")</f>
        <v>August</v>
      </c>
      <c r="J462" s="51">
        <f ca="1">DATEDIF(H462,TODAY(),"Y")</f>
        <v>22</v>
      </c>
    </row>
    <row r="463" spans="1:10" ht="16.5">
      <c r="A463" s="39" t="s">
        <v>825</v>
      </c>
      <c r="B463" s="46" t="s">
        <v>266</v>
      </c>
      <c r="C463" s="39" t="s">
        <v>767</v>
      </c>
      <c r="D463" s="72">
        <v>868364739</v>
      </c>
      <c r="E463" s="73">
        <v>9195255121</v>
      </c>
      <c r="F463" s="39" t="s">
        <v>261</v>
      </c>
      <c r="G463" s="256">
        <v>57110</v>
      </c>
      <c r="H463" s="255">
        <v>34190</v>
      </c>
      <c r="I463" s="105" t="str">
        <f>CHOOSE(MONTH(H463),"January","February","March","April","May","June","July","August","September","October","November","December")</f>
        <v>August</v>
      </c>
      <c r="J463" s="51">
        <f ca="1">DATEDIF(H463,TODAY(),"Y")</f>
        <v>23</v>
      </c>
    </row>
    <row r="464" spans="1:10" ht="16.5">
      <c r="A464" s="39" t="s">
        <v>407</v>
      </c>
      <c r="B464" s="46" t="s">
        <v>271</v>
      </c>
      <c r="C464" s="39" t="s">
        <v>417</v>
      </c>
      <c r="D464" s="72">
        <v>736688620</v>
      </c>
      <c r="E464" s="73">
        <v>2524562999</v>
      </c>
      <c r="F464" s="39" t="s">
        <v>261</v>
      </c>
      <c r="G464" s="256">
        <v>71970</v>
      </c>
      <c r="H464" s="255">
        <v>41491</v>
      </c>
      <c r="I464" s="105" t="str">
        <f>CHOOSE(MONTH(H464),"January","February","March","April","May","June","July","August","September","October","November","December")</f>
        <v>August</v>
      </c>
      <c r="J464" s="51">
        <f ca="1">DATEDIF(H464,TODAY(),"Y")</f>
        <v>3</v>
      </c>
    </row>
    <row r="465" spans="1:10" ht="16.5">
      <c r="A465" s="39" t="s">
        <v>913</v>
      </c>
      <c r="B465" s="46" t="s">
        <v>285</v>
      </c>
      <c r="C465" s="39" t="s">
        <v>705</v>
      </c>
      <c r="D465" s="72">
        <v>489013842</v>
      </c>
      <c r="E465" s="73">
        <v>2521658481</v>
      </c>
      <c r="F465" s="39" t="s">
        <v>261</v>
      </c>
      <c r="G465" s="256">
        <v>79400</v>
      </c>
      <c r="H465" s="255">
        <v>34938</v>
      </c>
      <c r="I465" s="105" t="str">
        <f>CHOOSE(MONTH(H465),"January","February","March","April","May","June","July","August","September","October","November","December")</f>
        <v>August</v>
      </c>
      <c r="J465" s="51">
        <f ca="1">DATEDIF(H465,TODAY(),"Y")</f>
        <v>21</v>
      </c>
    </row>
    <row r="466" spans="1:10" ht="16.5">
      <c r="A466" s="39" t="s">
        <v>592</v>
      </c>
      <c r="B466" s="46" t="s">
        <v>285</v>
      </c>
      <c r="C466" s="39" t="s">
        <v>930</v>
      </c>
      <c r="D466" s="72">
        <v>879114558</v>
      </c>
      <c r="E466" s="73">
        <v>9194557504</v>
      </c>
      <c r="F466" s="39" t="s">
        <v>261</v>
      </c>
      <c r="G466" s="256">
        <v>20040</v>
      </c>
      <c r="H466" s="255">
        <v>34192</v>
      </c>
      <c r="I466" s="105" t="str">
        <f>CHOOSE(MONTH(H466),"January","February","March","April","May","June","July","August","September","October","November","December")</f>
        <v>August</v>
      </c>
      <c r="J466" s="51">
        <f ca="1">DATEDIF(H466,TODAY(),"Y")</f>
        <v>23</v>
      </c>
    </row>
    <row r="467" spans="1:10" ht="16.5">
      <c r="A467" s="39" t="s">
        <v>833</v>
      </c>
      <c r="B467" s="46" t="s">
        <v>245</v>
      </c>
      <c r="C467" s="39" t="s">
        <v>930</v>
      </c>
      <c r="D467" s="72">
        <v>262585858</v>
      </c>
      <c r="E467" s="73">
        <v>2528566597</v>
      </c>
      <c r="F467" s="39" t="s">
        <v>261</v>
      </c>
      <c r="G467" s="256">
        <v>9180</v>
      </c>
      <c r="H467" s="255">
        <v>34931</v>
      </c>
      <c r="I467" s="105" t="str">
        <f>CHOOSE(MONTH(H467),"January","February","March","April","May","June","July","August","September","October","November","December")</f>
        <v>August</v>
      </c>
      <c r="J467" s="51">
        <f ca="1">DATEDIF(H467,TODAY(),"Y")</f>
        <v>21</v>
      </c>
    </row>
    <row r="468" spans="1:10" ht="16.5">
      <c r="A468" s="39" t="s">
        <v>1011</v>
      </c>
      <c r="B468" s="46" t="s">
        <v>280</v>
      </c>
      <c r="C468" s="39" t="s">
        <v>856</v>
      </c>
      <c r="D468" s="72">
        <v>619456809</v>
      </c>
      <c r="E468" s="73">
        <v>9196865606</v>
      </c>
      <c r="F468" s="39" t="s">
        <v>261</v>
      </c>
      <c r="G468" s="256">
        <v>44650</v>
      </c>
      <c r="H468" s="255">
        <v>36752</v>
      </c>
      <c r="I468" s="105" t="str">
        <f>CHOOSE(MONTH(H468),"January","February","March","April","May","June","July","August","September","October","November","December")</f>
        <v>August</v>
      </c>
      <c r="J468" s="51">
        <f ca="1">DATEDIF(H468,TODAY(),"Y")</f>
        <v>16</v>
      </c>
    </row>
    <row r="469" spans="1:10" ht="16.5">
      <c r="A469" s="39" t="s">
        <v>928</v>
      </c>
      <c r="B469" s="46" t="s">
        <v>271</v>
      </c>
      <c r="C469" s="39" t="s">
        <v>465</v>
      </c>
      <c r="D469" s="72">
        <v>569701716</v>
      </c>
      <c r="E469" s="73">
        <v>2527461285</v>
      </c>
      <c r="F469" s="39" t="s">
        <v>261</v>
      </c>
      <c r="G469" s="256">
        <v>68260</v>
      </c>
      <c r="H469" s="255">
        <v>38594</v>
      </c>
      <c r="I469" s="105" t="str">
        <f>CHOOSE(MONTH(H469),"January","February","March","April","May","June","July","August","September","October","November","December")</f>
        <v>August</v>
      </c>
      <c r="J469" s="51">
        <f ca="1">DATEDIF(H469,TODAY(),"Y")</f>
        <v>11</v>
      </c>
    </row>
    <row r="470" spans="1:10" ht="16.5">
      <c r="A470" s="39" t="s">
        <v>787</v>
      </c>
      <c r="B470" s="46" t="s">
        <v>271</v>
      </c>
      <c r="C470" s="39" t="s">
        <v>626</v>
      </c>
      <c r="D470" s="72">
        <v>393290045</v>
      </c>
      <c r="E470" s="73">
        <v>2525268508</v>
      </c>
      <c r="F470" s="39" t="s">
        <v>261</v>
      </c>
      <c r="G470" s="256">
        <v>87980</v>
      </c>
      <c r="H470" s="255">
        <v>36411</v>
      </c>
      <c r="I470" s="105" t="str">
        <f>CHOOSE(MONTH(H470),"January","February","March","April","May","June","July","August","September","October","November","December")</f>
        <v>September</v>
      </c>
      <c r="J470" s="51">
        <f ca="1">DATEDIF(H470,TODAY(),"Y")</f>
        <v>17</v>
      </c>
    </row>
    <row r="471" spans="1:10" ht="16.5">
      <c r="A471" s="39" t="s">
        <v>636</v>
      </c>
      <c r="B471" s="46" t="s">
        <v>285</v>
      </c>
      <c r="C471" s="39" t="s">
        <v>307</v>
      </c>
      <c r="D471" s="72">
        <v>534034571</v>
      </c>
      <c r="E471" s="73">
        <v>2526169135</v>
      </c>
      <c r="F471" s="39" t="s">
        <v>261</v>
      </c>
      <c r="G471" s="256">
        <v>59420</v>
      </c>
      <c r="H471" s="255">
        <v>38241</v>
      </c>
      <c r="I471" s="105" t="str">
        <f>CHOOSE(MONTH(H471),"January","February","March","April","May","June","July","August","September","October","November","December")</f>
        <v>September</v>
      </c>
      <c r="J471" s="51">
        <f ca="1">DATEDIF(H471,TODAY(),"Y")</f>
        <v>12</v>
      </c>
    </row>
    <row r="472" spans="1:10" ht="16.5">
      <c r="A472" s="39" t="s">
        <v>1033</v>
      </c>
      <c r="B472" s="46" t="s">
        <v>266</v>
      </c>
      <c r="C472" s="39" t="s">
        <v>930</v>
      </c>
      <c r="D472" s="72">
        <v>758001890</v>
      </c>
      <c r="E472" s="73">
        <v>2521202348</v>
      </c>
      <c r="F472" s="39" t="s">
        <v>261</v>
      </c>
      <c r="G472" s="256">
        <v>43580</v>
      </c>
      <c r="H472" s="255">
        <v>36421</v>
      </c>
      <c r="I472" s="105" t="str">
        <f>CHOOSE(MONTH(H472),"January","February","March","April","May","June","July","August","September","October","November","December")</f>
        <v>September</v>
      </c>
      <c r="J472" s="51">
        <f ca="1">DATEDIF(H472,TODAY(),"Y")</f>
        <v>17</v>
      </c>
    </row>
    <row r="473" spans="1:10" ht="16.5">
      <c r="A473" s="39" t="s">
        <v>524</v>
      </c>
      <c r="B473" s="46" t="s">
        <v>271</v>
      </c>
      <c r="C473" s="39" t="s">
        <v>307</v>
      </c>
      <c r="D473" s="72">
        <v>601942708</v>
      </c>
      <c r="E473" s="73">
        <v>9198085402</v>
      </c>
      <c r="F473" s="39" t="s">
        <v>261</v>
      </c>
      <c r="G473" s="256">
        <v>13090</v>
      </c>
      <c r="H473" s="255">
        <v>41544</v>
      </c>
      <c r="I473" s="105" t="str">
        <f>CHOOSE(MONTH(H473),"January","February","March","April","May","June","July","August","September","October","November","December")</f>
        <v>September</v>
      </c>
      <c r="J473" s="51">
        <f ca="1">DATEDIF(H473,TODAY(),"Y")</f>
        <v>3</v>
      </c>
    </row>
    <row r="474" spans="1:10" ht="16.5">
      <c r="A474" s="39" t="s">
        <v>401</v>
      </c>
      <c r="B474" s="46" t="s">
        <v>285</v>
      </c>
      <c r="C474" s="39" t="s">
        <v>767</v>
      </c>
      <c r="D474" s="72">
        <v>115404531</v>
      </c>
      <c r="E474" s="73">
        <v>2522636321</v>
      </c>
      <c r="F474" s="39" t="s">
        <v>261</v>
      </c>
      <c r="G474" s="256">
        <v>32140</v>
      </c>
      <c r="H474" s="255">
        <v>41530</v>
      </c>
      <c r="I474" s="105" t="str">
        <f>CHOOSE(MONTH(H474),"January","February","March","April","May","June","July","August","September","October","November","December")</f>
        <v>September</v>
      </c>
      <c r="J474" s="51">
        <f ca="1">DATEDIF(H474,TODAY(),"Y")</f>
        <v>3</v>
      </c>
    </row>
    <row r="475" spans="1:10" ht="16.5">
      <c r="A475" s="39" t="s">
        <v>614</v>
      </c>
      <c r="B475" s="46" t="s">
        <v>266</v>
      </c>
      <c r="C475" s="39" t="s">
        <v>856</v>
      </c>
      <c r="D475" s="72">
        <v>878902154</v>
      </c>
      <c r="E475" s="73">
        <v>9191155509</v>
      </c>
      <c r="F475" s="39" t="s">
        <v>261</v>
      </c>
      <c r="G475" s="256">
        <v>45500</v>
      </c>
      <c r="H475" s="255">
        <v>36428</v>
      </c>
      <c r="I475" s="105" t="str">
        <f>CHOOSE(MONTH(H475),"January","February","March","April","May","June","July","August","September","October","November","December")</f>
        <v>September</v>
      </c>
      <c r="J475" s="51">
        <f ca="1">DATEDIF(H475,TODAY(),"Y")</f>
        <v>17</v>
      </c>
    </row>
    <row r="476" spans="1:10" ht="16.5">
      <c r="A476" s="39" t="s">
        <v>929</v>
      </c>
      <c r="B476" s="46" t="s">
        <v>285</v>
      </c>
      <c r="C476" s="39" t="s">
        <v>417</v>
      </c>
      <c r="D476" s="72">
        <v>116869057</v>
      </c>
      <c r="E476" s="73">
        <v>2521614846</v>
      </c>
      <c r="F476" s="39" t="s">
        <v>261</v>
      </c>
      <c r="G476" s="256">
        <v>46360</v>
      </c>
      <c r="H476" s="255">
        <v>34986</v>
      </c>
      <c r="I476" s="105" t="str">
        <f>CHOOSE(MONTH(H476),"January","February","March","April","May","June","July","August","September","October","November","December")</f>
        <v>October</v>
      </c>
      <c r="J476" s="51">
        <f ca="1">DATEDIF(H476,TODAY(),"Y")</f>
        <v>21</v>
      </c>
    </row>
    <row r="477" spans="1:10" ht="16.5">
      <c r="A477" s="39" t="s">
        <v>710</v>
      </c>
      <c r="B477" s="46" t="s">
        <v>271</v>
      </c>
      <c r="C477" s="39" t="s">
        <v>856</v>
      </c>
      <c r="D477" s="72">
        <v>718930584</v>
      </c>
      <c r="E477" s="73">
        <v>9195804771</v>
      </c>
      <c r="F477" s="39" t="s">
        <v>261</v>
      </c>
      <c r="G477" s="256">
        <v>36788</v>
      </c>
      <c r="H477" s="255">
        <v>34258</v>
      </c>
      <c r="I477" s="105" t="str">
        <f>CHOOSE(MONTH(H477),"January","February","March","April","May","June","July","August","September","October","November","December")</f>
        <v>October</v>
      </c>
      <c r="J477" s="51">
        <f ca="1">DATEDIF(H477,TODAY(),"Y")</f>
        <v>23</v>
      </c>
    </row>
    <row r="478" spans="1:10" ht="16.5">
      <c r="A478" s="39" t="s">
        <v>474</v>
      </c>
      <c r="B478" s="46" t="s">
        <v>245</v>
      </c>
      <c r="C478" s="39" t="s">
        <v>705</v>
      </c>
      <c r="D478" s="72">
        <v>972791650</v>
      </c>
      <c r="E478" s="73">
        <v>2525236892</v>
      </c>
      <c r="F478" s="39" t="s">
        <v>261</v>
      </c>
      <c r="G478" s="256">
        <v>86500</v>
      </c>
      <c r="H478" s="255">
        <v>37918</v>
      </c>
      <c r="I478" s="105" t="str">
        <f>CHOOSE(MONTH(H478),"January","February","March","April","May","June","July","August","September","October","November","December")</f>
        <v>October</v>
      </c>
      <c r="J478" s="51">
        <f ca="1">DATEDIF(H478,TODAY(),"Y")</f>
        <v>13</v>
      </c>
    </row>
    <row r="479" spans="1:10" ht="16.5">
      <c r="A479" s="39" t="s">
        <v>943</v>
      </c>
      <c r="B479" s="46" t="s">
        <v>285</v>
      </c>
      <c r="C479" s="39" t="s">
        <v>465</v>
      </c>
      <c r="D479" s="72">
        <v>356242235</v>
      </c>
      <c r="E479" s="73">
        <v>2521667727</v>
      </c>
      <c r="F479" s="39" t="s">
        <v>261</v>
      </c>
      <c r="G479" s="256">
        <v>49545</v>
      </c>
      <c r="H479" s="255">
        <v>37173</v>
      </c>
      <c r="I479" s="105" t="str">
        <f>CHOOSE(MONTH(H479),"January","February","March","April","May","June","July","August","September","October","November","December")</f>
        <v>October</v>
      </c>
      <c r="J479" s="51">
        <f ca="1">DATEDIF(H479,TODAY(),"Y")</f>
        <v>15</v>
      </c>
    </row>
    <row r="480" spans="1:10" ht="16.5">
      <c r="A480" s="39" t="s">
        <v>880</v>
      </c>
      <c r="B480" s="46" t="s">
        <v>245</v>
      </c>
      <c r="C480" s="39" t="s">
        <v>417</v>
      </c>
      <c r="D480" s="72">
        <v>304068732</v>
      </c>
      <c r="E480" s="73">
        <v>2523919445</v>
      </c>
      <c r="F480" s="39" t="s">
        <v>261</v>
      </c>
      <c r="G480" s="256">
        <v>61060</v>
      </c>
      <c r="H480" s="255">
        <v>36436</v>
      </c>
      <c r="I480" s="105" t="str">
        <f>CHOOSE(MONTH(H480),"January","February","March","April","May","June","July","August","September","October","November","December")</f>
        <v>October</v>
      </c>
      <c r="J480" s="51">
        <f ca="1">DATEDIF(H480,TODAY(),"Y")</f>
        <v>17</v>
      </c>
    </row>
    <row r="481" spans="1:10" ht="16.5">
      <c r="A481" s="39" t="s">
        <v>652</v>
      </c>
      <c r="B481" s="46" t="s">
        <v>285</v>
      </c>
      <c r="C481" s="39" t="s">
        <v>391</v>
      </c>
      <c r="D481" s="72">
        <v>585815837</v>
      </c>
      <c r="E481" s="73">
        <v>9194983657</v>
      </c>
      <c r="F481" s="39" t="s">
        <v>261</v>
      </c>
      <c r="G481" s="256">
        <v>13435</v>
      </c>
      <c r="H481" s="255">
        <v>34612</v>
      </c>
      <c r="I481" s="105" t="str">
        <f>CHOOSE(MONTH(H481),"January","February","March","April","May","June","July","August","September","October","November","December")</f>
        <v>October</v>
      </c>
      <c r="J481" s="51">
        <f ca="1">DATEDIF(H481,TODAY(),"Y")</f>
        <v>22</v>
      </c>
    </row>
    <row r="482" spans="1:10" ht="16.5">
      <c r="A482" s="39" t="s">
        <v>455</v>
      </c>
      <c r="B482" s="46" t="s">
        <v>271</v>
      </c>
      <c r="C482" s="39" t="s">
        <v>381</v>
      </c>
      <c r="D482" s="72">
        <v>324622113</v>
      </c>
      <c r="E482" s="73">
        <v>9198824849</v>
      </c>
      <c r="F482" s="39" t="s">
        <v>261</v>
      </c>
      <c r="G482" s="256">
        <v>25690</v>
      </c>
      <c r="H482" s="255">
        <v>36107</v>
      </c>
      <c r="I482" s="105" t="str">
        <f>CHOOSE(MONTH(H482),"January","February","March","April","May","June","July","August","September","October","November","December")</f>
        <v>November</v>
      </c>
      <c r="J482" s="51">
        <f ca="1">DATEDIF(H482,TODAY(),"Y")</f>
        <v>18</v>
      </c>
    </row>
    <row r="483" spans="1:10" ht="16.5">
      <c r="A483" s="39" t="s">
        <v>298</v>
      </c>
      <c r="B483" s="46" t="s">
        <v>285</v>
      </c>
      <c r="C483" s="39" t="s">
        <v>750</v>
      </c>
      <c r="D483" s="72">
        <v>852430023</v>
      </c>
      <c r="E483" s="73">
        <v>9195506190</v>
      </c>
      <c r="F483" s="39" t="s">
        <v>261</v>
      </c>
      <c r="G483" s="256">
        <v>71490</v>
      </c>
      <c r="H483" s="255">
        <v>37583</v>
      </c>
      <c r="I483" s="105" t="str">
        <f>CHOOSE(MONTH(H483),"January","February","March","April","May","June","July","August","September","October","November","December")</f>
        <v>November</v>
      </c>
      <c r="J483" s="51">
        <f ca="1">DATEDIF(H483,TODAY(),"Y")</f>
        <v>13</v>
      </c>
    </row>
    <row r="484" spans="1:10" ht="16.5">
      <c r="A484" s="39" t="s">
        <v>638</v>
      </c>
      <c r="B484" s="46" t="s">
        <v>280</v>
      </c>
      <c r="C484" s="39" t="s">
        <v>767</v>
      </c>
      <c r="D484" s="72">
        <v>369210573</v>
      </c>
      <c r="E484" s="73">
        <v>2526555049</v>
      </c>
      <c r="F484" s="39" t="s">
        <v>261</v>
      </c>
      <c r="G484" s="256">
        <v>22320</v>
      </c>
      <c r="H484" s="255">
        <v>37215</v>
      </c>
      <c r="I484" s="105" t="str">
        <f>CHOOSE(MONTH(H484),"January","February","March","April","May","June","July","August","September","October","November","December")</f>
        <v>November</v>
      </c>
      <c r="J484" s="51">
        <f ca="1">DATEDIF(H484,TODAY(),"Y")</f>
        <v>14</v>
      </c>
    </row>
    <row r="485" spans="1:10" ht="16.5">
      <c r="A485" s="39" t="s">
        <v>646</v>
      </c>
      <c r="B485" s="46" t="s">
        <v>251</v>
      </c>
      <c r="C485" s="39" t="s">
        <v>372</v>
      </c>
      <c r="D485" s="72">
        <v>640301378</v>
      </c>
      <c r="E485" s="73">
        <v>2524663056</v>
      </c>
      <c r="F485" s="39" t="s">
        <v>261</v>
      </c>
      <c r="G485" s="256">
        <v>48415</v>
      </c>
      <c r="H485" s="255">
        <v>38317</v>
      </c>
      <c r="I485" s="105" t="str">
        <f>CHOOSE(MONTH(H485),"January","February","March","April","May","June","July","August","September","October","November","December")</f>
        <v>November</v>
      </c>
      <c r="J485" s="51">
        <f ca="1">DATEDIF(H485,TODAY(),"Y")</f>
        <v>11</v>
      </c>
    </row>
    <row r="486" spans="1:10" ht="16.5">
      <c r="A486" s="39" t="s">
        <v>505</v>
      </c>
      <c r="B486" s="46" t="s">
        <v>271</v>
      </c>
      <c r="C486" s="39" t="s">
        <v>930</v>
      </c>
      <c r="D486" s="72">
        <v>418701946</v>
      </c>
      <c r="E486" s="73">
        <v>2524141191</v>
      </c>
      <c r="F486" s="39" t="s">
        <v>261</v>
      </c>
      <c r="G486" s="256">
        <v>35300</v>
      </c>
      <c r="H486" s="255">
        <v>36515</v>
      </c>
      <c r="I486" s="105" t="str">
        <f>CHOOSE(MONTH(H486),"January","February","March","April","May","June","July","August","September","October","November","December")</f>
        <v>December</v>
      </c>
      <c r="J486" s="51">
        <f ca="1">DATEDIF(H486,TODAY(),"Y")</f>
        <v>16</v>
      </c>
    </row>
    <row r="487" spans="1:10" ht="16.5">
      <c r="A487" s="39" t="s">
        <v>1032</v>
      </c>
      <c r="B487" s="46" t="s">
        <v>245</v>
      </c>
      <c r="C487" s="45" t="s">
        <v>246</v>
      </c>
      <c r="D487" s="47">
        <v>914428485</v>
      </c>
      <c r="E487" s="48">
        <v>2521774590</v>
      </c>
      <c r="F487" s="45" t="s">
        <v>261</v>
      </c>
      <c r="G487" s="256">
        <v>30468</v>
      </c>
      <c r="H487" s="255">
        <v>34684</v>
      </c>
      <c r="I487" s="105" t="str">
        <f>CHOOSE(MONTH(H487),"January","February","March","April","May","June","July","August","September","October","November","December")</f>
        <v>December</v>
      </c>
      <c r="J487" s="51">
        <f ca="1">DATEDIF(H487,TODAY(),"Y")</f>
        <v>21</v>
      </c>
    </row>
    <row r="488" spans="1:10" ht="16.5">
      <c r="A488" s="39" t="s">
        <v>893</v>
      </c>
      <c r="B488" s="46" t="s">
        <v>271</v>
      </c>
      <c r="C488" s="39" t="s">
        <v>626</v>
      </c>
      <c r="D488" s="72">
        <v>555025137</v>
      </c>
      <c r="E488" s="73">
        <v>2526565171</v>
      </c>
      <c r="F488" s="39" t="s">
        <v>261</v>
      </c>
      <c r="G488" s="256">
        <v>58370</v>
      </c>
      <c r="H488" s="255">
        <v>34675</v>
      </c>
      <c r="I488" s="105" t="str">
        <f>CHOOSE(MONTH(H488),"January","February","March","April","May","June","July","August","September","October","November","December")</f>
        <v>December</v>
      </c>
      <c r="J488" s="51">
        <f ca="1">DATEDIF(H488,TODAY(),"Y")</f>
        <v>21</v>
      </c>
    </row>
    <row r="489" spans="1:10" ht="16.5">
      <c r="A489" s="45" t="s">
        <v>260</v>
      </c>
      <c r="B489" s="46" t="s">
        <v>285</v>
      </c>
      <c r="C489" s="39" t="s">
        <v>767</v>
      </c>
      <c r="D489" s="72">
        <v>349174221</v>
      </c>
      <c r="E489" s="73">
        <v>2521220758</v>
      </c>
      <c r="F489" s="39" t="s">
        <v>261</v>
      </c>
      <c r="G489" s="256">
        <v>57760</v>
      </c>
      <c r="H489" s="255">
        <v>35036</v>
      </c>
      <c r="I489" s="105" t="str">
        <f>CHOOSE(MONTH(H489),"January","February","March","April","May","June","July","August","September","October","November","December")</f>
        <v>December</v>
      </c>
      <c r="J489" s="51">
        <f ca="1">DATEDIF(H489,TODAY(),"Y")</f>
        <v>20</v>
      </c>
    </row>
    <row r="490" spans="1:10" ht="16.5">
      <c r="A490" s="39" t="s">
        <v>920</v>
      </c>
      <c r="B490" s="46" t="s">
        <v>285</v>
      </c>
      <c r="C490" s="39" t="s">
        <v>381</v>
      </c>
      <c r="D490" s="72">
        <v>124203063</v>
      </c>
      <c r="E490" s="73">
        <v>9192229885</v>
      </c>
      <c r="F490" s="39" t="s">
        <v>261</v>
      </c>
      <c r="G490" s="256">
        <v>86260</v>
      </c>
      <c r="H490" s="255">
        <v>35064</v>
      </c>
      <c r="I490" s="105" t="str">
        <f>CHOOSE(MONTH(H490),"January","February","March","April","May","June","July","August","September","October","November","December")</f>
        <v>December</v>
      </c>
      <c r="J490" s="51">
        <f ca="1">DATEDIF(H490,TODAY(),"Y")</f>
        <v>20</v>
      </c>
    </row>
    <row r="491" spans="1:10" ht="16.5">
      <c r="A491" s="39" t="s">
        <v>798</v>
      </c>
      <c r="B491" s="46" t="s">
        <v>266</v>
      </c>
      <c r="C491" s="39" t="s">
        <v>465</v>
      </c>
      <c r="D491" s="72">
        <v>484217278</v>
      </c>
      <c r="E491" s="73">
        <v>9195627374</v>
      </c>
      <c r="F491" s="39" t="s">
        <v>252</v>
      </c>
      <c r="G491" s="256">
        <v>32650</v>
      </c>
      <c r="H491" s="255">
        <v>37628</v>
      </c>
      <c r="I491" s="105" t="str">
        <f>CHOOSE(MONTH(H491),"January","February","March","April","May","June","July","August","September","October","November","December")</f>
        <v>January</v>
      </c>
      <c r="J491" s="51">
        <f ca="1">DATEDIF(H491,TODAY(),"Y")</f>
        <v>13</v>
      </c>
    </row>
    <row r="492" spans="1:10" ht="16.5">
      <c r="A492" s="39" t="s">
        <v>835</v>
      </c>
      <c r="B492" s="46" t="s">
        <v>271</v>
      </c>
      <c r="C492" s="39" t="s">
        <v>381</v>
      </c>
      <c r="D492" s="72">
        <v>651995963</v>
      </c>
      <c r="E492" s="73">
        <v>9194944945</v>
      </c>
      <c r="F492" s="39" t="s">
        <v>252</v>
      </c>
      <c r="G492" s="256">
        <v>54580</v>
      </c>
      <c r="H492" s="255">
        <v>36922</v>
      </c>
      <c r="I492" s="105" t="str">
        <f>CHOOSE(MONTH(H492),"January","February","March","April","May","June","July","August","September","October","November","December")</f>
        <v>January</v>
      </c>
      <c r="J492" s="51">
        <f ca="1">DATEDIF(H492,TODAY(),"Y")</f>
        <v>15</v>
      </c>
    </row>
    <row r="493" spans="1:10" ht="16.5">
      <c r="A493" s="39" t="s">
        <v>919</v>
      </c>
      <c r="B493" s="46" t="s">
        <v>266</v>
      </c>
      <c r="C493" s="39" t="s">
        <v>678</v>
      </c>
      <c r="D493" s="72">
        <v>917195248</v>
      </c>
      <c r="E493" s="73">
        <v>9194605984</v>
      </c>
      <c r="F493" s="39" t="s">
        <v>252</v>
      </c>
      <c r="G493" s="256">
        <v>32190</v>
      </c>
      <c r="H493" s="255">
        <v>40928</v>
      </c>
      <c r="I493" s="105" t="str">
        <f>CHOOSE(MONTH(H493),"January","February","March","April","May","June","July","August","September","October","November","December")</f>
        <v>January</v>
      </c>
      <c r="J493" s="51">
        <f ca="1">DATEDIF(H493,TODAY(),"Y")</f>
        <v>4</v>
      </c>
    </row>
    <row r="494" spans="1:10" ht="16.5">
      <c r="A494" s="39" t="s">
        <v>463</v>
      </c>
      <c r="B494" s="46" t="s">
        <v>271</v>
      </c>
      <c r="C494" s="39" t="s">
        <v>456</v>
      </c>
      <c r="D494" s="72">
        <v>351268538</v>
      </c>
      <c r="E494" s="73">
        <v>2525610944</v>
      </c>
      <c r="F494" s="39" t="s">
        <v>252</v>
      </c>
      <c r="G494" s="256">
        <v>33640</v>
      </c>
      <c r="H494" s="255">
        <v>37275</v>
      </c>
      <c r="I494" s="105" t="str">
        <f>CHOOSE(MONTH(H494),"January","February","March","April","May","June","July","August","September","October","November","December")</f>
        <v>January</v>
      </c>
      <c r="J494" s="51">
        <f ca="1">DATEDIF(H494,TODAY(),"Y")</f>
        <v>14</v>
      </c>
    </row>
    <row r="495" spans="1:10" ht="16.5">
      <c r="A495" s="39" t="s">
        <v>315</v>
      </c>
      <c r="B495" s="46" t="s">
        <v>245</v>
      </c>
      <c r="C495" s="39" t="s">
        <v>930</v>
      </c>
      <c r="D495" s="72">
        <v>502580266</v>
      </c>
      <c r="E495" s="73">
        <v>9197103200</v>
      </c>
      <c r="F495" s="39" t="s">
        <v>252</v>
      </c>
      <c r="G495" s="256">
        <v>48280</v>
      </c>
      <c r="H495" s="255">
        <v>34382</v>
      </c>
      <c r="I495" s="105" t="str">
        <f>CHOOSE(MONTH(H495),"January","February","March","April","May","June","July","August","September","October","November","December")</f>
        <v>February</v>
      </c>
      <c r="J495" s="51">
        <f ca="1">DATEDIF(H495,TODAY(),"Y")</f>
        <v>22</v>
      </c>
    </row>
    <row r="496" spans="1:10" ht="16.5">
      <c r="A496" s="39" t="s">
        <v>496</v>
      </c>
      <c r="B496" s="46" t="s">
        <v>271</v>
      </c>
      <c r="C496" s="39" t="s">
        <v>705</v>
      </c>
      <c r="D496" s="72">
        <v>272714784</v>
      </c>
      <c r="E496" s="73">
        <v>9191162663</v>
      </c>
      <c r="F496" s="39" t="s">
        <v>252</v>
      </c>
      <c r="G496" s="256">
        <v>52940</v>
      </c>
      <c r="H496" s="255">
        <v>41310</v>
      </c>
      <c r="I496" s="105" t="str">
        <f>CHOOSE(MONTH(H496),"January","February","March","April","May","June","July","August","September","October","November","December")</f>
        <v>February</v>
      </c>
      <c r="J496" s="51">
        <f ca="1">DATEDIF(H496,TODAY(),"Y")</f>
        <v>3</v>
      </c>
    </row>
    <row r="497" spans="1:10" ht="16.5">
      <c r="A497" s="39" t="s">
        <v>975</v>
      </c>
      <c r="B497" s="46" t="s">
        <v>245</v>
      </c>
      <c r="C497" s="39" t="s">
        <v>767</v>
      </c>
      <c r="D497" s="72">
        <v>525699951</v>
      </c>
      <c r="E497" s="73">
        <v>9198400261</v>
      </c>
      <c r="F497" s="39" t="s">
        <v>252</v>
      </c>
      <c r="G497" s="256">
        <v>66580</v>
      </c>
      <c r="H497" s="255">
        <v>36592</v>
      </c>
      <c r="I497" s="105" t="str">
        <f>CHOOSE(MONTH(H497),"January","February","March","April","May","June","July","August","September","October","November","December")</f>
        <v>March</v>
      </c>
      <c r="J497" s="51">
        <f ca="1">DATEDIF(H497,TODAY(),"Y")</f>
        <v>16</v>
      </c>
    </row>
    <row r="498" spans="1:10" ht="16.5">
      <c r="A498" s="39" t="s">
        <v>340</v>
      </c>
      <c r="B498" s="46" t="s">
        <v>266</v>
      </c>
      <c r="C498" s="39" t="s">
        <v>856</v>
      </c>
      <c r="D498" s="72">
        <v>733881041</v>
      </c>
      <c r="E498" s="73">
        <v>2524072342</v>
      </c>
      <c r="F498" s="39" t="s">
        <v>252</v>
      </c>
      <c r="G498" s="256">
        <v>63270</v>
      </c>
      <c r="H498" s="255">
        <v>34412</v>
      </c>
      <c r="I498" s="105" t="str">
        <f>CHOOSE(MONTH(H498),"January","February","March","April","May","June","July","August","September","October","November","December")</f>
        <v>March</v>
      </c>
      <c r="J498" s="51">
        <f ca="1">DATEDIF(H498,TODAY(),"Y")</f>
        <v>22</v>
      </c>
    </row>
    <row r="499" spans="1:10" ht="16.5">
      <c r="A499" s="39" t="s">
        <v>483</v>
      </c>
      <c r="B499" s="46" t="s">
        <v>245</v>
      </c>
      <c r="C499" s="39" t="s">
        <v>856</v>
      </c>
      <c r="D499" s="72">
        <v>518009092</v>
      </c>
      <c r="E499" s="73">
        <v>2528792521</v>
      </c>
      <c r="F499" s="39" t="s">
        <v>252</v>
      </c>
      <c r="G499" s="256">
        <v>32900</v>
      </c>
      <c r="H499" s="255">
        <v>36997</v>
      </c>
      <c r="I499" s="105" t="str">
        <f>CHOOSE(MONTH(H499),"January","February","March","April","May","June","July","August","September","October","November","December")</f>
        <v>April</v>
      </c>
      <c r="J499" s="51">
        <f ca="1">DATEDIF(H499,TODAY(),"Y")</f>
        <v>15</v>
      </c>
    </row>
    <row r="500" spans="1:10" ht="16.5">
      <c r="A500" s="39" t="s">
        <v>492</v>
      </c>
      <c r="B500" s="46" t="s">
        <v>271</v>
      </c>
      <c r="C500" s="39" t="s">
        <v>856</v>
      </c>
      <c r="D500" s="72">
        <v>843632637</v>
      </c>
      <c r="E500" s="73">
        <v>9198545681</v>
      </c>
      <c r="F500" s="39" t="s">
        <v>252</v>
      </c>
      <c r="G500" s="256">
        <v>86970</v>
      </c>
      <c r="H500" s="255">
        <v>36987</v>
      </c>
      <c r="I500" s="105" t="str">
        <f>CHOOSE(MONTH(H500),"January","February","March","April","May","June","July","August","September","October","November","December")</f>
        <v>April</v>
      </c>
      <c r="J500" s="51">
        <f ca="1">DATEDIF(H500,TODAY(),"Y")</f>
        <v>15</v>
      </c>
    </row>
    <row r="501" spans="1:10" ht="16.5">
      <c r="A501" s="39" t="s">
        <v>574</v>
      </c>
      <c r="B501" s="46" t="s">
        <v>271</v>
      </c>
      <c r="C501" s="39" t="s">
        <v>856</v>
      </c>
      <c r="D501" s="72">
        <v>705186668</v>
      </c>
      <c r="E501" s="73">
        <v>9193922813</v>
      </c>
      <c r="F501" s="39" t="s">
        <v>252</v>
      </c>
      <c r="G501" s="256">
        <v>68010</v>
      </c>
      <c r="H501" s="255">
        <v>34425</v>
      </c>
      <c r="I501" s="105" t="str">
        <f>CHOOSE(MONTH(H501),"January","February","March","April","May","June","July","August","September","October","November","December")</f>
        <v>April</v>
      </c>
      <c r="J501" s="51">
        <f ca="1">DATEDIF(H501,TODAY(),"Y")</f>
        <v>22</v>
      </c>
    </row>
    <row r="502" spans="1:10" ht="16.5">
      <c r="A502" s="39" t="s">
        <v>741</v>
      </c>
      <c r="B502" s="46" t="s">
        <v>285</v>
      </c>
      <c r="C502" s="39" t="s">
        <v>767</v>
      </c>
      <c r="D502" s="72">
        <v>699386024</v>
      </c>
      <c r="E502" s="73">
        <v>2525842116</v>
      </c>
      <c r="F502" s="39" t="s">
        <v>252</v>
      </c>
      <c r="G502" s="256">
        <v>74530</v>
      </c>
      <c r="H502" s="255">
        <v>36625</v>
      </c>
      <c r="I502" s="105" t="str">
        <f>CHOOSE(MONTH(H502),"January","February","March","April","May","June","July","August","September","October","November","December")</f>
        <v>April</v>
      </c>
      <c r="J502" s="51">
        <f ca="1">DATEDIF(H502,TODAY(),"Y")</f>
        <v>16</v>
      </c>
    </row>
    <row r="503" spans="1:10" ht="16.5">
      <c r="A503" s="39" t="s">
        <v>598</v>
      </c>
      <c r="B503" s="46" t="s">
        <v>285</v>
      </c>
      <c r="C503" s="39" t="s">
        <v>456</v>
      </c>
      <c r="D503" s="72">
        <v>771953685</v>
      </c>
      <c r="E503" s="73">
        <v>2526739978</v>
      </c>
      <c r="F503" s="39" t="s">
        <v>252</v>
      </c>
      <c r="G503" s="256">
        <v>47760</v>
      </c>
      <c r="H503" s="255">
        <v>36266</v>
      </c>
      <c r="I503" s="105" t="str">
        <f>CHOOSE(MONTH(H503),"January","February","March","April","May","June","July","August","September","October","November","December")</f>
        <v>April</v>
      </c>
      <c r="J503" s="51">
        <f ca="1">DATEDIF(H503,TODAY(),"Y")</f>
        <v>17</v>
      </c>
    </row>
    <row r="504" spans="1:10" ht="16.5">
      <c r="A504" s="39" t="s">
        <v>359</v>
      </c>
      <c r="B504" s="46" t="s">
        <v>285</v>
      </c>
      <c r="C504" s="39" t="s">
        <v>750</v>
      </c>
      <c r="D504" s="72">
        <v>285295419</v>
      </c>
      <c r="E504" s="73">
        <v>9197904981</v>
      </c>
      <c r="F504" s="39" t="s">
        <v>252</v>
      </c>
      <c r="G504" s="256">
        <v>25790</v>
      </c>
      <c r="H504" s="255">
        <v>37368</v>
      </c>
      <c r="I504" s="105" t="str">
        <f>CHOOSE(MONTH(H504),"January","February","March","April","May","June","July","August","September","October","November","December")</f>
        <v>April</v>
      </c>
      <c r="J504" s="51">
        <f ca="1">DATEDIF(H504,TODAY(),"Y")</f>
        <v>14</v>
      </c>
    </row>
    <row r="505" spans="1:10" ht="16.5">
      <c r="A505" s="39" t="s">
        <v>860</v>
      </c>
      <c r="B505" s="46" t="s">
        <v>266</v>
      </c>
      <c r="C505" s="39" t="s">
        <v>930</v>
      </c>
      <c r="D505" s="72">
        <v>120224342</v>
      </c>
      <c r="E505" s="73">
        <v>9198986390</v>
      </c>
      <c r="F505" s="39" t="s">
        <v>252</v>
      </c>
      <c r="G505" s="256">
        <v>79380</v>
      </c>
      <c r="H505" s="255">
        <v>41036</v>
      </c>
      <c r="I505" s="105" t="str">
        <f>CHOOSE(MONTH(H505),"January","February","March","April","May","June","July","August","September","October","November","December")</f>
        <v>May</v>
      </c>
      <c r="J505" s="51">
        <f ca="1">DATEDIF(H505,TODAY(),"Y")</f>
        <v>4</v>
      </c>
    </row>
    <row r="506" spans="1:10" ht="16.5">
      <c r="A506" s="39" t="s">
        <v>870</v>
      </c>
      <c r="B506" s="46" t="s">
        <v>271</v>
      </c>
      <c r="C506" s="39" t="s">
        <v>856</v>
      </c>
      <c r="D506" s="72">
        <v>102159909</v>
      </c>
      <c r="E506" s="73">
        <v>2521868104</v>
      </c>
      <c r="F506" s="39" t="s">
        <v>252</v>
      </c>
      <c r="G506" s="256">
        <v>37770</v>
      </c>
      <c r="H506" s="255">
        <v>34093</v>
      </c>
      <c r="I506" s="105" t="str">
        <f>CHOOSE(MONTH(H506),"January","February","March","April","May","June","July","August","September","October","November","December")</f>
        <v>May</v>
      </c>
      <c r="J506" s="51">
        <f ca="1">DATEDIF(H506,TODAY(),"Y")</f>
        <v>23</v>
      </c>
    </row>
    <row r="507" spans="1:10" ht="16.5">
      <c r="A507" s="39" t="s">
        <v>506</v>
      </c>
      <c r="B507" s="46" t="s">
        <v>266</v>
      </c>
      <c r="C507" s="39" t="s">
        <v>856</v>
      </c>
      <c r="D507" s="72">
        <v>687623890</v>
      </c>
      <c r="E507" s="73">
        <v>2522447501</v>
      </c>
      <c r="F507" s="39" t="s">
        <v>252</v>
      </c>
      <c r="G507" s="256">
        <v>61400</v>
      </c>
      <c r="H507" s="255">
        <v>34833</v>
      </c>
      <c r="I507" s="105" t="str">
        <f>CHOOSE(MONTH(H507),"January","February","March","April","May","June","July","August","September","October","November","December")</f>
        <v>May</v>
      </c>
      <c r="J507" s="51">
        <f ca="1">DATEDIF(H507,TODAY(),"Y")</f>
        <v>21</v>
      </c>
    </row>
    <row r="508" spans="1:10" ht="16.5">
      <c r="A508" s="39" t="s">
        <v>969</v>
      </c>
      <c r="B508" s="46" t="s">
        <v>280</v>
      </c>
      <c r="C508" s="39" t="s">
        <v>465</v>
      </c>
      <c r="D508" s="72">
        <v>366740174</v>
      </c>
      <c r="E508" s="73">
        <v>2521549933</v>
      </c>
      <c r="F508" s="39" t="s">
        <v>252</v>
      </c>
      <c r="G508" s="256">
        <v>38575</v>
      </c>
      <c r="H508" s="255">
        <v>38846</v>
      </c>
      <c r="I508" s="105" t="str">
        <f>CHOOSE(MONTH(H508),"January","February","March","April","May","June","July","August","September","October","November","December")</f>
        <v>May</v>
      </c>
      <c r="J508" s="51">
        <f ca="1">DATEDIF(H508,TODAY(),"Y")</f>
        <v>10</v>
      </c>
    </row>
    <row r="509" spans="1:10" ht="16.5">
      <c r="A509" s="39" t="s">
        <v>400</v>
      </c>
      <c r="B509" s="46" t="s">
        <v>285</v>
      </c>
      <c r="C509" s="39" t="s">
        <v>312</v>
      </c>
      <c r="D509" s="72">
        <v>856215418</v>
      </c>
      <c r="E509" s="73">
        <v>2526168483</v>
      </c>
      <c r="F509" s="39" t="s">
        <v>252</v>
      </c>
      <c r="G509" s="256">
        <v>23380</v>
      </c>
      <c r="H509" s="255">
        <v>34838</v>
      </c>
      <c r="I509" s="105" t="str">
        <f>CHOOSE(MONTH(H509),"January","February","March","April","May","June","July","August","September","October","November","December")</f>
        <v>May</v>
      </c>
      <c r="J509" s="51">
        <f ca="1">DATEDIF(H509,TODAY(),"Y")</f>
        <v>21</v>
      </c>
    </row>
    <row r="510" spans="1:10" ht="16.5">
      <c r="A510" s="39" t="s">
        <v>1005</v>
      </c>
      <c r="B510" s="46" t="s">
        <v>245</v>
      </c>
      <c r="C510" s="39" t="s">
        <v>312</v>
      </c>
      <c r="D510" s="72">
        <v>126492342</v>
      </c>
      <c r="E510" s="73">
        <v>9196299247</v>
      </c>
      <c r="F510" s="39" t="s">
        <v>252</v>
      </c>
      <c r="G510" s="256">
        <v>47620</v>
      </c>
      <c r="H510" s="255">
        <v>34824</v>
      </c>
      <c r="I510" s="105" t="str">
        <f>CHOOSE(MONTH(H510),"January","February","March","April","May","June","July","August","September","October","November","December")</f>
        <v>May</v>
      </c>
      <c r="J510" s="51">
        <f ca="1">DATEDIF(H510,TODAY(),"Y")</f>
        <v>21</v>
      </c>
    </row>
    <row r="511" spans="1:10" ht="16.5">
      <c r="A511" s="39" t="s">
        <v>1018</v>
      </c>
      <c r="B511" s="46" t="s">
        <v>245</v>
      </c>
      <c r="C511" s="39" t="s">
        <v>465</v>
      </c>
      <c r="D511" s="72">
        <v>313128501</v>
      </c>
      <c r="E511" s="73">
        <v>9193184277</v>
      </c>
      <c r="F511" s="39" t="s">
        <v>252</v>
      </c>
      <c r="G511" s="256">
        <v>22535</v>
      </c>
      <c r="H511" s="255">
        <v>34472</v>
      </c>
      <c r="I511" s="105" t="str">
        <f>CHOOSE(MONTH(H511),"January","February","March","April","May","June","July","August","September","October","November","December")</f>
        <v>May</v>
      </c>
      <c r="J511" s="51">
        <f ca="1">DATEDIF(H511,TODAY(),"Y")</f>
        <v>22</v>
      </c>
    </row>
    <row r="512" spans="1:10" ht="16.5">
      <c r="A512" s="39" t="s">
        <v>637</v>
      </c>
      <c r="B512" s="46" t="s">
        <v>285</v>
      </c>
      <c r="C512" s="39" t="s">
        <v>391</v>
      </c>
      <c r="D512" s="72">
        <v>195245117</v>
      </c>
      <c r="E512" s="73">
        <v>9193451072</v>
      </c>
      <c r="F512" s="39" t="s">
        <v>252</v>
      </c>
      <c r="G512" s="256">
        <v>47295</v>
      </c>
      <c r="H512" s="255">
        <v>40365</v>
      </c>
      <c r="I512" s="105" t="str">
        <f>CHOOSE(MONTH(H512),"January","February","March","April","May","June","July","August","September","October","November","December")</f>
        <v>July</v>
      </c>
      <c r="J512" s="51">
        <f ca="1">DATEDIF(H512,TODAY(),"Y")</f>
        <v>6</v>
      </c>
    </row>
    <row r="513" spans="1:10" ht="16.5">
      <c r="A513" s="39" t="s">
        <v>426</v>
      </c>
      <c r="B513" s="46" t="s">
        <v>245</v>
      </c>
      <c r="C513" s="45" t="s">
        <v>272</v>
      </c>
      <c r="D513" s="47">
        <v>771277493</v>
      </c>
      <c r="E513" s="48">
        <v>2522872439</v>
      </c>
      <c r="F513" s="45" t="s">
        <v>252</v>
      </c>
      <c r="G513" s="256">
        <v>49930</v>
      </c>
      <c r="H513" s="255">
        <v>39287</v>
      </c>
      <c r="I513" s="105" t="str">
        <f>CHOOSE(MONTH(H513),"January","February","March","April","May","June","July","August","September","October","November","December")</f>
        <v>July</v>
      </c>
      <c r="J513" s="51">
        <f ca="1">DATEDIF(H513,TODAY(),"Y")</f>
        <v>9</v>
      </c>
    </row>
    <row r="514" spans="1:10" ht="16.5">
      <c r="A514" s="39" t="s">
        <v>757</v>
      </c>
      <c r="B514" s="46" t="s">
        <v>280</v>
      </c>
      <c r="C514" s="39" t="s">
        <v>417</v>
      </c>
      <c r="D514" s="72">
        <v>279591317</v>
      </c>
      <c r="E514" s="73">
        <v>2522381391</v>
      </c>
      <c r="F514" s="39" t="s">
        <v>252</v>
      </c>
      <c r="G514" s="256">
        <v>40940</v>
      </c>
      <c r="H514" s="255">
        <v>41113</v>
      </c>
      <c r="I514" s="105" t="str">
        <f>CHOOSE(MONTH(H514),"January","February","March","April","May","June","July","August","September","October","November","December")</f>
        <v>July</v>
      </c>
      <c r="J514" s="51">
        <f ca="1">DATEDIF(H514,TODAY(),"Y")</f>
        <v>4</v>
      </c>
    </row>
    <row r="515" spans="1:10" ht="16.5">
      <c r="A515" s="39" t="s">
        <v>535</v>
      </c>
      <c r="B515" s="46" t="s">
        <v>271</v>
      </c>
      <c r="C515" s="39" t="s">
        <v>856</v>
      </c>
      <c r="D515" s="72">
        <v>412159105</v>
      </c>
      <c r="E515" s="73">
        <v>9198252392</v>
      </c>
      <c r="F515" s="39" t="s">
        <v>252</v>
      </c>
      <c r="G515" s="256">
        <v>28260</v>
      </c>
      <c r="H515" s="255">
        <v>37087</v>
      </c>
      <c r="I515" s="105" t="str">
        <f>CHOOSE(MONTH(H515),"January","February","March","April","May","June","July","August","September","October","November","December")</f>
        <v>July</v>
      </c>
      <c r="J515" s="51">
        <f ca="1">DATEDIF(H515,TODAY(),"Y")</f>
        <v>15</v>
      </c>
    </row>
    <row r="516" spans="1:10" ht="16.5">
      <c r="A516" s="39" t="s">
        <v>821</v>
      </c>
      <c r="B516" s="46" t="s">
        <v>245</v>
      </c>
      <c r="C516" s="39" t="s">
        <v>465</v>
      </c>
      <c r="D516" s="72">
        <v>328787467</v>
      </c>
      <c r="E516" s="73">
        <v>9194897618</v>
      </c>
      <c r="F516" s="39" t="s">
        <v>252</v>
      </c>
      <c r="G516" s="256">
        <v>45150</v>
      </c>
      <c r="H516" s="255">
        <v>36357</v>
      </c>
      <c r="I516" s="105" t="str">
        <f>CHOOSE(MONTH(H516),"January","February","March","April","May","June","July","August","September","October","November","December")</f>
        <v>July</v>
      </c>
      <c r="J516" s="51">
        <f ca="1">DATEDIF(H516,TODAY(),"Y")</f>
        <v>17</v>
      </c>
    </row>
    <row r="517" spans="1:10" ht="16.5">
      <c r="A517" s="39" t="s">
        <v>659</v>
      </c>
      <c r="B517" s="46" t="s">
        <v>280</v>
      </c>
      <c r="C517" s="45" t="s">
        <v>272</v>
      </c>
      <c r="D517" s="47">
        <v>415076748</v>
      </c>
      <c r="E517" s="48">
        <v>9195230846</v>
      </c>
      <c r="F517" s="45" t="s">
        <v>252</v>
      </c>
      <c r="G517" s="256">
        <v>81930</v>
      </c>
      <c r="H517" s="255">
        <v>35612</v>
      </c>
      <c r="I517" s="105" t="str">
        <f>CHOOSE(MONTH(H517),"January","February","March","April","May","June","July","August","September","October","November","December")</f>
        <v>July</v>
      </c>
      <c r="J517" s="51">
        <f ca="1">DATEDIF(H517,TODAY(),"Y")</f>
        <v>19</v>
      </c>
    </row>
    <row r="518" spans="1:10" ht="16.5">
      <c r="A518" s="39" t="s">
        <v>486</v>
      </c>
      <c r="B518" s="46" t="s">
        <v>285</v>
      </c>
      <c r="C518" s="39" t="s">
        <v>767</v>
      </c>
      <c r="D518" s="72">
        <v>552528553</v>
      </c>
      <c r="E518" s="73">
        <v>9194310812</v>
      </c>
      <c r="F518" s="39" t="s">
        <v>252</v>
      </c>
      <c r="G518" s="256">
        <v>80880</v>
      </c>
      <c r="H518" s="255">
        <v>36739</v>
      </c>
      <c r="I518" s="105" t="str">
        <f>CHOOSE(MONTH(H518),"January","February","March","April","May","June","July","August","September","October","November","December")</f>
        <v>August</v>
      </c>
      <c r="J518" s="51">
        <f ca="1">DATEDIF(H518,TODAY(),"Y")</f>
        <v>16</v>
      </c>
    </row>
    <row r="519" spans="1:10" ht="16.5">
      <c r="A519" s="39" t="s">
        <v>424</v>
      </c>
      <c r="B519" s="46" t="s">
        <v>285</v>
      </c>
      <c r="C519" s="39" t="s">
        <v>465</v>
      </c>
      <c r="D519" s="72">
        <v>722630791</v>
      </c>
      <c r="E519" s="73">
        <v>2522263363</v>
      </c>
      <c r="F519" s="39" t="s">
        <v>252</v>
      </c>
      <c r="G519" s="256">
        <v>37840</v>
      </c>
      <c r="H519" s="255">
        <v>37108</v>
      </c>
      <c r="I519" s="105" t="str">
        <f>CHOOSE(MONTH(H519),"January","February","March","April","May","June","July","August","September","October","November","December")</f>
        <v>August</v>
      </c>
      <c r="J519" s="51">
        <f ca="1">DATEDIF(H519,TODAY(),"Y")</f>
        <v>15</v>
      </c>
    </row>
    <row r="520" spans="1:10" ht="16.5">
      <c r="A520" s="39" t="s">
        <v>521</v>
      </c>
      <c r="B520" s="46" t="s">
        <v>245</v>
      </c>
      <c r="C520" s="39" t="s">
        <v>705</v>
      </c>
      <c r="D520" s="72">
        <v>623823805</v>
      </c>
      <c r="E520" s="73">
        <v>9192602559</v>
      </c>
      <c r="F520" s="39" t="s">
        <v>252</v>
      </c>
      <c r="G520" s="256">
        <v>68300</v>
      </c>
      <c r="H520" s="255">
        <v>41488</v>
      </c>
      <c r="I520" s="105" t="str">
        <f>CHOOSE(MONTH(H520),"January","February","March","April","May","June","July","August","September","October","November","December")</f>
        <v>August</v>
      </c>
      <c r="J520" s="51">
        <f ca="1">DATEDIF(H520,TODAY(),"Y")</f>
        <v>3</v>
      </c>
    </row>
    <row r="521" spans="1:10" ht="16.5">
      <c r="A521" s="39" t="s">
        <v>907</v>
      </c>
      <c r="B521" s="46" t="s">
        <v>245</v>
      </c>
      <c r="C521" s="39" t="s">
        <v>312</v>
      </c>
      <c r="D521" s="72">
        <v>822974734</v>
      </c>
      <c r="E521" s="73">
        <v>2524924736</v>
      </c>
      <c r="F521" s="39" t="s">
        <v>252</v>
      </c>
      <c r="G521" s="256">
        <v>64590</v>
      </c>
      <c r="H521" s="255">
        <v>34196</v>
      </c>
      <c r="I521" s="105" t="str">
        <f>CHOOSE(MONTH(H521),"January","February","March","April","May","June","July","August","September","October","November","December")</f>
        <v>August</v>
      </c>
      <c r="J521" s="51">
        <f ca="1">DATEDIF(H521,TODAY(),"Y")</f>
        <v>23</v>
      </c>
    </row>
    <row r="522" spans="1:10" ht="16.5">
      <c r="A522" s="39" t="s">
        <v>842</v>
      </c>
      <c r="B522" s="46" t="s">
        <v>285</v>
      </c>
      <c r="C522" s="39" t="s">
        <v>705</v>
      </c>
      <c r="D522" s="72">
        <v>842774592</v>
      </c>
      <c r="E522" s="73">
        <v>2527345539</v>
      </c>
      <c r="F522" s="39" t="s">
        <v>252</v>
      </c>
      <c r="G522" s="256">
        <v>51180</v>
      </c>
      <c r="H522" s="255">
        <v>41145</v>
      </c>
      <c r="I522" s="105" t="str">
        <f>CHOOSE(MONTH(H522),"January","February","March","April","May","June","July","August","September","October","November","December")</f>
        <v>August</v>
      </c>
      <c r="J522" s="51">
        <f ca="1">DATEDIF(H522,TODAY(),"Y")</f>
        <v>4</v>
      </c>
    </row>
    <row r="523" spans="1:10" ht="16.5">
      <c r="A523" s="39" t="s">
        <v>679</v>
      </c>
      <c r="B523" s="46" t="s">
        <v>271</v>
      </c>
      <c r="C523" s="39" t="s">
        <v>296</v>
      </c>
      <c r="D523" s="72">
        <v>243350742</v>
      </c>
      <c r="E523" s="73">
        <v>2528304204</v>
      </c>
      <c r="F523" s="39" t="s">
        <v>252</v>
      </c>
      <c r="G523" s="256">
        <v>22900</v>
      </c>
      <c r="H523" s="255">
        <v>37529</v>
      </c>
      <c r="I523" s="105" t="str">
        <f>CHOOSE(MONTH(H523),"January","February","March","April","May","June","July","August","September","October","November","December")</f>
        <v>September</v>
      </c>
      <c r="J523" s="51">
        <f ca="1">DATEDIF(H523,TODAY(),"Y")</f>
        <v>14</v>
      </c>
    </row>
    <row r="524" spans="1:10" ht="16.5">
      <c r="A524" s="39" t="s">
        <v>534</v>
      </c>
      <c r="B524" s="46" t="s">
        <v>245</v>
      </c>
      <c r="C524" s="39" t="s">
        <v>465</v>
      </c>
      <c r="D524" s="72">
        <v>661850671</v>
      </c>
      <c r="E524" s="73">
        <v>2528405900</v>
      </c>
      <c r="F524" s="39" t="s">
        <v>252</v>
      </c>
      <c r="G524" s="256">
        <v>85300</v>
      </c>
      <c r="H524" s="255">
        <v>37887</v>
      </c>
      <c r="I524" s="105" t="str">
        <f>CHOOSE(MONTH(H524),"January","February","March","April","May","June","July","August","September","October","November","December")</f>
        <v>September</v>
      </c>
      <c r="J524" s="51">
        <f ca="1">DATEDIF(H524,TODAY(),"Y")</f>
        <v>13</v>
      </c>
    </row>
    <row r="525" spans="1:10" ht="16.5">
      <c r="A525" s="39" t="s">
        <v>338</v>
      </c>
      <c r="B525" s="46" t="s">
        <v>271</v>
      </c>
      <c r="C525" s="39" t="s">
        <v>678</v>
      </c>
      <c r="D525" s="72">
        <v>788832967</v>
      </c>
      <c r="E525" s="73">
        <v>2521919147</v>
      </c>
      <c r="F525" s="39" t="s">
        <v>252</v>
      </c>
      <c r="G525" s="256">
        <v>51800</v>
      </c>
      <c r="H525" s="255">
        <v>35318</v>
      </c>
      <c r="I525" s="105" t="str">
        <f>CHOOSE(MONTH(H525),"January","February","March","April","May","June","July","August","September","October","November","December")</f>
        <v>September</v>
      </c>
      <c r="J525" s="51">
        <f ca="1">DATEDIF(H525,TODAY(),"Y")</f>
        <v>20</v>
      </c>
    </row>
    <row r="526" spans="1:10" ht="16.5">
      <c r="A526" s="39" t="s">
        <v>744</v>
      </c>
      <c r="B526" s="46" t="s">
        <v>271</v>
      </c>
      <c r="C526" s="39" t="s">
        <v>767</v>
      </c>
      <c r="D526" s="72">
        <v>358017400</v>
      </c>
      <c r="E526" s="73">
        <v>2523265407</v>
      </c>
      <c r="F526" s="39" t="s">
        <v>252</v>
      </c>
      <c r="G526" s="256">
        <v>89140</v>
      </c>
      <c r="H526" s="255">
        <v>41547</v>
      </c>
      <c r="I526" s="105" t="str">
        <f>CHOOSE(MONTH(H526),"January","February","March","April","May","June","July","August","September","October","November","December")</f>
        <v>September</v>
      </c>
      <c r="J526" s="51">
        <f ca="1">DATEDIF(H526,TODAY(),"Y")</f>
        <v>3</v>
      </c>
    </row>
    <row r="527" spans="1:10" ht="16.5">
      <c r="A527" s="39" t="s">
        <v>430</v>
      </c>
      <c r="B527" s="46" t="s">
        <v>245</v>
      </c>
      <c r="C527" s="39" t="s">
        <v>856</v>
      </c>
      <c r="D527" s="72">
        <v>352371400</v>
      </c>
      <c r="E527" s="78">
        <v>2525441252</v>
      </c>
      <c r="F527" s="39" t="s">
        <v>252</v>
      </c>
      <c r="G527" s="256">
        <v>48800</v>
      </c>
      <c r="H527" s="255">
        <v>37547</v>
      </c>
      <c r="I527" s="105" t="str">
        <f>CHOOSE(MONTH(H527),"January","February","March","April","May","June","July","August","September","October","November","December")</f>
        <v>October</v>
      </c>
      <c r="J527" s="51">
        <f ca="1">DATEDIF(H527,TODAY(),"Y")</f>
        <v>14</v>
      </c>
    </row>
    <row r="528" spans="1:10" ht="16.5">
      <c r="A528" s="39" t="s">
        <v>814</v>
      </c>
      <c r="B528" s="46" t="s">
        <v>266</v>
      </c>
      <c r="C528" s="39" t="s">
        <v>1031</v>
      </c>
      <c r="D528" s="72">
        <v>827277063</v>
      </c>
      <c r="E528" s="73">
        <v>2528873234</v>
      </c>
      <c r="F528" s="39" t="s">
        <v>252</v>
      </c>
      <c r="G528" s="256">
        <v>84200</v>
      </c>
      <c r="H528" s="255">
        <v>41202</v>
      </c>
      <c r="I528" s="105" t="str">
        <f>CHOOSE(MONTH(H528),"January","February","March","April","May","June","July","August","September","October","November","December")</f>
        <v>October</v>
      </c>
      <c r="J528" s="51">
        <f ca="1">DATEDIF(H528,TODAY(),"Y")</f>
        <v>4</v>
      </c>
    </row>
    <row r="529" spans="1:10" ht="16.5">
      <c r="A529" s="39" t="s">
        <v>558</v>
      </c>
      <c r="B529" s="46" t="s">
        <v>285</v>
      </c>
      <c r="C529" s="39" t="s">
        <v>391</v>
      </c>
      <c r="D529" s="72">
        <v>828996583</v>
      </c>
      <c r="E529" s="73">
        <v>2521282202</v>
      </c>
      <c r="F529" s="39" t="s">
        <v>252</v>
      </c>
      <c r="G529" s="256">
        <v>35460</v>
      </c>
      <c r="H529" s="255">
        <v>37533</v>
      </c>
      <c r="I529" s="105" t="str">
        <f>CHOOSE(MONTH(H529),"January","February","March","April","May","June","July","August","September","October","November","December")</f>
        <v>October</v>
      </c>
      <c r="J529" s="51">
        <f ca="1">DATEDIF(H529,TODAY(),"Y")</f>
        <v>14</v>
      </c>
    </row>
    <row r="530" spans="1:10" ht="16.5">
      <c r="A530" s="39" t="s">
        <v>1014</v>
      </c>
      <c r="B530" s="46" t="s">
        <v>271</v>
      </c>
      <c r="C530" s="39" t="s">
        <v>678</v>
      </c>
      <c r="D530" s="72">
        <v>797431044</v>
      </c>
      <c r="E530" s="73">
        <v>2523820613</v>
      </c>
      <c r="F530" s="39" t="s">
        <v>252</v>
      </c>
      <c r="G530" s="256">
        <v>40560</v>
      </c>
      <c r="H530" s="255">
        <v>37552</v>
      </c>
      <c r="I530" s="105" t="str">
        <f>CHOOSE(MONTH(H530),"January","February","March","April","May","June","July","August","September","October","November","December")</f>
        <v>October</v>
      </c>
      <c r="J530" s="51">
        <f ca="1">DATEDIF(H530,TODAY(),"Y")</f>
        <v>14</v>
      </c>
    </row>
    <row r="531" spans="1:10" ht="16.5">
      <c r="A531" s="39" t="s">
        <v>616</v>
      </c>
      <c r="B531" s="46" t="s">
        <v>271</v>
      </c>
      <c r="C531" s="39" t="s">
        <v>465</v>
      </c>
      <c r="D531" s="72">
        <v>665773893</v>
      </c>
      <c r="E531" s="73">
        <v>9198857217</v>
      </c>
      <c r="F531" s="39" t="s">
        <v>252</v>
      </c>
      <c r="G531" s="256">
        <v>14332</v>
      </c>
      <c r="H531" s="255">
        <v>37901</v>
      </c>
      <c r="I531" s="105" t="str">
        <f>CHOOSE(MONTH(H531),"January","February","March","April","May","June","July","August","September","October","November","December")</f>
        <v>October</v>
      </c>
      <c r="J531" s="51">
        <f ca="1">DATEDIF(H531,TODAY(),"Y")</f>
        <v>13</v>
      </c>
    </row>
    <row r="532" spans="1:10" ht="16.5">
      <c r="A532" s="39" t="s">
        <v>680</v>
      </c>
      <c r="B532" s="46" t="s">
        <v>271</v>
      </c>
      <c r="C532" s="39" t="s">
        <v>705</v>
      </c>
      <c r="D532" s="72">
        <v>948252103</v>
      </c>
      <c r="E532" s="73">
        <v>9197430732</v>
      </c>
      <c r="F532" s="39" t="s">
        <v>252</v>
      </c>
      <c r="G532" s="256">
        <v>67890</v>
      </c>
      <c r="H532" s="255">
        <v>37928</v>
      </c>
      <c r="I532" s="105" t="str">
        <f>CHOOSE(MONTH(H532),"January","February","March","April","May","June","July","August","September","October","November","December")</f>
        <v>November</v>
      </c>
      <c r="J532" s="51">
        <f ca="1">DATEDIF(H532,TODAY(),"Y")</f>
        <v>13</v>
      </c>
    </row>
    <row r="533" spans="1:10" ht="16.5">
      <c r="A533" s="39" t="s">
        <v>897</v>
      </c>
      <c r="B533" s="46" t="s">
        <v>285</v>
      </c>
      <c r="C533" s="39" t="s">
        <v>626</v>
      </c>
      <c r="D533" s="72">
        <v>643272576</v>
      </c>
      <c r="E533" s="73">
        <v>2522256131</v>
      </c>
      <c r="F533" s="39" t="s">
        <v>252</v>
      </c>
      <c r="G533" s="256">
        <v>21220</v>
      </c>
      <c r="H533" s="255">
        <v>41243</v>
      </c>
      <c r="I533" s="105" t="str">
        <f>CHOOSE(MONTH(H533),"January","February","March","April","May","June","July","August","September","October","November","December")</f>
        <v>November</v>
      </c>
      <c r="J533" s="51">
        <f ca="1">DATEDIF(H533,TODAY(),"Y")</f>
        <v>3</v>
      </c>
    </row>
    <row r="534" spans="1:10" ht="16.5">
      <c r="A534" s="39" t="s">
        <v>747</v>
      </c>
      <c r="B534" s="46" t="s">
        <v>271</v>
      </c>
      <c r="C534" s="39" t="s">
        <v>417</v>
      </c>
      <c r="D534" s="72">
        <v>407299017</v>
      </c>
      <c r="E534" s="73">
        <v>9195968632</v>
      </c>
      <c r="F534" s="39" t="s">
        <v>252</v>
      </c>
      <c r="G534" s="256">
        <v>73072</v>
      </c>
      <c r="H534" s="255">
        <v>41590</v>
      </c>
      <c r="I534" s="105" t="str">
        <f>CHOOSE(MONTH(H534),"January","February","March","April","May","June","July","August","September","October","November","December")</f>
        <v>November</v>
      </c>
      <c r="J534" s="51">
        <f ca="1">DATEDIF(H534,TODAY(),"Y")</f>
        <v>2</v>
      </c>
    </row>
    <row r="535" spans="1:10" ht="16.5">
      <c r="A535" s="39" t="s">
        <v>420</v>
      </c>
      <c r="B535" s="46" t="s">
        <v>271</v>
      </c>
      <c r="C535" s="39" t="s">
        <v>705</v>
      </c>
      <c r="D535" s="72">
        <v>816607187</v>
      </c>
      <c r="E535" s="73">
        <v>9195520461</v>
      </c>
      <c r="F535" s="39" t="s">
        <v>252</v>
      </c>
      <c r="G535" s="256">
        <v>82120</v>
      </c>
      <c r="H535" s="255">
        <v>37252</v>
      </c>
      <c r="I535" s="105" t="str">
        <f>CHOOSE(MONTH(H535),"January","February","March","April","May","June","July","August","September","October","November","December")</f>
        <v>December</v>
      </c>
      <c r="J535" s="51">
        <f ca="1">DATEDIF(H535,TODAY(),"Y")</f>
        <v>14</v>
      </c>
    </row>
    <row r="536" spans="1:10" ht="16.5">
      <c r="A536" s="39" t="s">
        <v>753</v>
      </c>
      <c r="B536" s="46" t="s">
        <v>285</v>
      </c>
      <c r="C536" s="39" t="s">
        <v>312</v>
      </c>
      <c r="D536" s="72">
        <v>260815239</v>
      </c>
      <c r="E536" s="73">
        <v>2523040292</v>
      </c>
      <c r="F536" s="39" t="s">
        <v>252</v>
      </c>
      <c r="G536" s="256">
        <v>57990</v>
      </c>
      <c r="H536" s="255">
        <v>34334</v>
      </c>
      <c r="I536" s="105" t="str">
        <f>CHOOSE(MONTH(H536),"January","February","March","April","May","June","July","August","September","October","November","December")</f>
        <v>December</v>
      </c>
      <c r="J536" s="51">
        <f ca="1">DATEDIF(H536,TODAY(),"Y")</f>
        <v>22</v>
      </c>
    </row>
    <row r="537" spans="1:10" ht="16.5">
      <c r="A537" s="39" t="s">
        <v>425</v>
      </c>
      <c r="B537" s="46" t="s">
        <v>285</v>
      </c>
      <c r="C537" s="39" t="s">
        <v>465</v>
      </c>
      <c r="D537" s="72">
        <v>167058119</v>
      </c>
      <c r="E537" s="73">
        <v>2527237007</v>
      </c>
      <c r="F537" s="39" t="s">
        <v>252</v>
      </c>
      <c r="G537" s="256">
        <v>75370</v>
      </c>
      <c r="H537" s="255">
        <v>37614</v>
      </c>
      <c r="I537" s="105" t="str">
        <f>CHOOSE(MONTH(H537),"January","February","March","April","May","June","July","August","September","October","November","December")</f>
        <v>December</v>
      </c>
      <c r="J537" s="51">
        <f ca="1">DATEDIF(H537,TODAY(),"Y")</f>
        <v>13</v>
      </c>
    </row>
    <row r="538" spans="1:10" ht="16.5">
      <c r="A538" s="39" t="s">
        <v>877</v>
      </c>
      <c r="B538" s="46" t="s">
        <v>285</v>
      </c>
      <c r="C538" s="39" t="s">
        <v>930</v>
      </c>
      <c r="D538" s="72">
        <v>101829876</v>
      </c>
      <c r="E538" s="73">
        <v>2522552565</v>
      </c>
      <c r="F538" s="39" t="s">
        <v>252</v>
      </c>
      <c r="G538" s="256">
        <v>55510</v>
      </c>
      <c r="H538" s="255">
        <v>37978</v>
      </c>
      <c r="I538" s="105" t="str">
        <f>CHOOSE(MONTH(H538),"January","February","March","April","May","June","July","August","September","October","November","December")</f>
        <v>December</v>
      </c>
      <c r="J538" s="51">
        <f ca="1">DATEDIF(H538,TODAY(),"Y")</f>
        <v>12</v>
      </c>
    </row>
    <row r="539" spans="1:10" ht="16.5">
      <c r="A539" s="39" t="s">
        <v>299</v>
      </c>
      <c r="B539" s="46" t="s">
        <v>251</v>
      </c>
      <c r="C539" s="45" t="s">
        <v>246</v>
      </c>
      <c r="D539" s="47">
        <v>411526157</v>
      </c>
      <c r="E539" s="48">
        <v>9195818082</v>
      </c>
      <c r="F539" s="45" t="s">
        <v>252</v>
      </c>
      <c r="G539" s="256">
        <v>11025</v>
      </c>
      <c r="H539" s="255">
        <v>40882</v>
      </c>
      <c r="I539" s="105" t="str">
        <f>CHOOSE(MONTH(H539),"January","February","March","April","May","June","July","August","September","October","November","December")</f>
        <v>December</v>
      </c>
      <c r="J539" s="51">
        <f ca="1">DATEDIF(H539,TODAY(),"Y")</f>
        <v>4</v>
      </c>
    </row>
    <row r="540" spans="1:10" ht="16.5">
      <c r="A540" s="39" t="s">
        <v>530</v>
      </c>
      <c r="B540" s="46" t="s">
        <v>271</v>
      </c>
      <c r="C540" s="39" t="s">
        <v>465</v>
      </c>
      <c r="D540" s="72">
        <v>506577536</v>
      </c>
      <c r="E540" s="73">
        <v>2524999647</v>
      </c>
      <c r="F540" s="39" t="s">
        <v>252</v>
      </c>
      <c r="G540" s="256">
        <v>25120</v>
      </c>
      <c r="H540" s="255">
        <v>35791</v>
      </c>
      <c r="I540" s="105" t="str">
        <f>CHOOSE(MONTH(H540),"January","February","March","April","May","June","July","August","September","October","November","December")</f>
        <v>December</v>
      </c>
      <c r="J540" s="51">
        <f ca="1">DATEDIF(H540,TODAY(),"Y")</f>
        <v>18</v>
      </c>
    </row>
    <row r="541" spans="1:10" ht="16.5">
      <c r="A541" s="39" t="s">
        <v>653</v>
      </c>
      <c r="B541" s="46" t="s">
        <v>285</v>
      </c>
      <c r="C541" s="39" t="s">
        <v>930</v>
      </c>
      <c r="D541" s="72">
        <v>240241467</v>
      </c>
      <c r="E541" s="73">
        <v>2524914916</v>
      </c>
      <c r="F541" s="39" t="s">
        <v>252</v>
      </c>
      <c r="G541" s="256">
        <v>70280</v>
      </c>
      <c r="H541" s="255">
        <v>34317</v>
      </c>
      <c r="I541" s="105" t="str">
        <f>CHOOSE(MONTH(H541),"January","February","March","April","May","June","July","August","September","October","November","December")</f>
        <v>December</v>
      </c>
      <c r="J541" s="51">
        <f ca="1">DATEDIF(H541,TODAY(),"Y")</f>
        <v>22</v>
      </c>
    </row>
    <row r="542" spans="1:10" ht="16.5">
      <c r="A542" s="39" t="s">
        <v>398</v>
      </c>
      <c r="B542" s="46" t="s">
        <v>280</v>
      </c>
      <c r="C542" s="39" t="s">
        <v>465</v>
      </c>
      <c r="D542" s="72">
        <v>993383806</v>
      </c>
      <c r="E542" s="73">
        <v>2521810581</v>
      </c>
      <c r="F542" s="39" t="s">
        <v>252</v>
      </c>
      <c r="G542" s="256">
        <v>60060</v>
      </c>
      <c r="H542" s="255">
        <v>41261</v>
      </c>
      <c r="I542" s="105" t="str">
        <f>CHOOSE(MONTH(H542),"January","February","March","April","May","June","July","August","September","October","November","December")</f>
        <v>December</v>
      </c>
      <c r="J542" s="51">
        <f ca="1">DATEDIF(H542,TODAY(),"Y")</f>
        <v>3</v>
      </c>
    </row>
    <row r="543" spans="1:10" ht="16.5">
      <c r="A543" s="39" t="s">
        <v>403</v>
      </c>
      <c r="B543" s="46" t="s">
        <v>285</v>
      </c>
      <c r="C543" s="39" t="s">
        <v>930</v>
      </c>
      <c r="D543" s="72">
        <v>471064761</v>
      </c>
      <c r="E543" s="73">
        <v>9191800673</v>
      </c>
      <c r="F543" s="39" t="s">
        <v>252</v>
      </c>
      <c r="G543" s="256">
        <v>63080</v>
      </c>
      <c r="H543" s="255">
        <v>37250</v>
      </c>
      <c r="I543" s="105" t="str">
        <f>CHOOSE(MONTH(H543),"January","February","March","April","May","June","July","August","September","October","November","December")</f>
        <v>December</v>
      </c>
      <c r="J543" s="51">
        <f ca="1">DATEDIF(H543,TODAY(),"Y")</f>
        <v>14</v>
      </c>
    </row>
    <row r="544" spans="1:10" ht="16.5">
      <c r="A544" s="39" t="s">
        <v>588</v>
      </c>
      <c r="B544" s="46" t="s">
        <v>280</v>
      </c>
      <c r="C544" s="39" t="s">
        <v>465</v>
      </c>
      <c r="D544" s="72">
        <v>466293520</v>
      </c>
      <c r="E544" s="73">
        <v>2524442142</v>
      </c>
      <c r="F544" s="39" t="s">
        <v>252</v>
      </c>
      <c r="G544" s="256">
        <v>18655</v>
      </c>
      <c r="H544" s="255">
        <v>34331</v>
      </c>
      <c r="I544" s="105" t="str">
        <f>CHOOSE(MONTH(H544),"January","February","March","April","May","June","July","August","September","October","November","December")</f>
        <v>December</v>
      </c>
      <c r="J544" s="51">
        <f ca="1">DATEDIF(H544,TODAY(),"Y")</f>
        <v>22</v>
      </c>
    </row>
    <row r="545" spans="1:10" ht="16.5">
      <c r="A545" s="45" t="s">
        <v>244</v>
      </c>
      <c r="B545" s="46" t="s">
        <v>285</v>
      </c>
      <c r="C545" s="39" t="s">
        <v>465</v>
      </c>
      <c r="D545" s="72">
        <v>428024993</v>
      </c>
      <c r="E545" s="73">
        <v>9196410575</v>
      </c>
      <c r="F545" s="39" t="s">
        <v>247</v>
      </c>
      <c r="G545" s="256">
        <v>22344</v>
      </c>
      <c r="H545" s="255">
        <v>33989</v>
      </c>
      <c r="I545" s="105" t="str">
        <f>CHOOSE(MONTH(H545),"January","February","March","April","May","June","July","August","September","October","November","December")</f>
        <v>January</v>
      </c>
      <c r="J545" s="51">
        <f ca="1">DATEDIF(H545,TODAY(),"Y")</f>
        <v>23</v>
      </c>
    </row>
    <row r="546" spans="1:10" ht="16.5">
      <c r="A546" s="39" t="s">
        <v>873</v>
      </c>
      <c r="B546" s="46" t="s">
        <v>266</v>
      </c>
      <c r="C546" s="39" t="s">
        <v>626</v>
      </c>
      <c r="D546" s="72">
        <v>466400098</v>
      </c>
      <c r="E546" s="73">
        <v>2524652136</v>
      </c>
      <c r="F546" s="39" t="s">
        <v>247</v>
      </c>
      <c r="G546" s="256">
        <v>39515</v>
      </c>
      <c r="H546" s="255">
        <v>35071</v>
      </c>
      <c r="I546" s="105" t="str">
        <f>CHOOSE(MONTH(H546),"January","February","March","April","May","June","July","August","September","October","November","December")</f>
        <v>January</v>
      </c>
      <c r="J546" s="51">
        <f ca="1">DATEDIF(H546,TODAY(),"Y")</f>
        <v>20</v>
      </c>
    </row>
    <row r="547" spans="1:10" ht="16.5">
      <c r="A547" s="39" t="s">
        <v>374</v>
      </c>
      <c r="B547" s="46" t="s">
        <v>245</v>
      </c>
      <c r="C547" s="39" t="s">
        <v>767</v>
      </c>
      <c r="D547" s="72">
        <v>808012612</v>
      </c>
      <c r="E547" s="73">
        <v>9193717553</v>
      </c>
      <c r="F547" s="39" t="s">
        <v>247</v>
      </c>
      <c r="G547" s="256">
        <v>24200</v>
      </c>
      <c r="H547" s="255">
        <v>35073</v>
      </c>
      <c r="I547" s="105" t="str">
        <f>CHOOSE(MONTH(H547),"January","February","March","April","May","June","July","August","September","October","November","December")</f>
        <v>January</v>
      </c>
      <c r="J547" s="51">
        <f ca="1">DATEDIF(H547,TODAY(),"Y")</f>
        <v>20</v>
      </c>
    </row>
    <row r="548" spans="1:10" ht="16.5">
      <c r="A548" s="39" t="s">
        <v>884</v>
      </c>
      <c r="B548" s="46" t="s">
        <v>285</v>
      </c>
      <c r="C548" s="39" t="s">
        <v>312</v>
      </c>
      <c r="D548" s="72">
        <v>164904130</v>
      </c>
      <c r="E548" s="73">
        <v>2528046670</v>
      </c>
      <c r="F548" s="39" t="s">
        <v>247</v>
      </c>
      <c r="G548" s="256">
        <v>86640</v>
      </c>
      <c r="H548" s="255">
        <v>37639</v>
      </c>
      <c r="I548" s="105" t="str">
        <f>CHOOSE(MONTH(H548),"January","February","March","April","May","June","July","August","September","October","November","December")</f>
        <v>January</v>
      </c>
      <c r="J548" s="51">
        <f ca="1">DATEDIF(H548,TODAY(),"Y")</f>
        <v>13</v>
      </c>
    </row>
    <row r="549" spans="1:10" ht="16.5">
      <c r="A549" s="39" t="s">
        <v>525</v>
      </c>
      <c r="B549" s="46" t="s">
        <v>251</v>
      </c>
      <c r="C549" s="39" t="s">
        <v>456</v>
      </c>
      <c r="D549" s="72">
        <v>117896630</v>
      </c>
      <c r="E549" s="73">
        <v>9197173558</v>
      </c>
      <c r="F549" s="39" t="s">
        <v>247</v>
      </c>
      <c r="G549" s="256">
        <v>54840</v>
      </c>
      <c r="H549" s="255">
        <v>35451</v>
      </c>
      <c r="I549" s="105" t="str">
        <f>CHOOSE(MONTH(H549),"January","February","March","April","May","June","July","August","September","October","November","December")</f>
        <v>January</v>
      </c>
      <c r="J549" s="51">
        <f ca="1">DATEDIF(H549,TODAY(),"Y")</f>
        <v>19</v>
      </c>
    </row>
    <row r="550" spans="1:10" ht="16.5">
      <c r="A550" s="39" t="s">
        <v>965</v>
      </c>
      <c r="B550" s="46" t="s">
        <v>271</v>
      </c>
      <c r="C550" s="39" t="s">
        <v>626</v>
      </c>
      <c r="D550" s="72">
        <v>400260342</v>
      </c>
      <c r="E550" s="73">
        <v>9196798743</v>
      </c>
      <c r="F550" s="39" t="s">
        <v>247</v>
      </c>
      <c r="G550" s="256">
        <v>77930</v>
      </c>
      <c r="H550" s="255">
        <v>37270</v>
      </c>
      <c r="I550" s="105" t="str">
        <f>CHOOSE(MONTH(H550),"January","February","March","April","May","June","July","August","September","October","November","December")</f>
        <v>January</v>
      </c>
      <c r="J550" s="51">
        <f ca="1">DATEDIF(H550,TODAY(),"Y")</f>
        <v>14</v>
      </c>
    </row>
    <row r="551" spans="1:10" ht="16.5">
      <c r="A551" s="39" t="s">
        <v>649</v>
      </c>
      <c r="B551" s="46" t="s">
        <v>285</v>
      </c>
      <c r="C551" s="39" t="s">
        <v>856</v>
      </c>
      <c r="D551" s="72">
        <v>932553359</v>
      </c>
      <c r="E551" s="73">
        <v>9192376215</v>
      </c>
      <c r="F551" s="39" t="s">
        <v>247</v>
      </c>
      <c r="G551" s="256">
        <v>20028</v>
      </c>
      <c r="H551" s="255">
        <v>37281</v>
      </c>
      <c r="I551" s="105" t="str">
        <f>CHOOSE(MONTH(H551),"January","February","March","April","May","June","July","August","September","October","November","December")</f>
        <v>January</v>
      </c>
      <c r="J551" s="51">
        <f ca="1">DATEDIF(H551,TODAY(),"Y")</f>
        <v>14</v>
      </c>
    </row>
    <row r="552" spans="1:10" ht="16.5">
      <c r="A552" s="39" t="s">
        <v>544</v>
      </c>
      <c r="B552" s="46" t="s">
        <v>285</v>
      </c>
      <c r="C552" s="39" t="s">
        <v>465</v>
      </c>
      <c r="D552" s="72">
        <v>114005397</v>
      </c>
      <c r="E552" s="73">
        <v>2524694617</v>
      </c>
      <c r="F552" s="39" t="s">
        <v>247</v>
      </c>
      <c r="G552" s="256">
        <v>64510</v>
      </c>
      <c r="H552" s="255">
        <v>41282</v>
      </c>
      <c r="I552" s="105" t="str">
        <f>CHOOSE(MONTH(H552),"January","February","March","April","May","June","July","August","September","October","November","December")</f>
        <v>January</v>
      </c>
      <c r="J552" s="51">
        <f ca="1">DATEDIF(H552,TODAY(),"Y")</f>
        <v>3</v>
      </c>
    </row>
    <row r="553" spans="1:10" ht="16.5">
      <c r="A553" s="39" t="s">
        <v>550</v>
      </c>
      <c r="B553" s="46" t="s">
        <v>271</v>
      </c>
      <c r="C553" s="39" t="s">
        <v>930</v>
      </c>
      <c r="D553" s="72">
        <v>317749924</v>
      </c>
      <c r="E553" s="73">
        <v>9193441810</v>
      </c>
      <c r="F553" s="39" t="s">
        <v>247</v>
      </c>
      <c r="G553" s="256">
        <v>39680</v>
      </c>
      <c r="H553" s="255">
        <v>39826</v>
      </c>
      <c r="I553" s="105" t="str">
        <f>CHOOSE(MONTH(H553),"January","February","March","April","May","June","July","August","September","October","November","December")</f>
        <v>January</v>
      </c>
      <c r="J553" s="51">
        <f ca="1">DATEDIF(H553,TODAY(),"Y")</f>
        <v>7</v>
      </c>
    </row>
    <row r="554" spans="1:10" ht="16.5">
      <c r="A554" s="39" t="s">
        <v>300</v>
      </c>
      <c r="B554" s="46" t="s">
        <v>285</v>
      </c>
      <c r="C554" s="39" t="s">
        <v>465</v>
      </c>
      <c r="D554" s="72">
        <v>948480407</v>
      </c>
      <c r="E554" s="73">
        <v>9191449596</v>
      </c>
      <c r="F554" s="39" t="s">
        <v>247</v>
      </c>
      <c r="G554" s="256">
        <v>48550</v>
      </c>
      <c r="H554" s="255">
        <v>41280</v>
      </c>
      <c r="I554" s="105" t="str">
        <f>CHOOSE(MONTH(H554),"January","February","March","April","May","June","July","August","September","October","November","December")</f>
        <v>January</v>
      </c>
      <c r="J554" s="51">
        <f ca="1">DATEDIF(H554,TODAY(),"Y")</f>
        <v>3</v>
      </c>
    </row>
    <row r="555" spans="1:10" ht="16.5">
      <c r="A555" s="39" t="s">
        <v>623</v>
      </c>
      <c r="B555" s="46" t="s">
        <v>266</v>
      </c>
      <c r="C555" s="39" t="s">
        <v>465</v>
      </c>
      <c r="D555" s="72">
        <v>596641549</v>
      </c>
      <c r="E555" s="73">
        <v>9196194175</v>
      </c>
      <c r="F555" s="39" t="s">
        <v>247</v>
      </c>
      <c r="G555" s="256">
        <v>74710</v>
      </c>
      <c r="H555" s="255">
        <v>38725</v>
      </c>
      <c r="I555" s="105" t="str">
        <f>CHOOSE(MONTH(H555),"January","February","March","April","May","June","July","August","September","October","November","December")</f>
        <v>January</v>
      </c>
      <c r="J555" s="51">
        <f ca="1">DATEDIF(H555,TODAY(),"Y")</f>
        <v>10</v>
      </c>
    </row>
    <row r="556" spans="1:10" ht="16.5">
      <c r="A556" s="39" t="s">
        <v>604</v>
      </c>
      <c r="B556" s="46" t="s">
        <v>266</v>
      </c>
      <c r="C556" s="39" t="s">
        <v>618</v>
      </c>
      <c r="D556" s="72">
        <v>380343690</v>
      </c>
      <c r="E556" s="73">
        <v>2523906310</v>
      </c>
      <c r="F556" s="39" t="s">
        <v>247</v>
      </c>
      <c r="G556" s="256">
        <v>73740</v>
      </c>
      <c r="H556" s="255">
        <v>34730</v>
      </c>
      <c r="I556" s="105" t="str">
        <f>CHOOSE(MONTH(H556),"January","February","March","April","May","June","July","August","September","October","November","December")</f>
        <v>January</v>
      </c>
      <c r="J556" s="51">
        <f ca="1">DATEDIF(H556,TODAY(),"Y")</f>
        <v>21</v>
      </c>
    </row>
    <row r="557" spans="1:10" ht="16.5">
      <c r="A557" s="39" t="s">
        <v>464</v>
      </c>
      <c r="B557" s="46" t="s">
        <v>266</v>
      </c>
      <c r="C557" s="39" t="s">
        <v>930</v>
      </c>
      <c r="D557" s="72">
        <v>626648632</v>
      </c>
      <c r="E557" s="73">
        <v>2526412482</v>
      </c>
      <c r="F557" s="39" t="s">
        <v>247</v>
      </c>
      <c r="G557" s="256">
        <v>73560</v>
      </c>
      <c r="H557" s="255">
        <v>34384</v>
      </c>
      <c r="I557" s="105" t="str">
        <f>CHOOSE(MONTH(H557),"January","February","March","April","May","June","July","August","September","October","November","December")</f>
        <v>February</v>
      </c>
      <c r="J557" s="51">
        <f ca="1">DATEDIF(H557,TODAY(),"Y")</f>
        <v>22</v>
      </c>
    </row>
    <row r="558" spans="1:10" ht="16.5">
      <c r="A558" s="39" t="s">
        <v>466</v>
      </c>
      <c r="B558" s="46" t="s">
        <v>271</v>
      </c>
      <c r="C558" s="39" t="s">
        <v>930</v>
      </c>
      <c r="D558" s="72">
        <v>916944119</v>
      </c>
      <c r="E558" s="73">
        <v>2524907564</v>
      </c>
      <c r="F558" s="39" t="s">
        <v>247</v>
      </c>
      <c r="G558" s="256">
        <v>68910</v>
      </c>
      <c r="H558" s="255">
        <v>34392</v>
      </c>
      <c r="I558" s="105" t="str">
        <f>CHOOSE(MONTH(H558),"January","February","March","April","May","June","July","August","September","October","November","December")</f>
        <v>February</v>
      </c>
      <c r="J558" s="51">
        <f ca="1">DATEDIF(H558,TODAY(),"Y")</f>
        <v>22</v>
      </c>
    </row>
    <row r="559" spans="1:10" ht="16.5">
      <c r="A559" s="39" t="s">
        <v>712</v>
      </c>
      <c r="B559" s="46" t="s">
        <v>285</v>
      </c>
      <c r="C559" s="39" t="s">
        <v>411</v>
      </c>
      <c r="D559" s="72">
        <v>699053064</v>
      </c>
      <c r="E559" s="73">
        <v>9191299076</v>
      </c>
      <c r="F559" s="39" t="s">
        <v>247</v>
      </c>
      <c r="G559" s="256">
        <v>47610</v>
      </c>
      <c r="H559" s="255">
        <v>36583</v>
      </c>
      <c r="I559" s="105" t="str">
        <f>CHOOSE(MONTH(H559),"January","February","March","April","May","June","July","August","September","October","November","December")</f>
        <v>February</v>
      </c>
      <c r="J559" s="51">
        <f ca="1">DATEDIF(H559,TODAY(),"Y")</f>
        <v>16</v>
      </c>
    </row>
    <row r="560" spans="1:10" ht="16.5">
      <c r="A560" s="39" t="s">
        <v>940</v>
      </c>
      <c r="B560" s="46" t="s">
        <v>266</v>
      </c>
      <c r="C560" s="39" t="s">
        <v>312</v>
      </c>
      <c r="D560" s="72">
        <v>267218084</v>
      </c>
      <c r="E560" s="73">
        <v>9193825834</v>
      </c>
      <c r="F560" s="39" t="s">
        <v>247</v>
      </c>
      <c r="G560" s="256">
        <v>47340</v>
      </c>
      <c r="H560" s="255">
        <v>34733</v>
      </c>
      <c r="I560" s="105" t="str">
        <f>CHOOSE(MONTH(H560),"January","February","March","April","May","June","July","August","September","October","November","December")</f>
        <v>February</v>
      </c>
      <c r="J560" s="51">
        <f ca="1">DATEDIF(H560,TODAY(),"Y")</f>
        <v>21</v>
      </c>
    </row>
    <row r="561" spans="1:10" ht="16.5">
      <c r="A561" s="39" t="s">
        <v>752</v>
      </c>
      <c r="B561" s="46" t="s">
        <v>245</v>
      </c>
      <c r="C561" s="39" t="s">
        <v>767</v>
      </c>
      <c r="D561" s="72">
        <v>433314045</v>
      </c>
      <c r="E561" s="73">
        <v>2522543210</v>
      </c>
      <c r="F561" s="39" t="s">
        <v>247</v>
      </c>
      <c r="G561" s="256">
        <v>15552</v>
      </c>
      <c r="H561" s="255">
        <v>41309</v>
      </c>
      <c r="I561" s="105" t="str">
        <f>CHOOSE(MONTH(H561),"January","February","March","April","May","June","July","August","September","October","November","December")</f>
        <v>February</v>
      </c>
      <c r="J561" s="51">
        <f ca="1">DATEDIF(H561,TODAY(),"Y")</f>
        <v>3</v>
      </c>
    </row>
    <row r="562" spans="1:10" ht="16.5">
      <c r="A562" s="39" t="s">
        <v>886</v>
      </c>
      <c r="B562" s="46" t="s">
        <v>285</v>
      </c>
      <c r="C562" s="39" t="s">
        <v>856</v>
      </c>
      <c r="D562" s="72">
        <v>195772503</v>
      </c>
      <c r="E562" s="73">
        <v>9193123940</v>
      </c>
      <c r="F562" s="39" t="s">
        <v>247</v>
      </c>
      <c r="G562" s="256">
        <v>80690</v>
      </c>
      <c r="H562" s="255">
        <v>40222</v>
      </c>
      <c r="I562" s="105" t="str">
        <f>CHOOSE(MONTH(H562),"January","February","March","April","May","June","July","August","September","October","November","December")</f>
        <v>February</v>
      </c>
      <c r="J562" s="51">
        <f ca="1">DATEDIF(H562,TODAY(),"Y")</f>
        <v>6</v>
      </c>
    </row>
    <row r="563" spans="1:10" ht="16.5">
      <c r="A563" s="39" t="s">
        <v>987</v>
      </c>
      <c r="B563" s="46" t="s">
        <v>271</v>
      </c>
      <c r="C563" s="39" t="s">
        <v>767</v>
      </c>
      <c r="D563" s="72">
        <v>462650472</v>
      </c>
      <c r="E563" s="73">
        <v>2521276517</v>
      </c>
      <c r="F563" s="39" t="s">
        <v>247</v>
      </c>
      <c r="G563" s="256">
        <v>48410</v>
      </c>
      <c r="H563" s="255">
        <v>41313</v>
      </c>
      <c r="I563" s="105" t="str">
        <f>CHOOSE(MONTH(H563),"January","February","March","April","May","June","July","August","September","October","November","December")</f>
        <v>February</v>
      </c>
      <c r="J563" s="51">
        <f ca="1">DATEDIF(H563,TODAY(),"Y")</f>
        <v>3</v>
      </c>
    </row>
    <row r="564" spans="1:10" ht="16.5">
      <c r="A564" s="39" t="s">
        <v>559</v>
      </c>
      <c r="B564" s="46" t="s">
        <v>251</v>
      </c>
      <c r="C564" s="39" t="s">
        <v>465</v>
      </c>
      <c r="D564" s="72">
        <v>240272873</v>
      </c>
      <c r="E564" s="73">
        <v>9198912054</v>
      </c>
      <c r="F564" s="39" t="s">
        <v>247</v>
      </c>
      <c r="G564" s="256">
        <v>17270</v>
      </c>
      <c r="H564" s="255">
        <v>34367</v>
      </c>
      <c r="I564" s="105" t="str">
        <f>CHOOSE(MONTH(H564),"January","February","March","April","May","June","July","August","September","October","November","December")</f>
        <v>February</v>
      </c>
      <c r="J564" s="51">
        <f ca="1">DATEDIF(H564,TODAY(),"Y")</f>
        <v>22</v>
      </c>
    </row>
    <row r="565" spans="1:10" ht="16.5">
      <c r="A565" s="39" t="s">
        <v>910</v>
      </c>
      <c r="B565" s="46" t="s">
        <v>280</v>
      </c>
      <c r="C565" s="39" t="s">
        <v>465</v>
      </c>
      <c r="D565" s="72">
        <v>596008829</v>
      </c>
      <c r="E565" s="73">
        <v>9198721709</v>
      </c>
      <c r="F565" s="39" t="s">
        <v>247</v>
      </c>
      <c r="G565" s="256">
        <v>88820</v>
      </c>
      <c r="H565" s="255">
        <v>36211</v>
      </c>
      <c r="I565" s="105" t="str">
        <f>CHOOSE(MONTH(H565),"January","February","March","April","May","June","July","August","September","October","November","December")</f>
        <v>February</v>
      </c>
      <c r="J565" s="51">
        <f ca="1">DATEDIF(H565,TODAY(),"Y")</f>
        <v>17</v>
      </c>
    </row>
    <row r="566" spans="1:10" ht="16.5">
      <c r="A566" s="39" t="s">
        <v>349</v>
      </c>
      <c r="B566" s="46" t="s">
        <v>245</v>
      </c>
      <c r="C566" s="39" t="s">
        <v>767</v>
      </c>
      <c r="D566" s="72">
        <v>643979374</v>
      </c>
      <c r="E566" s="73">
        <v>2521230519</v>
      </c>
      <c r="F566" s="39" t="s">
        <v>247</v>
      </c>
      <c r="G566" s="256">
        <v>49260</v>
      </c>
      <c r="H566" s="255">
        <v>41314</v>
      </c>
      <c r="I566" s="105" t="str">
        <f>CHOOSE(MONTH(H566),"January","February","March","April","May","June","July","August","September","October","November","December")</f>
        <v>February</v>
      </c>
      <c r="J566" s="51">
        <f ca="1">DATEDIF(H566,TODAY(),"Y")</f>
        <v>3</v>
      </c>
    </row>
    <row r="567" spans="1:10" ht="16.5">
      <c r="A567" s="39" t="s">
        <v>696</v>
      </c>
      <c r="B567" s="46" t="s">
        <v>285</v>
      </c>
      <c r="C567" s="39" t="s">
        <v>767</v>
      </c>
      <c r="D567" s="72">
        <v>938723321</v>
      </c>
      <c r="E567" s="73">
        <v>9196456972</v>
      </c>
      <c r="F567" s="39" t="s">
        <v>247</v>
      </c>
      <c r="G567" s="256">
        <v>37016</v>
      </c>
      <c r="H567" s="255">
        <v>36196</v>
      </c>
      <c r="I567" s="105" t="str">
        <f>CHOOSE(MONTH(H567),"January","February","March","April","May","June","July","August","September","October","November","December")</f>
        <v>February</v>
      </c>
      <c r="J567" s="51">
        <f ca="1">DATEDIF(H567,TODAY(),"Y")</f>
        <v>17</v>
      </c>
    </row>
    <row r="568" spans="1:10" ht="16.5">
      <c r="A568" s="39" t="s">
        <v>829</v>
      </c>
      <c r="B568" s="46" t="s">
        <v>266</v>
      </c>
      <c r="C568" s="39" t="s">
        <v>465</v>
      </c>
      <c r="D568" s="72">
        <v>165917010</v>
      </c>
      <c r="E568" s="73">
        <v>2527038033</v>
      </c>
      <c r="F568" s="39" t="s">
        <v>247</v>
      </c>
      <c r="G568" s="256">
        <v>23330</v>
      </c>
      <c r="H568" s="255">
        <v>36938</v>
      </c>
      <c r="I568" s="105" t="str">
        <f>CHOOSE(MONTH(H568),"January","February","March","April","May","June","July","August","September","October","November","December")</f>
        <v>February</v>
      </c>
      <c r="J568" s="51">
        <f ca="1">DATEDIF(H568,TODAY(),"Y")</f>
        <v>15</v>
      </c>
    </row>
    <row r="569" spans="1:10" ht="16.5">
      <c r="A569" s="39" t="s">
        <v>461</v>
      </c>
      <c r="B569" s="46" t="s">
        <v>280</v>
      </c>
      <c r="C569" s="39" t="s">
        <v>312</v>
      </c>
      <c r="D569" s="72">
        <v>247276092</v>
      </c>
      <c r="E569" s="73">
        <v>2522636516</v>
      </c>
      <c r="F569" s="39" t="s">
        <v>247</v>
      </c>
      <c r="G569" s="256">
        <v>46220</v>
      </c>
      <c r="H569" s="255">
        <v>34008</v>
      </c>
      <c r="I569" s="105" t="str">
        <f>CHOOSE(MONTH(H569),"January","February","March","April","May","June","July","August","September","October","November","December")</f>
        <v>February</v>
      </c>
      <c r="J569" s="51">
        <f ca="1">DATEDIF(H569,TODAY(),"Y")</f>
        <v>23</v>
      </c>
    </row>
    <row r="570" spans="1:10" ht="16.5">
      <c r="A570" s="39" t="s">
        <v>582</v>
      </c>
      <c r="B570" s="46" t="s">
        <v>266</v>
      </c>
      <c r="C570" s="39" t="s">
        <v>417</v>
      </c>
      <c r="D570" s="72">
        <v>956291859</v>
      </c>
      <c r="E570" s="73">
        <v>2521156902</v>
      </c>
      <c r="F570" s="39" t="s">
        <v>247</v>
      </c>
      <c r="G570" s="256">
        <v>30300</v>
      </c>
      <c r="H570" s="255">
        <v>34370</v>
      </c>
      <c r="I570" s="105" t="str">
        <f>CHOOSE(MONTH(H570),"January","February","March","April","May","June","July","August","September","October","November","December")</f>
        <v>February</v>
      </c>
      <c r="J570" s="51">
        <f ca="1">DATEDIF(H570,TODAY(),"Y")</f>
        <v>22</v>
      </c>
    </row>
    <row r="571" spans="1:10" ht="16.5">
      <c r="A571" s="39" t="s">
        <v>361</v>
      </c>
      <c r="B571" s="46" t="s">
        <v>285</v>
      </c>
      <c r="C571" s="39" t="s">
        <v>312</v>
      </c>
      <c r="D571" s="72">
        <v>653843221</v>
      </c>
      <c r="E571" s="73">
        <v>9197713771</v>
      </c>
      <c r="F571" s="39" t="s">
        <v>247</v>
      </c>
      <c r="G571" s="256">
        <v>72090</v>
      </c>
      <c r="H571" s="255">
        <v>38405</v>
      </c>
      <c r="I571" s="105" t="str">
        <f>CHOOSE(MONTH(H571),"January","February","March","April","May","June","July","August","September","October","November","December")</f>
        <v>February</v>
      </c>
      <c r="J571" s="51">
        <f ca="1">DATEDIF(H571,TODAY(),"Y")</f>
        <v>11</v>
      </c>
    </row>
    <row r="572" spans="1:10" ht="16.5">
      <c r="A572" s="39" t="s">
        <v>390</v>
      </c>
      <c r="B572" s="46" t="s">
        <v>245</v>
      </c>
      <c r="C572" s="39" t="s">
        <v>1025</v>
      </c>
      <c r="D572" s="72">
        <v>776823797</v>
      </c>
      <c r="E572" s="73">
        <v>9193482736</v>
      </c>
      <c r="F572" s="39" t="s">
        <v>247</v>
      </c>
      <c r="G572" s="256">
        <v>47520</v>
      </c>
      <c r="H572" s="255">
        <v>40614</v>
      </c>
      <c r="I572" s="105" t="str">
        <f>CHOOSE(MONTH(H572),"January","February","March","April","May","June","July","August","September","October","November","December")</f>
        <v>March</v>
      </c>
      <c r="J572" s="51">
        <f ca="1">DATEDIF(H572,TODAY(),"Y")</f>
        <v>5</v>
      </c>
    </row>
    <row r="573" spans="1:10" ht="16.5">
      <c r="A573" s="39" t="s">
        <v>495</v>
      </c>
      <c r="B573" s="46" t="s">
        <v>285</v>
      </c>
      <c r="C573" s="39" t="s">
        <v>930</v>
      </c>
      <c r="D573" s="72">
        <v>324069262</v>
      </c>
      <c r="E573" s="73">
        <v>2525459665</v>
      </c>
      <c r="F573" s="39" t="s">
        <v>247</v>
      </c>
      <c r="G573" s="256">
        <v>68750</v>
      </c>
      <c r="H573" s="255">
        <v>36239</v>
      </c>
      <c r="I573" s="105" t="str">
        <f>CHOOSE(MONTH(H573),"January","February","March","April","May","June","July","August","September","October","November","December")</f>
        <v>March</v>
      </c>
      <c r="J573" s="51">
        <f ca="1">DATEDIF(H573,TODAY(),"Y")</f>
        <v>17</v>
      </c>
    </row>
    <row r="574" spans="1:10" ht="16.5">
      <c r="A574" s="39" t="s">
        <v>951</v>
      </c>
      <c r="B574" s="46" t="s">
        <v>285</v>
      </c>
      <c r="C574" s="39" t="s">
        <v>626</v>
      </c>
      <c r="D574" s="72">
        <v>479081328</v>
      </c>
      <c r="E574" s="73">
        <v>2525368383</v>
      </c>
      <c r="F574" s="39" t="s">
        <v>247</v>
      </c>
      <c r="G574" s="256">
        <v>54000</v>
      </c>
      <c r="H574" s="255">
        <v>36221</v>
      </c>
      <c r="I574" s="105" t="str">
        <f>CHOOSE(MONTH(H574),"January","February","March","April","May","June","July","August","September","October","November","December")</f>
        <v>March</v>
      </c>
      <c r="J574" s="51">
        <f ca="1">DATEDIF(H574,TODAY(),"Y")</f>
        <v>17</v>
      </c>
    </row>
    <row r="575" spans="1:10" ht="16.5">
      <c r="A575" s="39" t="s">
        <v>428</v>
      </c>
      <c r="B575" s="46" t="s">
        <v>251</v>
      </c>
      <c r="C575" s="39" t="s">
        <v>391</v>
      </c>
      <c r="D575" s="72">
        <v>843875501</v>
      </c>
      <c r="E575" s="73">
        <v>2522715355</v>
      </c>
      <c r="F575" s="39" t="s">
        <v>247</v>
      </c>
      <c r="G575" s="256">
        <v>33590</v>
      </c>
      <c r="H575" s="255">
        <v>37323</v>
      </c>
      <c r="I575" s="105" t="str">
        <f>CHOOSE(MONTH(H575),"January","February","March","April","May","June","July","August","September","October","November","December")</f>
        <v>March</v>
      </c>
      <c r="J575" s="51">
        <f ca="1">DATEDIF(H575,TODAY(),"Y")</f>
        <v>14</v>
      </c>
    </row>
    <row r="576" spans="1:10" ht="16.5">
      <c r="A576" s="39" t="s">
        <v>387</v>
      </c>
      <c r="B576" s="46" t="s">
        <v>280</v>
      </c>
      <c r="C576" s="39" t="s">
        <v>930</v>
      </c>
      <c r="D576" s="72">
        <v>426812736</v>
      </c>
      <c r="E576" s="73">
        <v>9198399625</v>
      </c>
      <c r="F576" s="39" t="s">
        <v>247</v>
      </c>
      <c r="G576" s="256">
        <v>24090</v>
      </c>
      <c r="H576" s="255">
        <v>40993</v>
      </c>
      <c r="I576" s="105" t="str">
        <f>CHOOSE(MONTH(H576),"January","February","March","April","May","June","July","August","September","October","November","December")</f>
        <v>March</v>
      </c>
      <c r="J576" s="51">
        <f ca="1">DATEDIF(H576,TODAY(),"Y")</f>
        <v>4</v>
      </c>
    </row>
    <row r="577" spans="1:10" ht="16.5">
      <c r="A577" s="39" t="s">
        <v>820</v>
      </c>
      <c r="B577" s="46" t="s">
        <v>245</v>
      </c>
      <c r="C577" s="39" t="s">
        <v>465</v>
      </c>
      <c r="D577" s="72">
        <v>318068637</v>
      </c>
      <c r="E577" s="73">
        <v>9193709408</v>
      </c>
      <c r="F577" s="39" t="s">
        <v>247</v>
      </c>
      <c r="G577" s="256">
        <v>71400</v>
      </c>
      <c r="H577" s="255">
        <v>38051</v>
      </c>
      <c r="I577" s="105" t="str">
        <f>CHOOSE(MONTH(H577),"January","February","March","April","May","June","July","August","September","October","November","December")</f>
        <v>March</v>
      </c>
      <c r="J577" s="51">
        <f ca="1">DATEDIF(H577,TODAY(),"Y")</f>
        <v>12</v>
      </c>
    </row>
    <row r="578" spans="1:10" ht="16.5">
      <c r="A578" s="39" t="s">
        <v>388</v>
      </c>
      <c r="B578" s="46" t="s">
        <v>245</v>
      </c>
      <c r="C578" s="39" t="s">
        <v>678</v>
      </c>
      <c r="D578" s="72">
        <v>550291321</v>
      </c>
      <c r="E578" s="73">
        <v>9192529195</v>
      </c>
      <c r="F578" s="39" t="s">
        <v>247</v>
      </c>
      <c r="G578" s="256">
        <v>47705</v>
      </c>
      <c r="H578" s="255">
        <v>36957</v>
      </c>
      <c r="I578" s="105" t="str">
        <f>CHOOSE(MONTH(H578),"January","February","March","April","May","June","July","August","September","October","November","December")</f>
        <v>March</v>
      </c>
      <c r="J578" s="51">
        <f ca="1">DATEDIF(H578,TODAY(),"Y")</f>
        <v>15</v>
      </c>
    </row>
    <row r="579" spans="1:10" ht="16.5">
      <c r="A579" s="39" t="s">
        <v>986</v>
      </c>
      <c r="B579" s="46" t="s">
        <v>285</v>
      </c>
      <c r="C579" s="39" t="s">
        <v>930</v>
      </c>
      <c r="D579" s="72">
        <v>151532569</v>
      </c>
      <c r="E579" s="73">
        <v>2525202015</v>
      </c>
      <c r="F579" s="39" t="s">
        <v>247</v>
      </c>
      <c r="G579" s="256">
        <v>77720</v>
      </c>
      <c r="H579" s="255">
        <v>41362</v>
      </c>
      <c r="I579" s="105" t="str">
        <f>CHOOSE(MONTH(H579),"January","February","March","April","May","June","July","August","September","October","November","December")</f>
        <v>March</v>
      </c>
      <c r="J579" s="51">
        <f ca="1">DATEDIF(H579,TODAY(),"Y")</f>
        <v>3</v>
      </c>
    </row>
    <row r="580" spans="1:10" ht="16.5">
      <c r="A580" s="39" t="s">
        <v>904</v>
      </c>
      <c r="B580" s="46" t="s">
        <v>285</v>
      </c>
      <c r="C580" s="39" t="s">
        <v>1031</v>
      </c>
      <c r="D580" s="72">
        <v>978092408</v>
      </c>
      <c r="E580" s="73">
        <v>9191888279</v>
      </c>
      <c r="F580" s="39" t="s">
        <v>247</v>
      </c>
      <c r="G580" s="256">
        <v>77740</v>
      </c>
      <c r="H580" s="255">
        <v>34788</v>
      </c>
      <c r="I580" s="105" t="str">
        <f>CHOOSE(MONTH(H580),"January","February","March","April","May","June","July","August","September","October","November","December")</f>
        <v>March</v>
      </c>
      <c r="J580" s="51">
        <f ca="1">DATEDIF(H580,TODAY(),"Y")</f>
        <v>21</v>
      </c>
    </row>
    <row r="581" spans="1:10" ht="16.5">
      <c r="A581" s="39" t="s">
        <v>909</v>
      </c>
      <c r="B581" s="46" t="s">
        <v>245</v>
      </c>
      <c r="C581" s="45" t="s">
        <v>246</v>
      </c>
      <c r="D581" s="47">
        <v>948195711</v>
      </c>
      <c r="E581" s="48">
        <v>2523539786</v>
      </c>
      <c r="F581" s="45" t="s">
        <v>247</v>
      </c>
      <c r="G581" s="256">
        <v>76910</v>
      </c>
      <c r="H581" s="255">
        <v>35132</v>
      </c>
      <c r="I581" s="105" t="str">
        <f>CHOOSE(MONTH(H581),"January","February","March","April","May","June","July","August","September","October","November","December")</f>
        <v>March</v>
      </c>
      <c r="J581" s="51">
        <f ca="1">DATEDIF(H581,TODAY(),"Y")</f>
        <v>20</v>
      </c>
    </row>
    <row r="582" spans="1:10" ht="16.5">
      <c r="A582" s="39" t="s">
        <v>1000</v>
      </c>
      <c r="B582" s="46" t="s">
        <v>271</v>
      </c>
      <c r="C582" s="39" t="s">
        <v>465</v>
      </c>
      <c r="D582" s="72">
        <v>843064707</v>
      </c>
      <c r="E582" s="73">
        <v>9192687844</v>
      </c>
      <c r="F582" s="39" t="s">
        <v>247</v>
      </c>
      <c r="G582" s="256">
        <v>35045</v>
      </c>
      <c r="H582" s="255">
        <v>34420</v>
      </c>
      <c r="I582" s="105" t="str">
        <f>CHOOSE(MONTH(H582),"January","February","March","April","May","June","July","August","September","October","November","December")</f>
        <v>March</v>
      </c>
      <c r="J582" s="51">
        <f ca="1">DATEDIF(H582,TODAY(),"Y")</f>
        <v>22</v>
      </c>
    </row>
    <row r="583" spans="1:10" ht="16.5">
      <c r="A583" s="39" t="s">
        <v>286</v>
      </c>
      <c r="B583" s="46" t="s">
        <v>245</v>
      </c>
      <c r="C583" s="39" t="s">
        <v>678</v>
      </c>
      <c r="D583" s="72">
        <v>261486180</v>
      </c>
      <c r="E583" s="73">
        <v>2522523567</v>
      </c>
      <c r="F583" s="39" t="s">
        <v>247</v>
      </c>
      <c r="G583" s="256">
        <v>59128</v>
      </c>
      <c r="H583" s="255">
        <v>37317</v>
      </c>
      <c r="I583" s="105" t="str">
        <f>CHOOSE(MONTH(H583),"January","February","March","April","May","June","July","August","September","October","November","December")</f>
        <v>March</v>
      </c>
      <c r="J583" s="51">
        <f ca="1">DATEDIF(H583,TODAY(),"Y")</f>
        <v>14</v>
      </c>
    </row>
    <row r="584" spans="1:10" ht="16.5">
      <c r="A584" s="39" t="s">
        <v>1009</v>
      </c>
      <c r="B584" s="46" t="s">
        <v>271</v>
      </c>
      <c r="C584" s="39" t="s">
        <v>465</v>
      </c>
      <c r="D584" s="72">
        <v>220781349</v>
      </c>
      <c r="E584" s="73">
        <v>2525185281</v>
      </c>
      <c r="F584" s="39" t="s">
        <v>247</v>
      </c>
      <c r="G584" s="256">
        <v>33120</v>
      </c>
      <c r="H584" s="255">
        <v>34762</v>
      </c>
      <c r="I584" s="105" t="str">
        <f>CHOOSE(MONTH(H584),"January","February","March","April","May","June","July","August","September","October","November","December")</f>
        <v>March</v>
      </c>
      <c r="J584" s="51">
        <f ca="1">DATEDIF(H584,TODAY(),"Y")</f>
        <v>21</v>
      </c>
    </row>
    <row r="585" spans="1:10" ht="16.5">
      <c r="A585" s="39" t="s">
        <v>602</v>
      </c>
      <c r="B585" s="46" t="s">
        <v>285</v>
      </c>
      <c r="C585" s="39" t="s">
        <v>856</v>
      </c>
      <c r="D585" s="72">
        <v>351003584</v>
      </c>
      <c r="E585" s="73">
        <v>2524269081</v>
      </c>
      <c r="F585" s="39" t="s">
        <v>247</v>
      </c>
      <c r="G585" s="256">
        <v>18500</v>
      </c>
      <c r="H585" s="255">
        <v>34405</v>
      </c>
      <c r="I585" s="105" t="str">
        <f>CHOOSE(MONTH(H585),"January","February","March","April","May","June","July","August","September","October","November","December")</f>
        <v>March</v>
      </c>
      <c r="J585" s="51">
        <f ca="1">DATEDIF(H585,TODAY(),"Y")</f>
        <v>22</v>
      </c>
    </row>
    <row r="586" spans="1:10" ht="16.5">
      <c r="A586" s="39" t="s">
        <v>745</v>
      </c>
      <c r="B586" s="46" t="s">
        <v>285</v>
      </c>
      <c r="C586" s="39" t="s">
        <v>312</v>
      </c>
      <c r="D586" s="72">
        <v>644862142</v>
      </c>
      <c r="E586" s="73">
        <v>9193274978</v>
      </c>
      <c r="F586" s="39" t="s">
        <v>247</v>
      </c>
      <c r="G586" s="256">
        <v>75100</v>
      </c>
      <c r="H586" s="255">
        <v>39536</v>
      </c>
      <c r="I586" s="105" t="str">
        <f>CHOOSE(MONTH(H586),"January","February","March","April","May","June","July","August","September","October","November","December")</f>
        <v>March</v>
      </c>
      <c r="J586" s="51">
        <f ca="1">DATEDIF(H586,TODAY(),"Y")</f>
        <v>8</v>
      </c>
    </row>
    <row r="587" spans="1:10" ht="16.5">
      <c r="A587" s="39" t="s">
        <v>363</v>
      </c>
      <c r="B587" s="46" t="s">
        <v>280</v>
      </c>
      <c r="C587" s="39" t="s">
        <v>930</v>
      </c>
      <c r="D587" s="72">
        <v>643984096</v>
      </c>
      <c r="E587" s="73">
        <v>9191630739</v>
      </c>
      <c r="F587" s="39" t="s">
        <v>247</v>
      </c>
      <c r="G587" s="256">
        <v>24980</v>
      </c>
      <c r="H587" s="255">
        <v>34054</v>
      </c>
      <c r="I587" s="105" t="str">
        <f>CHOOSE(MONTH(H587),"January","February","March","April","May","June","July","August","September","October","November","December")</f>
        <v>March</v>
      </c>
      <c r="J587" s="51">
        <f ca="1">DATEDIF(H587,TODAY(),"Y")</f>
        <v>23</v>
      </c>
    </row>
    <row r="588" spans="1:10" ht="16.5">
      <c r="A588" s="39" t="s">
        <v>292</v>
      </c>
      <c r="B588" s="46" t="s">
        <v>285</v>
      </c>
      <c r="C588" s="39" t="s">
        <v>465</v>
      </c>
      <c r="D588" s="72">
        <v>635767088</v>
      </c>
      <c r="E588" s="73">
        <v>2522153322</v>
      </c>
      <c r="F588" s="39" t="s">
        <v>247</v>
      </c>
      <c r="G588" s="256">
        <v>17735</v>
      </c>
      <c r="H588" s="255">
        <v>35870</v>
      </c>
      <c r="I588" s="105" t="str">
        <f>CHOOSE(MONTH(H588),"January","February","March","April","May","June","July","August","September","October","November","December")</f>
        <v>March</v>
      </c>
      <c r="J588" s="51">
        <f ca="1">DATEDIF(H588,TODAY(),"Y")</f>
        <v>18</v>
      </c>
    </row>
    <row r="589" spans="1:10" ht="16.5">
      <c r="A589" s="39" t="s">
        <v>773</v>
      </c>
      <c r="B589" s="46" t="s">
        <v>285</v>
      </c>
      <c r="C589" s="39" t="s">
        <v>930</v>
      </c>
      <c r="D589" s="72">
        <v>970466937</v>
      </c>
      <c r="E589" s="73">
        <v>9192042331</v>
      </c>
      <c r="F589" s="39" t="s">
        <v>247</v>
      </c>
      <c r="G589" s="256">
        <v>15005</v>
      </c>
      <c r="H589" s="255">
        <v>41016</v>
      </c>
      <c r="I589" s="105" t="str">
        <f>CHOOSE(MONTH(H589),"January","February","March","April","May","June","July","August","September","October","November","December")</f>
        <v>April</v>
      </c>
      <c r="J589" s="51">
        <f ca="1">DATEDIF(H589,TODAY(),"Y")</f>
        <v>4</v>
      </c>
    </row>
    <row r="590" spans="1:10" ht="16.5">
      <c r="A590" s="39" t="s">
        <v>711</v>
      </c>
      <c r="B590" s="46" t="s">
        <v>245</v>
      </c>
      <c r="C590" s="39" t="s">
        <v>626</v>
      </c>
      <c r="D590" s="72">
        <v>259330447</v>
      </c>
      <c r="E590" s="73">
        <v>9195252544</v>
      </c>
      <c r="F590" s="39" t="s">
        <v>247</v>
      </c>
      <c r="G590" s="256">
        <v>60830</v>
      </c>
      <c r="H590" s="255">
        <v>35906</v>
      </c>
      <c r="I590" s="105" t="str">
        <f>CHOOSE(MONTH(H590),"January","February","March","April","May","June","July","August","September","October","November","December")</f>
        <v>April</v>
      </c>
      <c r="J590" s="51">
        <f ca="1">DATEDIF(H590,TODAY(),"Y")</f>
        <v>18</v>
      </c>
    </row>
    <row r="591" spans="1:10" ht="16.5">
      <c r="A591" s="39" t="s">
        <v>776</v>
      </c>
      <c r="B591" s="46" t="s">
        <v>266</v>
      </c>
      <c r="C591" s="39" t="s">
        <v>465</v>
      </c>
      <c r="D591" s="72">
        <v>143534593</v>
      </c>
      <c r="E591" s="73">
        <v>2527172882</v>
      </c>
      <c r="F591" s="39" t="s">
        <v>247</v>
      </c>
      <c r="G591" s="256">
        <v>56650</v>
      </c>
      <c r="H591" s="255">
        <v>34437</v>
      </c>
      <c r="I591" s="105" t="str">
        <f>CHOOSE(MONTH(H591),"January","February","March","April","May","June","July","August","September","October","November","December")</f>
        <v>April</v>
      </c>
      <c r="J591" s="51">
        <f ca="1">DATEDIF(H591,TODAY(),"Y")</f>
        <v>22</v>
      </c>
    </row>
    <row r="592" spans="1:10" ht="16.5">
      <c r="A592" s="39" t="s">
        <v>866</v>
      </c>
      <c r="B592" s="46" t="s">
        <v>285</v>
      </c>
      <c r="C592" s="39" t="s">
        <v>930</v>
      </c>
      <c r="D592" s="72">
        <v>717503282</v>
      </c>
      <c r="E592" s="73">
        <v>2522400087</v>
      </c>
      <c r="F592" s="39" t="s">
        <v>247</v>
      </c>
      <c r="G592" s="256">
        <v>29540</v>
      </c>
      <c r="H592" s="255">
        <v>38086</v>
      </c>
      <c r="I592" s="105" t="str">
        <f>CHOOSE(MONTH(H592),"January","February","March","April","May","June","July","August","September","October","November","December")</f>
        <v>April</v>
      </c>
      <c r="J592" s="51">
        <f ca="1">DATEDIF(H592,TODAY(),"Y")</f>
        <v>12</v>
      </c>
    </row>
    <row r="593" spans="1:10" ht="16.5">
      <c r="A593" s="39" t="s">
        <v>482</v>
      </c>
      <c r="B593" s="46" t="s">
        <v>245</v>
      </c>
      <c r="C593" s="39" t="s">
        <v>930</v>
      </c>
      <c r="D593" s="72">
        <v>610340294</v>
      </c>
      <c r="E593" s="73">
        <v>9198443818</v>
      </c>
      <c r="F593" s="39" t="s">
        <v>247</v>
      </c>
      <c r="G593" s="256">
        <v>69400</v>
      </c>
      <c r="H593" s="255">
        <v>34805</v>
      </c>
      <c r="I593" s="105" t="str">
        <f>CHOOSE(MONTH(H593),"January","February","March","April","May","June","July","August","September","October","November","December")</f>
        <v>April</v>
      </c>
      <c r="J593" s="51">
        <f ca="1">DATEDIF(H593,TODAY(),"Y")</f>
        <v>21</v>
      </c>
    </row>
    <row r="594" spans="1:10" ht="16.5">
      <c r="A594" s="39" t="s">
        <v>507</v>
      </c>
      <c r="B594" s="46" t="s">
        <v>271</v>
      </c>
      <c r="C594" s="39" t="s">
        <v>417</v>
      </c>
      <c r="D594" s="72">
        <v>232896341</v>
      </c>
      <c r="E594" s="73">
        <v>9197288082</v>
      </c>
      <c r="F594" s="39" t="s">
        <v>247</v>
      </c>
      <c r="G594" s="256">
        <v>29000</v>
      </c>
      <c r="H594" s="255">
        <v>36992</v>
      </c>
      <c r="I594" s="105" t="str">
        <f>CHOOSE(MONTH(H594),"January","February","March","April","May","June","July","August","September","October","November","December")</f>
        <v>April</v>
      </c>
      <c r="J594" s="51">
        <f ca="1">DATEDIF(H594,TODAY(),"Y")</f>
        <v>15</v>
      </c>
    </row>
    <row r="595" spans="1:10" ht="16.5">
      <c r="A595" s="39" t="s">
        <v>791</v>
      </c>
      <c r="B595" s="46" t="s">
        <v>271</v>
      </c>
      <c r="C595" s="39" t="s">
        <v>465</v>
      </c>
      <c r="D595" s="72">
        <v>820244290</v>
      </c>
      <c r="E595" s="73">
        <v>9194944596</v>
      </c>
      <c r="F595" s="39" t="s">
        <v>247</v>
      </c>
      <c r="G595" s="256">
        <v>43600</v>
      </c>
      <c r="H595" s="255">
        <v>36266</v>
      </c>
      <c r="I595" s="105" t="str">
        <f>CHOOSE(MONTH(H595),"January","February","March","April","May","June","July","August","September","October","November","December")</f>
        <v>April</v>
      </c>
      <c r="J595" s="51">
        <f ca="1">DATEDIF(H595,TODAY(),"Y")</f>
        <v>17</v>
      </c>
    </row>
    <row r="596" spans="1:10" ht="16.5">
      <c r="A596" s="39" t="s">
        <v>324</v>
      </c>
      <c r="B596" s="46" t="s">
        <v>266</v>
      </c>
      <c r="C596" s="39" t="s">
        <v>930</v>
      </c>
      <c r="D596" s="72">
        <v>147683641</v>
      </c>
      <c r="E596" s="73">
        <v>9191657646</v>
      </c>
      <c r="F596" s="39" t="s">
        <v>247</v>
      </c>
      <c r="G596" s="256">
        <v>58290</v>
      </c>
      <c r="H596" s="255">
        <v>41380</v>
      </c>
      <c r="I596" s="105" t="str">
        <f>CHOOSE(MONTH(H596),"January","February","March","April","May","June","July","August","September","October","November","December")</f>
        <v>April</v>
      </c>
      <c r="J596" s="51">
        <f ca="1">DATEDIF(H596,TODAY(),"Y")</f>
        <v>3</v>
      </c>
    </row>
    <row r="597" spans="1:10" ht="16.5">
      <c r="A597" s="39" t="s">
        <v>952</v>
      </c>
      <c r="B597" s="46" t="s">
        <v>280</v>
      </c>
      <c r="C597" s="39" t="s">
        <v>705</v>
      </c>
      <c r="D597" s="72">
        <v>213741822</v>
      </c>
      <c r="E597" s="73">
        <v>2521780498</v>
      </c>
      <c r="F597" s="39" t="s">
        <v>247</v>
      </c>
      <c r="G597" s="256">
        <v>86200</v>
      </c>
      <c r="H597" s="255">
        <v>37354</v>
      </c>
      <c r="I597" s="105" t="str">
        <f>CHOOSE(MONTH(H597),"January","February","March","April","May","June","July","August","September","October","November","December")</f>
        <v>April</v>
      </c>
      <c r="J597" s="51">
        <f ca="1">DATEDIF(H597,TODAY(),"Y")</f>
        <v>14</v>
      </c>
    </row>
    <row r="598" spans="1:10" ht="16.5">
      <c r="A598" s="39" t="s">
        <v>383</v>
      </c>
      <c r="B598" s="46" t="s">
        <v>280</v>
      </c>
      <c r="C598" s="39" t="s">
        <v>930</v>
      </c>
      <c r="D598" s="72">
        <v>749768847</v>
      </c>
      <c r="E598" s="73">
        <v>2528552110</v>
      </c>
      <c r="F598" s="39" t="s">
        <v>247</v>
      </c>
      <c r="G598" s="256">
        <v>43110</v>
      </c>
      <c r="H598" s="255">
        <v>37011</v>
      </c>
      <c r="I598" s="105" t="str">
        <f>CHOOSE(MONTH(H598),"January","February","March","April","May","June","July","August","September","October","November","December")</f>
        <v>April</v>
      </c>
      <c r="J598" s="51">
        <f ca="1">DATEDIF(H598,TODAY(),"Y")</f>
        <v>15</v>
      </c>
    </row>
    <row r="599" spans="1:10" ht="16.5">
      <c r="A599" s="39" t="s">
        <v>523</v>
      </c>
      <c r="B599" s="46" t="s">
        <v>271</v>
      </c>
      <c r="C599" s="39" t="s">
        <v>1025</v>
      </c>
      <c r="D599" s="72">
        <v>106099892</v>
      </c>
      <c r="E599" s="73">
        <v>9194436681</v>
      </c>
      <c r="F599" s="39" t="s">
        <v>247</v>
      </c>
      <c r="G599" s="256">
        <v>11230</v>
      </c>
      <c r="H599" s="255">
        <v>36253</v>
      </c>
      <c r="I599" s="105" t="str">
        <f>CHOOSE(MONTH(H599),"January","February","March","April","May","June","July","August","September","October","November","December")</f>
        <v>April</v>
      </c>
      <c r="J599" s="51">
        <f ca="1">DATEDIF(H599,TODAY(),"Y")</f>
        <v>17</v>
      </c>
    </row>
    <row r="600" spans="1:10" ht="16.5">
      <c r="A600" s="39" t="s">
        <v>531</v>
      </c>
      <c r="B600" s="46" t="s">
        <v>271</v>
      </c>
      <c r="C600" s="39" t="s">
        <v>465</v>
      </c>
      <c r="D600" s="72">
        <v>219245495</v>
      </c>
      <c r="E600" s="73">
        <v>9198256039</v>
      </c>
      <c r="F600" s="39" t="s">
        <v>247</v>
      </c>
      <c r="G600" s="256">
        <v>88840</v>
      </c>
      <c r="H600" s="255">
        <v>36270</v>
      </c>
      <c r="I600" s="105" t="str">
        <f>CHOOSE(MONTH(H600),"January","February","March","April","May","June","July","August","September","October","November","December")</f>
        <v>April</v>
      </c>
      <c r="J600" s="51">
        <f ca="1">DATEDIF(H600,TODAY(),"Y")</f>
        <v>17</v>
      </c>
    </row>
    <row r="601" spans="1:10" ht="16.5">
      <c r="A601" s="39" t="s">
        <v>688</v>
      </c>
      <c r="B601" s="46" t="s">
        <v>285</v>
      </c>
      <c r="C601" s="39" t="s">
        <v>705</v>
      </c>
      <c r="D601" s="72">
        <v>210173249</v>
      </c>
      <c r="E601" s="73">
        <v>2525780571</v>
      </c>
      <c r="F601" s="39" t="s">
        <v>247</v>
      </c>
      <c r="G601" s="256">
        <v>60070</v>
      </c>
      <c r="H601" s="255">
        <v>37373</v>
      </c>
      <c r="I601" s="105" t="str">
        <f>CHOOSE(MONTH(H601),"January","February","March","April","May","June","July","August","September","October","November","December")</f>
        <v>April</v>
      </c>
      <c r="J601" s="51">
        <f ca="1">DATEDIF(H601,TODAY(),"Y")</f>
        <v>14</v>
      </c>
    </row>
    <row r="602" spans="1:10" ht="16.5">
      <c r="A602" s="39" t="s">
        <v>542</v>
      </c>
      <c r="B602" s="46" t="s">
        <v>271</v>
      </c>
      <c r="C602" s="39" t="s">
        <v>465</v>
      </c>
      <c r="D602" s="72">
        <v>829216164</v>
      </c>
      <c r="E602" s="73">
        <v>2524982487</v>
      </c>
      <c r="F602" s="39" t="s">
        <v>247</v>
      </c>
      <c r="G602" s="256">
        <v>59320</v>
      </c>
      <c r="H602" s="255">
        <v>37366</v>
      </c>
      <c r="I602" s="105" t="str">
        <f>CHOOSE(MONTH(H602),"January","February","March","April","May","June","July","August","September","October","November","December")</f>
        <v>April</v>
      </c>
      <c r="J602" s="51">
        <f ca="1">DATEDIF(H602,TODAY(),"Y")</f>
        <v>14</v>
      </c>
    </row>
    <row r="603" spans="1:10" ht="16.5">
      <c r="A603" s="39" t="s">
        <v>692</v>
      </c>
      <c r="B603" s="46" t="s">
        <v>245</v>
      </c>
      <c r="C603" s="39" t="s">
        <v>312</v>
      </c>
      <c r="D603" s="72">
        <v>580960042</v>
      </c>
      <c r="E603" s="73">
        <v>9197528456</v>
      </c>
      <c r="F603" s="39" t="s">
        <v>247</v>
      </c>
      <c r="G603" s="256">
        <v>86100</v>
      </c>
      <c r="H603" s="255">
        <v>34791</v>
      </c>
      <c r="I603" s="105" t="str">
        <f>CHOOSE(MONTH(H603),"January","February","March","April","May","June","July","August","September","October","November","December")</f>
        <v>April</v>
      </c>
      <c r="J603" s="51">
        <f ca="1">DATEDIF(H603,TODAY(),"Y")</f>
        <v>21</v>
      </c>
    </row>
    <row r="604" spans="1:10" ht="16.5">
      <c r="A604" s="39" t="s">
        <v>701</v>
      </c>
      <c r="B604" s="46" t="s">
        <v>266</v>
      </c>
      <c r="C604" s="39" t="s">
        <v>767</v>
      </c>
      <c r="D604" s="72">
        <v>239847790</v>
      </c>
      <c r="E604" s="73">
        <v>2524045531</v>
      </c>
      <c r="F604" s="39" t="s">
        <v>247</v>
      </c>
      <c r="G604" s="256">
        <v>83070</v>
      </c>
      <c r="H604" s="255">
        <v>35527</v>
      </c>
      <c r="I604" s="105" t="str">
        <f>CHOOSE(MONTH(H604),"January","February","March","April","May","June","July","August","September","October","November","December")</f>
        <v>April</v>
      </c>
      <c r="J604" s="51">
        <f ca="1">DATEDIF(H604,TODAY(),"Y")</f>
        <v>19</v>
      </c>
    </row>
    <row r="605" spans="1:10" ht="16.5">
      <c r="A605" s="39" t="s">
        <v>730</v>
      </c>
      <c r="B605" s="46" t="s">
        <v>271</v>
      </c>
      <c r="C605" s="39" t="s">
        <v>767</v>
      </c>
      <c r="D605" s="72">
        <v>339488599</v>
      </c>
      <c r="E605" s="73">
        <v>9191267946</v>
      </c>
      <c r="F605" s="39" t="s">
        <v>247</v>
      </c>
      <c r="G605" s="256">
        <v>63190</v>
      </c>
      <c r="H605" s="255">
        <v>34446</v>
      </c>
      <c r="I605" s="105" t="str">
        <f>CHOOSE(MONTH(H605),"January","February","March","April","May","June","July","August","September","October","November","December")</f>
        <v>April</v>
      </c>
      <c r="J605" s="51">
        <f ca="1">DATEDIF(H605,TODAY(),"Y")</f>
        <v>22</v>
      </c>
    </row>
    <row r="606" spans="1:10" ht="16.5">
      <c r="A606" s="39" t="s">
        <v>343</v>
      </c>
      <c r="B606" s="46" t="s">
        <v>251</v>
      </c>
      <c r="C606" s="39" t="s">
        <v>678</v>
      </c>
      <c r="D606" s="72">
        <v>755945415</v>
      </c>
      <c r="E606" s="73">
        <v>2524373324</v>
      </c>
      <c r="F606" s="39" t="s">
        <v>247</v>
      </c>
      <c r="G606" s="256">
        <v>54190</v>
      </c>
      <c r="H606" s="255">
        <v>34068</v>
      </c>
      <c r="I606" s="105" t="str">
        <f>CHOOSE(MONTH(H606),"January","February","March","April","May","June","July","August","September","October","November","December")</f>
        <v>April</v>
      </c>
      <c r="J606" s="51">
        <f ca="1">DATEDIF(H606,TODAY(),"Y")</f>
        <v>23</v>
      </c>
    </row>
    <row r="607" spans="1:10" ht="16.5">
      <c r="A607" s="39" t="s">
        <v>906</v>
      </c>
      <c r="B607" s="46" t="s">
        <v>271</v>
      </c>
      <c r="C607" s="39" t="s">
        <v>767</v>
      </c>
      <c r="D607" s="72">
        <v>278129861</v>
      </c>
      <c r="E607" s="73">
        <v>9198561246</v>
      </c>
      <c r="F607" s="39" t="s">
        <v>247</v>
      </c>
      <c r="G607" s="256">
        <v>24550</v>
      </c>
      <c r="H607" s="255">
        <v>34089</v>
      </c>
      <c r="I607" s="105" t="str">
        <f>CHOOSE(MONTH(H607),"January","February","March","April","May","June","July","August","September","October","November","December")</f>
        <v>April</v>
      </c>
      <c r="J607" s="51">
        <f ca="1">DATEDIF(H607,TODAY(),"Y")</f>
        <v>23</v>
      </c>
    </row>
    <row r="608" spans="1:10" ht="16.5">
      <c r="A608" s="39" t="s">
        <v>694</v>
      </c>
      <c r="B608" s="46" t="s">
        <v>271</v>
      </c>
      <c r="C608" s="39" t="s">
        <v>465</v>
      </c>
      <c r="D608" s="72">
        <v>257249459</v>
      </c>
      <c r="E608" s="73">
        <v>9197775023</v>
      </c>
      <c r="F608" s="39" t="s">
        <v>247</v>
      </c>
      <c r="G608" s="256">
        <v>50200</v>
      </c>
      <c r="H608" s="255">
        <v>34077</v>
      </c>
      <c r="I608" s="105" t="str">
        <f>CHOOSE(MONTH(H608),"January","February","March","April","May","June","July","August","September","October","November","December")</f>
        <v>April</v>
      </c>
      <c r="J608" s="51">
        <f ca="1">DATEDIF(H608,TODAY(),"Y")</f>
        <v>23</v>
      </c>
    </row>
    <row r="609" spans="1:10" ht="16.5">
      <c r="A609" s="39" t="s">
        <v>585</v>
      </c>
      <c r="B609" s="46" t="s">
        <v>280</v>
      </c>
      <c r="C609" s="39" t="s">
        <v>930</v>
      </c>
      <c r="D609" s="72">
        <v>723066626</v>
      </c>
      <c r="E609" s="73">
        <v>2525399385</v>
      </c>
      <c r="F609" s="39" t="s">
        <v>247</v>
      </c>
      <c r="G609" s="256">
        <v>61470</v>
      </c>
      <c r="H609" s="255">
        <v>36988</v>
      </c>
      <c r="I609" s="105" t="str">
        <f>CHOOSE(MONTH(H609),"January","February","March","April","May","June","July","August","September","October","November","December")</f>
        <v>April</v>
      </c>
      <c r="J609" s="51">
        <f ca="1">DATEDIF(H609,TODAY(),"Y")</f>
        <v>15</v>
      </c>
    </row>
    <row r="610" spans="1:10" ht="16.5">
      <c r="A610" s="39" t="s">
        <v>840</v>
      </c>
      <c r="B610" s="46" t="s">
        <v>245</v>
      </c>
      <c r="C610" s="39" t="s">
        <v>417</v>
      </c>
      <c r="D610" s="72">
        <v>932787692</v>
      </c>
      <c r="E610" s="73">
        <v>2522612740</v>
      </c>
      <c r="F610" s="39" t="s">
        <v>247</v>
      </c>
      <c r="G610" s="256">
        <v>50840</v>
      </c>
      <c r="H610" s="255">
        <v>34800</v>
      </c>
      <c r="I610" s="105" t="str">
        <f>CHOOSE(MONTH(H610),"January","February","March","April","May","June","July","August","September","October","November","December")</f>
        <v>April</v>
      </c>
      <c r="J610" s="51">
        <f ca="1">DATEDIF(H610,TODAY(),"Y")</f>
        <v>21</v>
      </c>
    </row>
    <row r="611" spans="1:10" ht="16.5">
      <c r="A611" s="39" t="s">
        <v>601</v>
      </c>
      <c r="B611" s="46" t="s">
        <v>285</v>
      </c>
      <c r="C611" s="39" t="s">
        <v>465</v>
      </c>
      <c r="D611" s="72">
        <v>542653222</v>
      </c>
      <c r="E611" s="73">
        <v>9193708610</v>
      </c>
      <c r="F611" s="39" t="s">
        <v>247</v>
      </c>
      <c r="G611" s="256">
        <v>27380</v>
      </c>
      <c r="H611" s="255">
        <v>40638</v>
      </c>
      <c r="I611" s="105" t="str">
        <f>CHOOSE(MONTH(H611),"January","February","March","April","May","June","July","August","September","October","November","December")</f>
        <v>April</v>
      </c>
      <c r="J611" s="51">
        <f ca="1">DATEDIF(H611,TODAY(),"Y")</f>
        <v>5</v>
      </c>
    </row>
    <row r="612" spans="1:10" ht="16.5">
      <c r="A612" s="39" t="s">
        <v>1016</v>
      </c>
      <c r="B612" s="46" t="s">
        <v>285</v>
      </c>
      <c r="C612" s="39" t="s">
        <v>626</v>
      </c>
      <c r="D612" s="72">
        <v>157257652</v>
      </c>
      <c r="E612" s="73">
        <v>9193262077</v>
      </c>
      <c r="F612" s="39" t="s">
        <v>247</v>
      </c>
      <c r="G612" s="256">
        <v>72900</v>
      </c>
      <c r="H612" s="255">
        <v>39556</v>
      </c>
      <c r="I612" s="105" t="str">
        <f>CHOOSE(MONTH(H612),"January","February","March","April","May","June","July","August","September","October","November","December")</f>
        <v>April</v>
      </c>
      <c r="J612" s="51">
        <f ca="1">DATEDIF(H612,TODAY(),"Y")</f>
        <v>8</v>
      </c>
    </row>
    <row r="613" spans="1:10" ht="16.5">
      <c r="A613" s="39" t="s">
        <v>703</v>
      </c>
      <c r="B613" s="46" t="s">
        <v>245</v>
      </c>
      <c r="C613" s="39" t="s">
        <v>465</v>
      </c>
      <c r="D613" s="72">
        <v>470935648</v>
      </c>
      <c r="E613" s="73">
        <v>9192053579</v>
      </c>
      <c r="F613" s="39" t="s">
        <v>247</v>
      </c>
      <c r="G613" s="256">
        <v>37344</v>
      </c>
      <c r="H613" s="255">
        <v>36990</v>
      </c>
      <c r="I613" s="105" t="str">
        <f>CHOOSE(MONTH(H613),"January","February","March","April","May","June","July","August","September","October","November","December")</f>
        <v>April</v>
      </c>
      <c r="J613" s="51">
        <f ca="1">DATEDIF(H613,TODAY(),"Y")</f>
        <v>15</v>
      </c>
    </row>
    <row r="614" spans="1:10" ht="16.5">
      <c r="A614" s="39" t="s">
        <v>769</v>
      </c>
      <c r="B614" s="46" t="s">
        <v>285</v>
      </c>
      <c r="C614" s="39" t="s">
        <v>465</v>
      </c>
      <c r="D614" s="72">
        <v>920477476</v>
      </c>
      <c r="E614" s="73">
        <v>2523162442</v>
      </c>
      <c r="F614" s="39" t="s">
        <v>247</v>
      </c>
      <c r="G614" s="256">
        <v>71820</v>
      </c>
      <c r="H614" s="255">
        <v>36652</v>
      </c>
      <c r="I614" s="105" t="str">
        <f>CHOOSE(MONTH(H614),"January","February","March","April","May","June","July","August","September","October","November","December")</f>
        <v>May</v>
      </c>
      <c r="J614" s="51">
        <f ca="1">DATEDIF(H614,TODAY(),"Y")</f>
        <v>16</v>
      </c>
    </row>
    <row r="615" spans="1:10" ht="16.5">
      <c r="A615" s="39" t="s">
        <v>708</v>
      </c>
      <c r="B615" s="46" t="s">
        <v>280</v>
      </c>
      <c r="C615" s="39" t="s">
        <v>465</v>
      </c>
      <c r="D615" s="72">
        <v>725737456</v>
      </c>
      <c r="E615" s="73">
        <v>9191847141</v>
      </c>
      <c r="F615" s="39" t="s">
        <v>247</v>
      </c>
      <c r="G615" s="256">
        <v>49360</v>
      </c>
      <c r="H615" s="255">
        <v>35211</v>
      </c>
      <c r="I615" s="105" t="str">
        <f>CHOOSE(MONTH(H615),"January","February","March","April","May","June","July","August","September","October","November","December")</f>
        <v>May</v>
      </c>
      <c r="J615" s="51">
        <f ca="1">DATEDIF(H615,TODAY(),"Y")</f>
        <v>20</v>
      </c>
    </row>
    <row r="616" spans="1:10" ht="16.5">
      <c r="A616" s="39" t="s">
        <v>957</v>
      </c>
      <c r="B616" s="46" t="s">
        <v>251</v>
      </c>
      <c r="C616" s="39" t="s">
        <v>678</v>
      </c>
      <c r="D616" s="72">
        <v>859204644</v>
      </c>
      <c r="E616" s="73">
        <v>9191617913</v>
      </c>
      <c r="F616" s="39" t="s">
        <v>247</v>
      </c>
      <c r="G616" s="256">
        <v>85480</v>
      </c>
      <c r="H616" s="255">
        <v>37032</v>
      </c>
      <c r="I616" s="105" t="str">
        <f>CHOOSE(MONTH(H616),"January","February","March","April","May","June","July","August","September","October","November","December")</f>
        <v>May</v>
      </c>
      <c r="J616" s="51">
        <f ca="1">DATEDIF(H616,TODAY(),"Y")</f>
        <v>15</v>
      </c>
    </row>
    <row r="617" spans="1:10" ht="16.5">
      <c r="A617" s="39" t="s">
        <v>961</v>
      </c>
      <c r="B617" s="46" t="s">
        <v>285</v>
      </c>
      <c r="C617" s="39" t="s">
        <v>930</v>
      </c>
      <c r="D617" s="72">
        <v>794814501</v>
      </c>
      <c r="E617" s="73">
        <v>2525604891</v>
      </c>
      <c r="F617" s="39" t="s">
        <v>247</v>
      </c>
      <c r="G617" s="256">
        <v>78950</v>
      </c>
      <c r="H617" s="255">
        <v>38853</v>
      </c>
      <c r="I617" s="105" t="str">
        <f>CHOOSE(MONTH(H617),"January","February","March","April","May","June","July","August","September","October","November","December")</f>
        <v>May</v>
      </c>
      <c r="J617" s="51">
        <f ca="1">DATEDIF(H617,TODAY(),"Y")</f>
        <v>10</v>
      </c>
    </row>
    <row r="618" spans="1:10" ht="16.5">
      <c r="A618" s="39" t="s">
        <v>807</v>
      </c>
      <c r="B618" s="46" t="s">
        <v>285</v>
      </c>
      <c r="C618" s="39" t="s">
        <v>372</v>
      </c>
      <c r="D618" s="72">
        <v>920505896</v>
      </c>
      <c r="E618" s="73">
        <v>2523173691</v>
      </c>
      <c r="F618" s="39" t="s">
        <v>247</v>
      </c>
      <c r="G618" s="256">
        <v>45480</v>
      </c>
      <c r="H618" s="255">
        <v>35581</v>
      </c>
      <c r="I618" s="105" t="str">
        <f>CHOOSE(MONTH(H618),"January","February","March","April","May","June","July","August","September","October","November","December")</f>
        <v>May</v>
      </c>
      <c r="J618" s="51">
        <f ca="1">DATEDIF(H618,TODAY(),"Y")</f>
        <v>19</v>
      </c>
    </row>
    <row r="619" spans="1:10" ht="16.5">
      <c r="A619" s="39" t="s">
        <v>967</v>
      </c>
      <c r="B619" s="46" t="s">
        <v>251</v>
      </c>
      <c r="C619" s="39" t="s">
        <v>626</v>
      </c>
      <c r="D619" s="72">
        <v>788451186</v>
      </c>
      <c r="E619" s="73">
        <v>9191682521</v>
      </c>
      <c r="F619" s="39" t="s">
        <v>247</v>
      </c>
      <c r="G619" s="256">
        <v>64470</v>
      </c>
      <c r="H619" s="255">
        <v>40300</v>
      </c>
      <c r="I619" s="105" t="str">
        <f>CHOOSE(MONTH(H619),"January","February","March","April","May","June","July","August","September","October","November","December")</f>
        <v>May</v>
      </c>
      <c r="J619" s="51">
        <f ca="1">DATEDIF(H619,TODAY(),"Y")</f>
        <v>6</v>
      </c>
    </row>
    <row r="620" spans="1:10" ht="16.5">
      <c r="A620" s="39" t="s">
        <v>811</v>
      </c>
      <c r="B620" s="46" t="s">
        <v>285</v>
      </c>
      <c r="C620" s="39" t="s">
        <v>465</v>
      </c>
      <c r="D620" s="72">
        <v>876777922</v>
      </c>
      <c r="E620" s="73">
        <v>2527358099</v>
      </c>
      <c r="F620" s="39" t="s">
        <v>247</v>
      </c>
      <c r="G620" s="256">
        <v>89780</v>
      </c>
      <c r="H620" s="255">
        <v>39231</v>
      </c>
      <c r="I620" s="105" t="str">
        <f>CHOOSE(MONTH(H620),"January","February","March","April","May","June","July","August","September","October","November","December")</f>
        <v>May</v>
      </c>
      <c r="J620" s="51">
        <f ca="1">DATEDIF(H620,TODAY(),"Y")</f>
        <v>9</v>
      </c>
    </row>
    <row r="621" spans="1:10" ht="16.5">
      <c r="A621" s="39" t="s">
        <v>431</v>
      </c>
      <c r="B621" s="46" t="s">
        <v>266</v>
      </c>
      <c r="C621" s="39" t="s">
        <v>626</v>
      </c>
      <c r="D621" s="72">
        <v>650784238</v>
      </c>
      <c r="E621" s="73">
        <v>9194679864</v>
      </c>
      <c r="F621" s="39" t="s">
        <v>247</v>
      </c>
      <c r="G621" s="256">
        <v>71150</v>
      </c>
      <c r="H621" s="255">
        <v>37031</v>
      </c>
      <c r="I621" s="105" t="str">
        <f>CHOOSE(MONTH(H621),"January","February","March","April","May","June","July","August","September","October","November","December")</f>
        <v>May</v>
      </c>
      <c r="J621" s="51">
        <f ca="1">DATEDIF(H621,TODAY(),"Y")</f>
        <v>15</v>
      </c>
    </row>
    <row r="622" spans="1:10" ht="16.5">
      <c r="A622" s="39" t="s">
        <v>823</v>
      </c>
      <c r="B622" s="46" t="s">
        <v>245</v>
      </c>
      <c r="C622" s="39" t="s">
        <v>391</v>
      </c>
      <c r="D622" s="72">
        <v>681596577</v>
      </c>
      <c r="E622" s="73">
        <v>9192387348</v>
      </c>
      <c r="F622" s="39" t="s">
        <v>247</v>
      </c>
      <c r="G622" s="256">
        <v>47705</v>
      </c>
      <c r="H622" s="255">
        <v>36291</v>
      </c>
      <c r="I622" s="105" t="str">
        <f>CHOOSE(MONTH(H622),"January","February","March","April","May","June","July","August","September","October","November","December")</f>
        <v>May</v>
      </c>
      <c r="J622" s="51">
        <f ca="1">DATEDIF(H622,TODAY(),"Y")</f>
        <v>17</v>
      </c>
    </row>
    <row r="623" spans="1:10" ht="16.5">
      <c r="A623" s="39" t="s">
        <v>991</v>
      </c>
      <c r="B623" s="46" t="s">
        <v>245</v>
      </c>
      <c r="C623" s="39" t="s">
        <v>312</v>
      </c>
      <c r="D623" s="72">
        <v>393393249</v>
      </c>
      <c r="E623" s="73">
        <v>9194980674</v>
      </c>
      <c r="F623" s="39" t="s">
        <v>247</v>
      </c>
      <c r="G623" s="256">
        <v>23030</v>
      </c>
      <c r="H623" s="255">
        <v>34096</v>
      </c>
      <c r="I623" s="105" t="str">
        <f>CHOOSE(MONTH(H623),"January","February","March","April","May","June","July","August","September","October","November","December")</f>
        <v>May</v>
      </c>
      <c r="J623" s="51">
        <f ca="1">DATEDIF(H623,TODAY(),"Y")</f>
        <v>23</v>
      </c>
    </row>
    <row r="624" spans="1:10" ht="16.5">
      <c r="A624" s="39" t="s">
        <v>301</v>
      </c>
      <c r="B624" s="46" t="s">
        <v>251</v>
      </c>
      <c r="C624" s="39" t="s">
        <v>705</v>
      </c>
      <c r="D624" s="72">
        <v>761337848</v>
      </c>
      <c r="E624" s="73">
        <v>9193967339</v>
      </c>
      <c r="F624" s="39" t="s">
        <v>247</v>
      </c>
      <c r="G624" s="256">
        <v>15260</v>
      </c>
      <c r="H624" s="255">
        <v>39957</v>
      </c>
      <c r="I624" s="105" t="str">
        <f>CHOOSE(MONTH(H624),"January","February","March","April","May","June","July","August","September","October","November","December")</f>
        <v>May</v>
      </c>
      <c r="J624" s="51">
        <f ca="1">DATEDIF(H624,TODAY(),"Y")</f>
        <v>7</v>
      </c>
    </row>
    <row r="625" spans="1:10" ht="16.5">
      <c r="A625" s="39" t="s">
        <v>736</v>
      </c>
      <c r="B625" s="46" t="s">
        <v>280</v>
      </c>
      <c r="C625" s="39" t="s">
        <v>391</v>
      </c>
      <c r="D625" s="72">
        <v>581823751</v>
      </c>
      <c r="E625" s="73">
        <v>2528577225</v>
      </c>
      <c r="F625" s="39" t="s">
        <v>247</v>
      </c>
      <c r="G625" s="256">
        <v>40260</v>
      </c>
      <c r="H625" s="255">
        <v>41047</v>
      </c>
      <c r="I625" s="105" t="str">
        <f>CHOOSE(MONTH(H625),"January","February","March","April","May","June","July","August","September","October","November","December")</f>
        <v>May</v>
      </c>
      <c r="J625" s="51">
        <f ca="1">DATEDIF(H625,TODAY(),"Y")</f>
        <v>4</v>
      </c>
    </row>
    <row r="626" spans="1:10" ht="16.5">
      <c r="A626" s="39" t="s">
        <v>668</v>
      </c>
      <c r="B626" s="46" t="s">
        <v>285</v>
      </c>
      <c r="C626" s="39" t="s">
        <v>372</v>
      </c>
      <c r="D626" s="72">
        <v>495042805</v>
      </c>
      <c r="E626" s="73">
        <v>9197146686</v>
      </c>
      <c r="F626" s="39" t="s">
        <v>247</v>
      </c>
      <c r="G626" s="256">
        <v>10572</v>
      </c>
      <c r="H626" s="255">
        <v>36283</v>
      </c>
      <c r="I626" s="105" t="str">
        <f>CHOOSE(MONTH(H626),"January","February","March","April","May","June","July","August","September","October","November","December")</f>
        <v>May</v>
      </c>
      <c r="J626" s="51">
        <f ca="1">DATEDIF(H626,TODAY(),"Y")</f>
        <v>17</v>
      </c>
    </row>
    <row r="627" spans="1:10" ht="16.5">
      <c r="A627" s="39" t="s">
        <v>927</v>
      </c>
      <c r="B627" s="46" t="s">
        <v>271</v>
      </c>
      <c r="C627" s="39" t="s">
        <v>856</v>
      </c>
      <c r="D627" s="72">
        <v>548704405</v>
      </c>
      <c r="E627" s="73">
        <v>2526458440</v>
      </c>
      <c r="F627" s="39" t="s">
        <v>247</v>
      </c>
      <c r="G627" s="256">
        <v>33232</v>
      </c>
      <c r="H627" s="255">
        <v>34103</v>
      </c>
      <c r="I627" s="105" t="str">
        <f>CHOOSE(MONTH(H627),"January","February","March","April","May","June","July","August","September","October","November","December")</f>
        <v>May</v>
      </c>
      <c r="J627" s="51">
        <f ca="1">DATEDIF(H627,TODAY(),"Y")</f>
        <v>23</v>
      </c>
    </row>
    <row r="628" spans="1:10" ht="16.5">
      <c r="A628" s="39" t="s">
        <v>852</v>
      </c>
      <c r="B628" s="46" t="s">
        <v>245</v>
      </c>
      <c r="C628" s="39" t="s">
        <v>700</v>
      </c>
      <c r="D628" s="72">
        <v>425943144</v>
      </c>
      <c r="E628" s="73">
        <v>2522911046</v>
      </c>
      <c r="F628" s="39" t="s">
        <v>247</v>
      </c>
      <c r="G628" s="256">
        <v>48835</v>
      </c>
      <c r="H628" s="255">
        <v>34831</v>
      </c>
      <c r="I628" s="105" t="str">
        <f>CHOOSE(MONTH(H628),"January","February","March","April","May","June","July","August","September","October","November","December")</f>
        <v>May</v>
      </c>
      <c r="J628" s="51">
        <f ca="1">DATEDIF(H628,TODAY(),"Y")</f>
        <v>21</v>
      </c>
    </row>
    <row r="629" spans="1:10" ht="16.5">
      <c r="A629" s="39" t="s">
        <v>369</v>
      </c>
      <c r="B629" s="46" t="s">
        <v>285</v>
      </c>
      <c r="C629" s="39" t="s">
        <v>465</v>
      </c>
      <c r="D629" s="72">
        <v>725801036</v>
      </c>
      <c r="E629" s="73">
        <v>9195089157</v>
      </c>
      <c r="F629" s="39" t="s">
        <v>247</v>
      </c>
      <c r="G629" s="256">
        <v>63310</v>
      </c>
      <c r="H629" s="255">
        <v>35580</v>
      </c>
      <c r="I629" s="105" t="str">
        <f>CHOOSE(MONTH(H629),"January","February","March","April","May","June","July","August","September","October","November","December")</f>
        <v>May</v>
      </c>
      <c r="J629" s="51">
        <f ca="1">DATEDIF(H629,TODAY(),"Y")</f>
        <v>19</v>
      </c>
    </row>
    <row r="630" spans="1:10" ht="16.5">
      <c r="A630" s="39" t="s">
        <v>480</v>
      </c>
      <c r="B630" s="46" t="s">
        <v>280</v>
      </c>
      <c r="C630" s="39" t="s">
        <v>465</v>
      </c>
      <c r="D630" s="72">
        <v>826450563</v>
      </c>
      <c r="E630" s="73">
        <v>9196607355</v>
      </c>
      <c r="F630" s="39" t="s">
        <v>247</v>
      </c>
      <c r="G630" s="256">
        <v>50550</v>
      </c>
      <c r="H630" s="255">
        <v>38870</v>
      </c>
      <c r="I630" s="105" t="str">
        <f>CHOOSE(MONTH(H630),"January","February","March","April","May","June","July","August","September","October","November","December")</f>
        <v>June</v>
      </c>
      <c r="J630" s="51">
        <f ca="1">DATEDIF(H630,TODAY(),"Y")</f>
        <v>10</v>
      </c>
    </row>
    <row r="631" spans="1:10" ht="16.5">
      <c r="A631" s="39" t="s">
        <v>779</v>
      </c>
      <c r="B631" s="46" t="s">
        <v>271</v>
      </c>
      <c r="C631" s="39" t="s">
        <v>626</v>
      </c>
      <c r="D631" s="72">
        <v>626767704</v>
      </c>
      <c r="E631" s="73">
        <v>2526971022</v>
      </c>
      <c r="F631" s="39" t="s">
        <v>247</v>
      </c>
      <c r="G631" s="256">
        <v>62965</v>
      </c>
      <c r="H631" s="255">
        <v>40712</v>
      </c>
      <c r="I631" s="105" t="str">
        <f>CHOOSE(MONTH(H631),"January","February","March","April","May","June","July","August","September","October","November","December")</f>
        <v>June</v>
      </c>
      <c r="J631" s="51">
        <f ca="1">DATEDIF(H631,TODAY(),"Y")</f>
        <v>5</v>
      </c>
    </row>
    <row r="632" spans="1:10" ht="16.5">
      <c r="A632" s="39" t="s">
        <v>380</v>
      </c>
      <c r="B632" s="46" t="s">
        <v>245</v>
      </c>
      <c r="C632" s="39" t="s">
        <v>930</v>
      </c>
      <c r="D632" s="72">
        <v>741258203</v>
      </c>
      <c r="E632" s="73">
        <v>9195157707</v>
      </c>
      <c r="F632" s="39" t="s">
        <v>247</v>
      </c>
      <c r="G632" s="256">
        <v>48080</v>
      </c>
      <c r="H632" s="255">
        <v>41426</v>
      </c>
      <c r="I632" s="105" t="str">
        <f>CHOOSE(MONTH(H632),"January","February","March","April","May","June","July","August","September","October","November","December")</f>
        <v>June</v>
      </c>
      <c r="J632" s="51">
        <f ca="1">DATEDIF(H632,TODAY(),"Y")</f>
        <v>3</v>
      </c>
    </row>
    <row r="633" spans="1:10" ht="16.5">
      <c r="A633" s="39" t="s">
        <v>944</v>
      </c>
      <c r="B633" s="46" t="s">
        <v>271</v>
      </c>
      <c r="C633" s="39" t="s">
        <v>856</v>
      </c>
      <c r="D633" s="72">
        <v>668708287</v>
      </c>
      <c r="E633" s="73">
        <v>9191952821</v>
      </c>
      <c r="F633" s="39" t="s">
        <v>247</v>
      </c>
      <c r="G633" s="256">
        <v>38870</v>
      </c>
      <c r="H633" s="255">
        <v>34859</v>
      </c>
      <c r="I633" s="105" t="str">
        <f>CHOOSE(MONTH(H633),"January","February","March","April","May","June","July","August","September","October","November","December")</f>
        <v>June</v>
      </c>
      <c r="J633" s="51">
        <f ca="1">DATEDIF(H633,TODAY(),"Y")</f>
        <v>21</v>
      </c>
    </row>
    <row r="634" spans="1:10" ht="16.5">
      <c r="A634" s="39" t="s">
        <v>394</v>
      </c>
      <c r="B634" s="46" t="s">
        <v>245</v>
      </c>
      <c r="C634" s="39" t="s">
        <v>767</v>
      </c>
      <c r="D634" s="72">
        <v>452255054</v>
      </c>
      <c r="E634" s="73">
        <v>9196114005</v>
      </c>
      <c r="F634" s="39" t="s">
        <v>247</v>
      </c>
      <c r="G634" s="256">
        <v>28270</v>
      </c>
      <c r="H634" s="255">
        <v>37429</v>
      </c>
      <c r="I634" s="105" t="str">
        <f>CHOOSE(MONTH(H634),"January","February","March","April","May","June","July","August","September","October","November","December")</f>
        <v>June</v>
      </c>
      <c r="J634" s="51">
        <f ca="1">DATEDIF(H634,TODAY(),"Y")</f>
        <v>14</v>
      </c>
    </row>
    <row r="635" spans="1:10" ht="16.5">
      <c r="A635" s="39" t="s">
        <v>801</v>
      </c>
      <c r="B635" s="46" t="s">
        <v>271</v>
      </c>
      <c r="C635" s="39" t="s">
        <v>465</v>
      </c>
      <c r="D635" s="72">
        <v>332289257</v>
      </c>
      <c r="E635" s="73">
        <v>9198367725</v>
      </c>
      <c r="F635" s="39" t="s">
        <v>247</v>
      </c>
      <c r="G635" s="256">
        <v>64780</v>
      </c>
      <c r="H635" s="255">
        <v>38530</v>
      </c>
      <c r="I635" s="105" t="str">
        <f>CHOOSE(MONTH(H635),"January","February","March","April","May","June","July","August","September","October","November","December")</f>
        <v>June</v>
      </c>
      <c r="J635" s="51">
        <f ca="1">DATEDIF(H635,TODAY(),"Y")</f>
        <v>11</v>
      </c>
    </row>
    <row r="636" spans="1:10" ht="16.5">
      <c r="A636" s="39" t="s">
        <v>883</v>
      </c>
      <c r="B636" s="46" t="s">
        <v>280</v>
      </c>
      <c r="C636" s="39" t="s">
        <v>705</v>
      </c>
      <c r="D636" s="72">
        <v>291803431</v>
      </c>
      <c r="E636" s="73">
        <v>2525866679</v>
      </c>
      <c r="F636" s="39" t="s">
        <v>247</v>
      </c>
      <c r="G636" s="256">
        <v>62400</v>
      </c>
      <c r="H636" s="255">
        <v>37413</v>
      </c>
      <c r="I636" s="105" t="str">
        <f>CHOOSE(MONTH(H636),"January","February","March","April","May","June","July","August","September","October","November","December")</f>
        <v>June</v>
      </c>
      <c r="J636" s="51">
        <f ca="1">DATEDIF(H636,TODAY(),"Y")</f>
        <v>14</v>
      </c>
    </row>
    <row r="637" spans="1:10" ht="16.5">
      <c r="A637" s="39" t="s">
        <v>726</v>
      </c>
      <c r="B637" s="46" t="s">
        <v>285</v>
      </c>
      <c r="C637" s="39" t="s">
        <v>465</v>
      </c>
      <c r="D637" s="72">
        <v>378281658</v>
      </c>
      <c r="E637" s="73">
        <v>9196705508</v>
      </c>
      <c r="F637" s="39" t="s">
        <v>247</v>
      </c>
      <c r="G637" s="256">
        <v>81640</v>
      </c>
      <c r="H637" s="255">
        <v>41443</v>
      </c>
      <c r="I637" s="105" t="str">
        <f>CHOOSE(MONTH(H637),"January","February","March","April","May","June","July","August","September","October","November","December")</f>
        <v>June</v>
      </c>
      <c r="J637" s="51">
        <f ca="1">DATEDIF(H637,TODAY(),"Y")</f>
        <v>3</v>
      </c>
    </row>
    <row r="638" spans="1:10" ht="16.5">
      <c r="A638" s="39" t="s">
        <v>901</v>
      </c>
      <c r="B638" s="46" t="s">
        <v>251</v>
      </c>
      <c r="C638" s="39" t="s">
        <v>930</v>
      </c>
      <c r="D638" s="72">
        <v>995590510</v>
      </c>
      <c r="E638" s="73">
        <v>9191838930</v>
      </c>
      <c r="F638" s="39" t="s">
        <v>247</v>
      </c>
      <c r="G638" s="256">
        <v>52750</v>
      </c>
      <c r="H638" s="255">
        <v>36322</v>
      </c>
      <c r="I638" s="105" t="str">
        <f>CHOOSE(MONTH(H638),"January","February","March","April","May","June","July","August","September","October","November","December")</f>
        <v>June</v>
      </c>
      <c r="J638" s="51">
        <f ca="1">DATEDIF(H638,TODAY(),"Y")</f>
        <v>17</v>
      </c>
    </row>
    <row r="639" spans="1:10" ht="16.5">
      <c r="A639" s="39" t="s">
        <v>562</v>
      </c>
      <c r="B639" s="46" t="s">
        <v>285</v>
      </c>
      <c r="C639" s="39" t="s">
        <v>930</v>
      </c>
      <c r="D639" s="72">
        <v>695198896</v>
      </c>
      <c r="E639" s="73">
        <v>2523533906</v>
      </c>
      <c r="F639" s="39" t="s">
        <v>247</v>
      </c>
      <c r="G639" s="256">
        <v>77580</v>
      </c>
      <c r="H639" s="255">
        <v>34498</v>
      </c>
      <c r="I639" s="105" t="str">
        <f>CHOOSE(MONTH(H639),"January","February","March","April","May","June","July","August","September","October","November","December")</f>
        <v>June</v>
      </c>
      <c r="J639" s="51">
        <f ca="1">DATEDIF(H639,TODAY(),"Y")</f>
        <v>22</v>
      </c>
    </row>
    <row r="640" spans="1:10" ht="16.5">
      <c r="A640" s="39" t="s">
        <v>994</v>
      </c>
      <c r="B640" s="46" t="s">
        <v>285</v>
      </c>
      <c r="C640" s="39" t="s">
        <v>465</v>
      </c>
      <c r="D640" s="72">
        <v>251824309</v>
      </c>
      <c r="E640" s="73">
        <v>9197950668</v>
      </c>
      <c r="F640" s="39" t="s">
        <v>247</v>
      </c>
      <c r="G640" s="256">
        <v>22920</v>
      </c>
      <c r="H640" s="255">
        <v>41076</v>
      </c>
      <c r="I640" s="105" t="str">
        <f>CHOOSE(MONTH(H640),"January","February","March","April","May","June","July","August","September","October","November","December")</f>
        <v>June</v>
      </c>
      <c r="J640" s="51">
        <f ca="1">DATEDIF(H640,TODAY(),"Y")</f>
        <v>4</v>
      </c>
    </row>
    <row r="641" spans="1:10" ht="16.5">
      <c r="A641" s="39" t="s">
        <v>572</v>
      </c>
      <c r="B641" s="46" t="s">
        <v>271</v>
      </c>
      <c r="C641" s="39" t="s">
        <v>930</v>
      </c>
      <c r="D641" s="72">
        <v>375875723</v>
      </c>
      <c r="E641" s="73">
        <v>2526026842</v>
      </c>
      <c r="F641" s="39" t="s">
        <v>247</v>
      </c>
      <c r="G641" s="256">
        <v>62180</v>
      </c>
      <c r="H641" s="255">
        <v>34144</v>
      </c>
      <c r="I641" s="105" t="str">
        <f>CHOOSE(MONTH(H641),"January","February","March","April","May","June","July","August","September","October","November","December")</f>
        <v>June</v>
      </c>
      <c r="J641" s="51">
        <f ca="1">DATEDIF(H641,TODAY(),"Y")</f>
        <v>23</v>
      </c>
    </row>
    <row r="642" spans="1:10" ht="16.5">
      <c r="A642" s="39" t="s">
        <v>310</v>
      </c>
      <c r="B642" s="46" t="s">
        <v>266</v>
      </c>
      <c r="C642" s="39" t="s">
        <v>465</v>
      </c>
      <c r="D642" s="72">
        <v>378189642</v>
      </c>
      <c r="E642" s="73">
        <v>2526228199</v>
      </c>
      <c r="F642" s="39" t="s">
        <v>247</v>
      </c>
      <c r="G642" s="256">
        <v>76440</v>
      </c>
      <c r="H642" s="255">
        <v>34859</v>
      </c>
      <c r="I642" s="105" t="str">
        <f>CHOOSE(MONTH(H642),"January","February","March","April","May","June","July","August","September","October","November","December")</f>
        <v>June</v>
      </c>
      <c r="J642" s="51">
        <f ca="1">DATEDIF(H642,TODAY(),"Y")</f>
        <v>21</v>
      </c>
    </row>
    <row r="643" spans="1:10" ht="16.5">
      <c r="A643" s="39" t="s">
        <v>587</v>
      </c>
      <c r="B643" s="46" t="s">
        <v>271</v>
      </c>
      <c r="C643" s="39" t="s">
        <v>391</v>
      </c>
      <c r="D643" s="72">
        <v>526188716</v>
      </c>
      <c r="E643" s="73">
        <v>2527230063</v>
      </c>
      <c r="F643" s="39" t="s">
        <v>247</v>
      </c>
      <c r="G643" s="256">
        <v>73990</v>
      </c>
      <c r="H643" s="255">
        <v>37424</v>
      </c>
      <c r="I643" s="105" t="str">
        <f>CHOOSE(MONTH(H643),"January","February","March","April","May","June","July","August","September","October","November","December")</f>
        <v>June</v>
      </c>
      <c r="J643" s="51">
        <f ca="1">DATEDIF(H643,TODAY(),"Y")</f>
        <v>14</v>
      </c>
    </row>
    <row r="644" spans="1:10" ht="16.5">
      <c r="A644" s="39" t="s">
        <v>850</v>
      </c>
      <c r="B644" s="46" t="s">
        <v>271</v>
      </c>
      <c r="C644" s="39" t="s">
        <v>767</v>
      </c>
      <c r="D644" s="72">
        <v>494754997</v>
      </c>
      <c r="E644" s="73">
        <v>9195617115</v>
      </c>
      <c r="F644" s="39" t="s">
        <v>247</v>
      </c>
      <c r="G644" s="256">
        <v>57600</v>
      </c>
      <c r="H644" s="255">
        <v>41446</v>
      </c>
      <c r="I644" s="105" t="str">
        <f>CHOOSE(MONTH(H644),"January","February","March","April","May","June","July","August","September","October","November","December")</f>
        <v>June</v>
      </c>
      <c r="J644" s="51">
        <f ca="1">DATEDIF(H644,TODAY(),"Y")</f>
        <v>3</v>
      </c>
    </row>
    <row r="645" spans="1:10" ht="16.5">
      <c r="A645" s="39" t="s">
        <v>862</v>
      </c>
      <c r="B645" s="46" t="s">
        <v>245</v>
      </c>
      <c r="C645" s="39" t="s">
        <v>767</v>
      </c>
      <c r="D645" s="72">
        <v>502200672</v>
      </c>
      <c r="E645" s="73">
        <v>2527925201</v>
      </c>
      <c r="F645" s="39" t="s">
        <v>247</v>
      </c>
      <c r="G645" s="256">
        <v>72640</v>
      </c>
      <c r="H645" s="255">
        <v>37803</v>
      </c>
      <c r="I645" s="105" t="str">
        <f>CHOOSE(MONTH(H645),"January","February","March","April","May","June","July","August","September","October","November","December")</f>
        <v>July</v>
      </c>
      <c r="J645" s="51">
        <f ca="1">DATEDIF(H645,TODAY(),"Y")</f>
        <v>13</v>
      </c>
    </row>
    <row r="646" spans="1:10" ht="16.5">
      <c r="A646" s="39" t="s">
        <v>472</v>
      </c>
      <c r="B646" s="46" t="s">
        <v>266</v>
      </c>
      <c r="C646" s="39" t="s">
        <v>930</v>
      </c>
      <c r="D646" s="72">
        <v>592709648</v>
      </c>
      <c r="E646" s="73">
        <v>9191797370</v>
      </c>
      <c r="F646" s="39" t="s">
        <v>247</v>
      </c>
      <c r="G646" s="256">
        <v>39520</v>
      </c>
      <c r="H646" s="255">
        <v>34530</v>
      </c>
      <c r="I646" s="105" t="str">
        <f>CHOOSE(MONTH(H646),"January","February","March","April","May","June","July","August","September","October","November","December")</f>
        <v>July</v>
      </c>
      <c r="J646" s="51">
        <f ca="1">DATEDIF(H646,TODAY(),"Y")</f>
        <v>22</v>
      </c>
    </row>
    <row r="647" spans="1:10" ht="16.5">
      <c r="A647" s="39" t="s">
        <v>490</v>
      </c>
      <c r="B647" s="46" t="s">
        <v>285</v>
      </c>
      <c r="C647" s="39" t="s">
        <v>930</v>
      </c>
      <c r="D647" s="72">
        <v>763182349</v>
      </c>
      <c r="E647" s="73">
        <v>2527780776</v>
      </c>
      <c r="F647" s="39" t="s">
        <v>247</v>
      </c>
      <c r="G647" s="256">
        <v>36052</v>
      </c>
      <c r="H647" s="255">
        <v>41482</v>
      </c>
      <c r="I647" s="105" t="str">
        <f>CHOOSE(MONTH(H647),"January","February","March","April","May","June","July","August","September","October","November","December")</f>
        <v>July</v>
      </c>
      <c r="J647" s="51">
        <f ca="1">DATEDIF(H647,TODAY(),"Y")</f>
        <v>3</v>
      </c>
    </row>
    <row r="648" spans="1:10" ht="16.5">
      <c r="A648" s="39" t="s">
        <v>786</v>
      </c>
      <c r="B648" s="46" t="s">
        <v>251</v>
      </c>
      <c r="C648" s="39" t="s">
        <v>417</v>
      </c>
      <c r="D648" s="72">
        <v>281005046</v>
      </c>
      <c r="E648" s="73">
        <v>2527051004</v>
      </c>
      <c r="F648" s="39" t="s">
        <v>247</v>
      </c>
      <c r="G648" s="256">
        <v>39000</v>
      </c>
      <c r="H648" s="255">
        <v>34523</v>
      </c>
      <c r="I648" s="105" t="str">
        <f>CHOOSE(MONTH(H648),"January","February","March","April","May","June","July","August","September","October","November","December")</f>
        <v>July</v>
      </c>
      <c r="J648" s="51">
        <f ca="1">DATEDIF(H648,TODAY(),"Y")</f>
        <v>22</v>
      </c>
    </row>
    <row r="649" spans="1:10" ht="16.5">
      <c r="A649" s="39" t="s">
        <v>422</v>
      </c>
      <c r="B649" s="46" t="s">
        <v>285</v>
      </c>
      <c r="C649" s="39" t="s">
        <v>767</v>
      </c>
      <c r="D649" s="72">
        <v>933883118</v>
      </c>
      <c r="E649" s="73">
        <v>2523294956</v>
      </c>
      <c r="F649" s="39" t="s">
        <v>247</v>
      </c>
      <c r="G649" s="256">
        <v>76192</v>
      </c>
      <c r="H649" s="255">
        <v>38198</v>
      </c>
      <c r="I649" s="105" t="str">
        <f>CHOOSE(MONTH(H649),"January","February","March","April","May","June","July","August","September","October","November","December")</f>
        <v>July</v>
      </c>
      <c r="J649" s="51">
        <f ca="1">DATEDIF(H649,TODAY(),"Y")</f>
        <v>12</v>
      </c>
    </row>
    <row r="650" spans="1:10" ht="16.5">
      <c r="A650" s="39" t="s">
        <v>517</v>
      </c>
      <c r="B650" s="46" t="s">
        <v>245</v>
      </c>
      <c r="C650" s="39" t="s">
        <v>272</v>
      </c>
      <c r="D650" s="72">
        <v>767961463</v>
      </c>
      <c r="E650" s="73">
        <v>2523646601</v>
      </c>
      <c r="F650" s="39" t="s">
        <v>247</v>
      </c>
      <c r="G650" s="256">
        <v>61860</v>
      </c>
      <c r="H650" s="255">
        <v>40740</v>
      </c>
      <c r="I650" s="105" t="str">
        <f>CHOOSE(MONTH(H650),"January","February","March","April","May","June","July","August","September","October","November","December")</f>
        <v>July</v>
      </c>
      <c r="J650" s="51">
        <f ca="1">DATEDIF(H650,TODAY(),"Y")</f>
        <v>5</v>
      </c>
    </row>
    <row r="651" spans="1:10" ht="16.5">
      <c r="A651" s="39" t="s">
        <v>960</v>
      </c>
      <c r="B651" s="46" t="s">
        <v>285</v>
      </c>
      <c r="C651" s="39" t="s">
        <v>930</v>
      </c>
      <c r="D651" s="72">
        <v>904497673</v>
      </c>
      <c r="E651" s="73">
        <v>2521277028</v>
      </c>
      <c r="F651" s="39" t="s">
        <v>247</v>
      </c>
      <c r="G651" s="256">
        <v>60800</v>
      </c>
      <c r="H651" s="255">
        <v>39997</v>
      </c>
      <c r="I651" s="105" t="str">
        <f>CHOOSE(MONTH(H651),"January","February","March","April","May","June","July","August","September","October","November","December")</f>
        <v>July</v>
      </c>
      <c r="J651" s="51">
        <f ca="1">DATEDIF(H651,TODAY(),"Y")</f>
        <v>7</v>
      </c>
    </row>
    <row r="652" spans="1:10" ht="16.5">
      <c r="A652" s="39" t="s">
        <v>892</v>
      </c>
      <c r="B652" s="46" t="s">
        <v>251</v>
      </c>
      <c r="C652" s="39" t="s">
        <v>856</v>
      </c>
      <c r="D652" s="72">
        <v>265993407</v>
      </c>
      <c r="E652" s="73">
        <v>9193558443</v>
      </c>
      <c r="F652" s="39" t="s">
        <v>247</v>
      </c>
      <c r="G652" s="256">
        <v>68470</v>
      </c>
      <c r="H652" s="255">
        <v>36717</v>
      </c>
      <c r="I652" s="105" t="str">
        <f>CHOOSE(MONTH(H652),"January","February","March","April","May","June","July","August","September","October","November","December")</f>
        <v>July</v>
      </c>
      <c r="J652" s="51">
        <f ca="1">DATEDIF(H652,TODAY(),"Y")</f>
        <v>16</v>
      </c>
    </row>
    <row r="653" spans="1:10" ht="16.5">
      <c r="A653" s="39" t="s">
        <v>648</v>
      </c>
      <c r="B653" s="46" t="s">
        <v>271</v>
      </c>
      <c r="C653" s="39" t="s">
        <v>372</v>
      </c>
      <c r="D653" s="72">
        <v>106966222</v>
      </c>
      <c r="E653" s="73">
        <v>9198310129</v>
      </c>
      <c r="F653" s="39" t="s">
        <v>247</v>
      </c>
      <c r="G653" s="256">
        <v>63610</v>
      </c>
      <c r="H653" s="255">
        <v>34516</v>
      </c>
      <c r="I653" s="105" t="str">
        <f>CHOOSE(MONTH(H653),"January","February","March","April","May","June","July","August","September","October","November","December")</f>
        <v>July</v>
      </c>
      <c r="J653" s="51">
        <f ca="1">DATEDIF(H653,TODAY(),"Y")</f>
        <v>22</v>
      </c>
    </row>
    <row r="654" spans="1:10" ht="16.5">
      <c r="A654" s="39" t="s">
        <v>540</v>
      </c>
      <c r="B654" s="46" t="s">
        <v>271</v>
      </c>
      <c r="C654" s="39" t="s">
        <v>767</v>
      </c>
      <c r="D654" s="72">
        <v>554029540</v>
      </c>
      <c r="E654" s="73">
        <v>2521544288</v>
      </c>
      <c r="F654" s="39" t="s">
        <v>247</v>
      </c>
      <c r="G654" s="256">
        <v>19044</v>
      </c>
      <c r="H654" s="255">
        <v>40008</v>
      </c>
      <c r="I654" s="105" t="str">
        <f>CHOOSE(MONTH(H654),"January","February","March","April","May","June","July","August","September","October","November","December")</f>
        <v>July</v>
      </c>
      <c r="J654" s="51">
        <f ca="1">DATEDIF(H654,TODAY(),"Y")</f>
        <v>7</v>
      </c>
    </row>
    <row r="655" spans="1:10" ht="16.5">
      <c r="A655" s="39" t="s">
        <v>980</v>
      </c>
      <c r="B655" s="46" t="s">
        <v>271</v>
      </c>
      <c r="C655" s="39" t="s">
        <v>465</v>
      </c>
      <c r="D655" s="72">
        <v>384454025</v>
      </c>
      <c r="E655" s="73">
        <v>2522064219</v>
      </c>
      <c r="F655" s="39" t="s">
        <v>247</v>
      </c>
      <c r="G655" s="256">
        <v>63070</v>
      </c>
      <c r="H655" s="255">
        <v>34157</v>
      </c>
      <c r="I655" s="105" t="str">
        <f>CHOOSE(MONTH(H655),"January","February","March","April","May","June","July","August","September","October","November","December")</f>
        <v>July</v>
      </c>
      <c r="J655" s="51">
        <f ca="1">DATEDIF(H655,TODAY(),"Y")</f>
        <v>23</v>
      </c>
    </row>
    <row r="656" spans="1:10" ht="16.5">
      <c r="A656" s="39" t="s">
        <v>434</v>
      </c>
      <c r="B656" s="46" t="s">
        <v>271</v>
      </c>
      <c r="C656" s="39" t="s">
        <v>272</v>
      </c>
      <c r="D656" s="72">
        <v>202815919</v>
      </c>
      <c r="E656" s="73">
        <v>2528467597</v>
      </c>
      <c r="F656" s="39" t="s">
        <v>247</v>
      </c>
      <c r="G656" s="256">
        <v>65910</v>
      </c>
      <c r="H656" s="255">
        <v>37085</v>
      </c>
      <c r="I656" s="105" t="str">
        <f>CHOOSE(MONTH(H656),"January","February","March","April","May","June","July","August","September","October","November","December")</f>
        <v>July</v>
      </c>
      <c r="J656" s="51">
        <f ca="1">DATEDIF(H656,TODAY(),"Y")</f>
        <v>15</v>
      </c>
    </row>
    <row r="657" spans="1:10" ht="16.5">
      <c r="A657" s="39" t="s">
        <v>551</v>
      </c>
      <c r="B657" s="46" t="s">
        <v>271</v>
      </c>
      <c r="C657" s="39" t="s">
        <v>678</v>
      </c>
      <c r="D657" s="72">
        <v>397835298</v>
      </c>
      <c r="E657" s="73">
        <v>9196795200</v>
      </c>
      <c r="F657" s="39" t="s">
        <v>247</v>
      </c>
      <c r="G657" s="256">
        <v>71950</v>
      </c>
      <c r="H657" s="255">
        <v>34530</v>
      </c>
      <c r="I657" s="105" t="str">
        <f>CHOOSE(MONTH(H657),"January","February","March","April","May","June","July","August","September","October","November","December")</f>
        <v>July</v>
      </c>
      <c r="J657" s="51">
        <f ca="1">DATEDIF(H657,TODAY(),"Y")</f>
        <v>22</v>
      </c>
    </row>
    <row r="658" spans="1:10" ht="16.5">
      <c r="A658" s="39" t="s">
        <v>342</v>
      </c>
      <c r="B658" s="46" t="s">
        <v>271</v>
      </c>
      <c r="C658" s="39" t="s">
        <v>767</v>
      </c>
      <c r="D658" s="72">
        <v>638495756</v>
      </c>
      <c r="E658" s="73">
        <v>2528922252</v>
      </c>
      <c r="F658" s="39" t="s">
        <v>247</v>
      </c>
      <c r="G658" s="256">
        <v>47850</v>
      </c>
      <c r="H658" s="255">
        <v>34156</v>
      </c>
      <c r="I658" s="105" t="str">
        <f>CHOOSE(MONTH(H658),"January","February","March","April","May","June","July","August","September","October","November","December")</f>
        <v>July</v>
      </c>
      <c r="J658" s="51">
        <f ca="1">DATEDIF(H658,TODAY(),"Y")</f>
        <v>23</v>
      </c>
    </row>
    <row r="659" spans="1:10" ht="16.5">
      <c r="A659" s="39" t="s">
        <v>462</v>
      </c>
      <c r="B659" s="46" t="s">
        <v>271</v>
      </c>
      <c r="C659" s="39" t="s">
        <v>930</v>
      </c>
      <c r="D659" s="72">
        <v>918436287</v>
      </c>
      <c r="E659" s="73">
        <v>2528238755</v>
      </c>
      <c r="F659" s="39" t="s">
        <v>247</v>
      </c>
      <c r="G659" s="256">
        <v>86540</v>
      </c>
      <c r="H659" s="255">
        <v>36716</v>
      </c>
      <c r="I659" s="105" t="str">
        <f>CHOOSE(MONTH(H659),"January","February","March","April","May","June","July","August","September","October","November","December")</f>
        <v>July</v>
      </c>
      <c r="J659" s="51">
        <f ca="1">DATEDIF(H659,TODAY(),"Y")</f>
        <v>16</v>
      </c>
    </row>
    <row r="660" spans="1:10" ht="16.5">
      <c r="A660" s="39" t="s">
        <v>740</v>
      </c>
      <c r="B660" s="46" t="s">
        <v>271</v>
      </c>
      <c r="C660" s="39" t="s">
        <v>465</v>
      </c>
      <c r="D660" s="72">
        <v>616417564</v>
      </c>
      <c r="E660" s="73">
        <v>9191806180</v>
      </c>
      <c r="F660" s="39" t="s">
        <v>247</v>
      </c>
      <c r="G660" s="256">
        <v>71380</v>
      </c>
      <c r="H660" s="255">
        <v>37441</v>
      </c>
      <c r="I660" s="105" t="str">
        <f>CHOOSE(MONTH(H660),"January","February","March","April","May","June","July","August","September","October","November","December")</f>
        <v>July</v>
      </c>
      <c r="J660" s="51">
        <f ca="1">DATEDIF(H660,TODAY(),"Y")</f>
        <v>14</v>
      </c>
    </row>
    <row r="661" spans="1:10" ht="16.5">
      <c r="A661" s="39" t="s">
        <v>923</v>
      </c>
      <c r="B661" s="46" t="s">
        <v>251</v>
      </c>
      <c r="C661" s="39" t="s">
        <v>856</v>
      </c>
      <c r="D661" s="72">
        <v>368385341</v>
      </c>
      <c r="E661" s="73">
        <v>9195526537</v>
      </c>
      <c r="F661" s="39" t="s">
        <v>247</v>
      </c>
      <c r="G661" s="256">
        <v>34690</v>
      </c>
      <c r="H661" s="255">
        <v>34884</v>
      </c>
      <c r="I661" s="105" t="str">
        <f>CHOOSE(MONTH(H661),"January","February","March","April","May","June","July","August","September","October","November","December")</f>
        <v>July</v>
      </c>
      <c r="J661" s="51">
        <f ca="1">DATEDIF(H661,TODAY(),"Y")</f>
        <v>21</v>
      </c>
    </row>
    <row r="662" spans="1:10" ht="16.5">
      <c r="A662" s="39" t="s">
        <v>365</v>
      </c>
      <c r="B662" s="46" t="s">
        <v>245</v>
      </c>
      <c r="C662" s="39" t="s">
        <v>312</v>
      </c>
      <c r="D662" s="72">
        <v>841913875</v>
      </c>
      <c r="E662" s="73">
        <v>2522511732</v>
      </c>
      <c r="F662" s="39" t="s">
        <v>247</v>
      </c>
      <c r="G662" s="256">
        <v>77840</v>
      </c>
      <c r="H662" s="255">
        <v>34887</v>
      </c>
      <c r="I662" s="105" t="str">
        <f>CHOOSE(MONTH(H662),"January","February","March","April","May","June","July","August","September","October","November","December")</f>
        <v>July</v>
      </c>
      <c r="J662" s="51">
        <f ca="1">DATEDIF(H662,TODAY(),"Y")</f>
        <v>21</v>
      </c>
    </row>
    <row r="663" spans="1:10" ht="16.5">
      <c r="A663" s="39" t="s">
        <v>675</v>
      </c>
      <c r="B663" s="46" t="s">
        <v>266</v>
      </c>
      <c r="C663" s="39" t="s">
        <v>930</v>
      </c>
      <c r="D663" s="72">
        <v>971128623</v>
      </c>
      <c r="E663" s="73">
        <v>9194375399</v>
      </c>
      <c r="F663" s="39" t="s">
        <v>247</v>
      </c>
      <c r="G663" s="256">
        <v>16015</v>
      </c>
      <c r="H663" s="255">
        <v>36736</v>
      </c>
      <c r="I663" s="105" t="str">
        <f>CHOOSE(MONTH(H663),"January","February","March","April","May","June","July","August","September","October","November","December")</f>
        <v>July</v>
      </c>
      <c r="J663" s="51">
        <f ca="1">DATEDIF(H663,TODAY(),"Y")</f>
        <v>16</v>
      </c>
    </row>
    <row r="664" spans="1:10" ht="16.5">
      <c r="A664" s="39" t="s">
        <v>676</v>
      </c>
      <c r="B664" s="46" t="s">
        <v>251</v>
      </c>
      <c r="C664" s="39" t="s">
        <v>750</v>
      </c>
      <c r="D664" s="72">
        <v>264960848</v>
      </c>
      <c r="E664" s="73">
        <v>9195012757</v>
      </c>
      <c r="F664" s="39" t="s">
        <v>247</v>
      </c>
      <c r="G664" s="256">
        <v>64320</v>
      </c>
      <c r="H664" s="255">
        <v>37459</v>
      </c>
      <c r="I664" s="105" t="str">
        <f>CHOOSE(MONTH(H664),"January","February","March","April","May","June","July","August","September","October","November","December")</f>
        <v>July</v>
      </c>
      <c r="J664" s="51">
        <f ca="1">DATEDIF(H664,TODAY(),"Y")</f>
        <v>14</v>
      </c>
    </row>
    <row r="665" spans="1:10" ht="16.5">
      <c r="A665" s="39" t="s">
        <v>366</v>
      </c>
      <c r="B665" s="46" t="s">
        <v>251</v>
      </c>
      <c r="C665" s="39" t="s">
        <v>705</v>
      </c>
      <c r="D665" s="72">
        <v>719165738</v>
      </c>
      <c r="E665" s="73">
        <v>9195750692</v>
      </c>
      <c r="F665" s="39" t="s">
        <v>247</v>
      </c>
      <c r="G665" s="256">
        <v>31910</v>
      </c>
      <c r="H665" s="255">
        <v>35633</v>
      </c>
      <c r="I665" s="105" t="str">
        <f>CHOOSE(MONTH(H665),"January","February","March","April","May","June","July","August","September","October","November","December")</f>
        <v>July</v>
      </c>
      <c r="J665" s="51">
        <f ca="1">DATEDIF(H665,TODAY(),"Y")</f>
        <v>19</v>
      </c>
    </row>
    <row r="666" spans="1:10" ht="16.5">
      <c r="A666" s="39" t="s">
        <v>748</v>
      </c>
      <c r="B666" s="46" t="s">
        <v>271</v>
      </c>
      <c r="C666" s="39" t="s">
        <v>856</v>
      </c>
      <c r="D666" s="72">
        <v>975857784</v>
      </c>
      <c r="E666" s="73">
        <v>9192390604</v>
      </c>
      <c r="F666" s="39" t="s">
        <v>247</v>
      </c>
      <c r="G666" s="256">
        <v>66824</v>
      </c>
      <c r="H666" s="255">
        <v>37467</v>
      </c>
      <c r="I666" s="105" t="str">
        <f>CHOOSE(MONTH(H666),"January","February","March","April","May","June","July","August","September","October","November","December")</f>
        <v>July</v>
      </c>
      <c r="J666" s="51">
        <f ca="1">DATEDIF(H666,TODAY(),"Y")</f>
        <v>14</v>
      </c>
    </row>
    <row r="667" spans="1:10" ht="16.5">
      <c r="A667" s="39" t="s">
        <v>497</v>
      </c>
      <c r="B667" s="46" t="s">
        <v>285</v>
      </c>
      <c r="C667" s="39" t="s">
        <v>465</v>
      </c>
      <c r="D667" s="72">
        <v>337370590</v>
      </c>
      <c r="E667" s="73">
        <v>9197046530</v>
      </c>
      <c r="F667" s="39" t="s">
        <v>247</v>
      </c>
      <c r="G667" s="256">
        <v>39680</v>
      </c>
      <c r="H667" s="255">
        <v>35665</v>
      </c>
      <c r="I667" s="105" t="str">
        <f>CHOOSE(MONTH(H667),"January","February","March","April","May","June","July","August","September","October","November","December")</f>
        <v>August</v>
      </c>
      <c r="J667" s="51">
        <f ca="1">DATEDIF(H667,TODAY(),"Y")</f>
        <v>19</v>
      </c>
    </row>
    <row r="668" spans="1:10" ht="16.5">
      <c r="A668" s="39" t="s">
        <v>322</v>
      </c>
      <c r="B668" s="46" t="s">
        <v>285</v>
      </c>
      <c r="C668" s="39" t="s">
        <v>465</v>
      </c>
      <c r="D668" s="72">
        <v>130619578</v>
      </c>
      <c r="E668" s="73">
        <v>9195057530</v>
      </c>
      <c r="F668" s="39" t="s">
        <v>247</v>
      </c>
      <c r="G668" s="256">
        <v>69080</v>
      </c>
      <c r="H668" s="255">
        <v>38954</v>
      </c>
      <c r="I668" s="105" t="str">
        <f>CHOOSE(MONTH(H668),"January","February","March","April","May","June","July","August","September","October","November","December")</f>
        <v>August</v>
      </c>
      <c r="J668" s="51">
        <f ca="1">DATEDIF(H668,TODAY(),"Y")</f>
        <v>10</v>
      </c>
    </row>
    <row r="669" spans="1:10" ht="16.5">
      <c r="A669" s="39" t="s">
        <v>799</v>
      </c>
      <c r="B669" s="46" t="s">
        <v>271</v>
      </c>
      <c r="C669" s="39" t="s">
        <v>767</v>
      </c>
      <c r="D669" s="72">
        <v>548283920</v>
      </c>
      <c r="E669" s="73">
        <v>2524160215</v>
      </c>
      <c r="F669" s="39" t="s">
        <v>247</v>
      </c>
      <c r="G669" s="256">
        <v>82500</v>
      </c>
      <c r="H669" s="255">
        <v>36740</v>
      </c>
      <c r="I669" s="105" t="str">
        <f>CHOOSE(MONTH(H669),"January","February","March","April","May","June","July","August","September","October","November","December")</f>
        <v>August</v>
      </c>
      <c r="J669" s="51">
        <f ca="1">DATEDIF(H669,TODAY(),"Y")</f>
        <v>16</v>
      </c>
    </row>
    <row r="670" spans="1:10" ht="16.5">
      <c r="A670" s="39" t="s">
        <v>718</v>
      </c>
      <c r="B670" s="46" t="s">
        <v>271</v>
      </c>
      <c r="C670" s="39" t="s">
        <v>417</v>
      </c>
      <c r="D670" s="72">
        <v>282972141</v>
      </c>
      <c r="E670" s="73">
        <v>2527135797</v>
      </c>
      <c r="F670" s="39" t="s">
        <v>247</v>
      </c>
      <c r="G670" s="256">
        <v>60040</v>
      </c>
      <c r="H670" s="255">
        <v>34558</v>
      </c>
      <c r="I670" s="105" t="str">
        <f>CHOOSE(MONTH(H670),"January","February","March","April","May","June","July","August","September","October","November","December")</f>
        <v>August</v>
      </c>
      <c r="J670" s="51">
        <f ca="1">DATEDIF(H670,TODAY(),"Y")</f>
        <v>22</v>
      </c>
    </row>
    <row r="671" spans="1:10" ht="16.5">
      <c r="A671" s="39" t="s">
        <v>815</v>
      </c>
      <c r="B671" s="46" t="s">
        <v>266</v>
      </c>
      <c r="C671" s="39" t="s">
        <v>391</v>
      </c>
      <c r="D671" s="72">
        <v>707882019</v>
      </c>
      <c r="E671" s="73">
        <v>2523373445</v>
      </c>
      <c r="F671" s="39" t="s">
        <v>247</v>
      </c>
      <c r="G671" s="256">
        <v>48190</v>
      </c>
      <c r="H671" s="255">
        <v>37850</v>
      </c>
      <c r="I671" s="105" t="str">
        <f>CHOOSE(MONTH(H671),"January","February","March","April","May","June","July","August","September","October","November","December")</f>
        <v>August</v>
      </c>
      <c r="J671" s="51">
        <f ca="1">DATEDIF(H671,TODAY(),"Y")</f>
        <v>13</v>
      </c>
    </row>
    <row r="672" spans="1:10" ht="16.5">
      <c r="A672" s="39" t="s">
        <v>822</v>
      </c>
      <c r="B672" s="46" t="s">
        <v>280</v>
      </c>
      <c r="C672" s="39" t="s">
        <v>930</v>
      </c>
      <c r="D672" s="72">
        <v>733358713</v>
      </c>
      <c r="E672" s="73">
        <v>9196648050</v>
      </c>
      <c r="F672" s="39" t="s">
        <v>247</v>
      </c>
      <c r="G672" s="256">
        <v>81640</v>
      </c>
      <c r="H672" s="255">
        <v>36031</v>
      </c>
      <c r="I672" s="105" t="str">
        <f>CHOOSE(MONTH(H672),"January","February","March","April","May","June","July","August","September","October","November","December")</f>
        <v>August</v>
      </c>
      <c r="J672" s="51">
        <f ca="1">DATEDIF(H672,TODAY(),"Y")</f>
        <v>18</v>
      </c>
    </row>
    <row r="673" spans="1:10" ht="16.5">
      <c r="A673" s="39" t="s">
        <v>546</v>
      </c>
      <c r="B673" s="46" t="s">
        <v>280</v>
      </c>
      <c r="C673" s="39" t="s">
        <v>465</v>
      </c>
      <c r="D673" s="72">
        <v>647552282</v>
      </c>
      <c r="E673" s="73">
        <v>9193392642</v>
      </c>
      <c r="F673" s="39" t="s">
        <v>247</v>
      </c>
      <c r="G673" s="256">
        <v>42150</v>
      </c>
      <c r="H673" s="255">
        <v>40395</v>
      </c>
      <c r="I673" s="105" t="str">
        <f>CHOOSE(MONTH(H673),"January","February","March","April","May","June","July","August","September","October","November","December")</f>
        <v>August</v>
      </c>
      <c r="J673" s="51">
        <f ca="1">DATEDIF(H673,TODAY(),"Y")</f>
        <v>6</v>
      </c>
    </row>
    <row r="674" spans="1:10" ht="16.5">
      <c r="A674" s="39" t="s">
        <v>552</v>
      </c>
      <c r="B674" s="46" t="s">
        <v>271</v>
      </c>
      <c r="C674" s="39" t="s">
        <v>312</v>
      </c>
      <c r="D674" s="72">
        <v>504735443</v>
      </c>
      <c r="E674" s="73">
        <v>9191629556</v>
      </c>
      <c r="F674" s="39" t="s">
        <v>247</v>
      </c>
      <c r="G674" s="256">
        <v>42940</v>
      </c>
      <c r="H674" s="255">
        <v>35650</v>
      </c>
      <c r="I674" s="105" t="str">
        <f>CHOOSE(MONTH(H674),"January","February","March","April","May","June","July","August","September","October","November","December")</f>
        <v>August</v>
      </c>
      <c r="J674" s="51">
        <f ca="1">DATEDIF(H674,TODAY(),"Y")</f>
        <v>19</v>
      </c>
    </row>
    <row r="675" spans="1:10" ht="16.5">
      <c r="A675" s="39" t="s">
        <v>345</v>
      </c>
      <c r="B675" s="46" t="s">
        <v>285</v>
      </c>
      <c r="C675" s="39" t="s">
        <v>678</v>
      </c>
      <c r="D675" s="72">
        <v>167646549</v>
      </c>
      <c r="E675" s="73">
        <v>9197187041</v>
      </c>
      <c r="F675" s="39" t="s">
        <v>247</v>
      </c>
      <c r="G675" s="256">
        <v>48700</v>
      </c>
      <c r="H675" s="255">
        <v>37105</v>
      </c>
      <c r="I675" s="105" t="str">
        <f>CHOOSE(MONTH(H675),"January","February","March","April","May","June","July","August","September","October","November","December")</f>
        <v>August</v>
      </c>
      <c r="J675" s="51">
        <f ca="1">DATEDIF(H675,TODAY(),"Y")</f>
        <v>15</v>
      </c>
    </row>
    <row r="676" spans="1:10" ht="16.5">
      <c r="A676" s="39" t="s">
        <v>294</v>
      </c>
      <c r="B676" s="46" t="s">
        <v>285</v>
      </c>
      <c r="C676" s="39" t="s">
        <v>767</v>
      </c>
      <c r="D676" s="72">
        <v>160662505</v>
      </c>
      <c r="E676" s="73">
        <v>2526427045</v>
      </c>
      <c r="F676" s="39" t="s">
        <v>247</v>
      </c>
      <c r="G676" s="256">
        <v>60100</v>
      </c>
      <c r="H676" s="255">
        <v>34189</v>
      </c>
      <c r="I676" s="105" t="str">
        <f>CHOOSE(MONTH(H676),"January","February","March","April","May","June","July","August","September","October","November","December")</f>
        <v>August</v>
      </c>
      <c r="J676" s="51">
        <f ca="1">DATEDIF(H676,TODAY(),"Y")</f>
        <v>23</v>
      </c>
    </row>
    <row r="677" spans="1:10" ht="16.5">
      <c r="A677" s="39" t="s">
        <v>392</v>
      </c>
      <c r="B677" s="46" t="s">
        <v>245</v>
      </c>
      <c r="C677" s="39" t="s">
        <v>930</v>
      </c>
      <c r="D677" s="72">
        <v>877574472</v>
      </c>
      <c r="E677" s="73">
        <v>2524100997</v>
      </c>
      <c r="F677" s="39" t="s">
        <v>247</v>
      </c>
      <c r="G677" s="256">
        <v>30416</v>
      </c>
      <c r="H677" s="255">
        <v>38961</v>
      </c>
      <c r="I677" s="105" t="str">
        <f>CHOOSE(MONTH(H677),"January","February","March","April","May","June","July","August","September","October","November","December")</f>
        <v>September</v>
      </c>
      <c r="J677" s="51">
        <f ca="1">DATEDIF(H677,TODAY(),"Y")</f>
        <v>10</v>
      </c>
    </row>
    <row r="678" spans="1:10" ht="16.5">
      <c r="A678" s="39" t="s">
        <v>709</v>
      </c>
      <c r="B678" s="46" t="s">
        <v>271</v>
      </c>
      <c r="C678" s="39" t="s">
        <v>312</v>
      </c>
      <c r="D678" s="72">
        <v>627678686</v>
      </c>
      <c r="E678" s="73">
        <v>2526101454</v>
      </c>
      <c r="F678" s="39" t="s">
        <v>247</v>
      </c>
      <c r="G678" s="256">
        <v>68520</v>
      </c>
      <c r="H678" s="255">
        <v>36415</v>
      </c>
      <c r="I678" s="105" t="str">
        <f>CHOOSE(MONTH(H678),"January","February","March","April","May","June","July","August","September","October","November","December")</f>
        <v>September</v>
      </c>
      <c r="J678" s="51">
        <f ca="1">DATEDIF(H678,TODAY(),"Y")</f>
        <v>17</v>
      </c>
    </row>
    <row r="679" spans="1:10" ht="16.5">
      <c r="A679" s="39" t="s">
        <v>628</v>
      </c>
      <c r="B679" s="46" t="s">
        <v>271</v>
      </c>
      <c r="C679" s="39" t="s">
        <v>312</v>
      </c>
      <c r="D679" s="72">
        <v>981106829</v>
      </c>
      <c r="E679" s="73">
        <v>2526196095</v>
      </c>
      <c r="F679" s="39" t="s">
        <v>247</v>
      </c>
      <c r="G679" s="256">
        <v>45880</v>
      </c>
      <c r="H679" s="255">
        <v>34588</v>
      </c>
      <c r="I679" s="105" t="str">
        <f>CHOOSE(MONTH(H679),"January","February","March","April","May","June","July","August","September","October","November","December")</f>
        <v>September</v>
      </c>
      <c r="J679" s="51">
        <f ca="1">DATEDIF(H679,TODAY(),"Y")</f>
        <v>22</v>
      </c>
    </row>
    <row r="680" spans="1:10" ht="16.5">
      <c r="A680" s="45" t="s">
        <v>275</v>
      </c>
      <c r="B680" s="46" t="s">
        <v>280</v>
      </c>
      <c r="C680" s="39" t="s">
        <v>930</v>
      </c>
      <c r="D680" s="72">
        <v>641962645</v>
      </c>
      <c r="E680" s="73">
        <v>9196965088</v>
      </c>
      <c r="F680" s="39" t="s">
        <v>247</v>
      </c>
      <c r="G680" s="256">
        <v>47350</v>
      </c>
      <c r="H680" s="255">
        <v>38258</v>
      </c>
      <c r="I680" s="105" t="str">
        <f>CHOOSE(MONTH(H680),"January","February","March","April","May","June","July","August","September","October","November","December")</f>
        <v>September</v>
      </c>
      <c r="J680" s="51">
        <f ca="1">DATEDIF(H680,TODAY(),"Y")</f>
        <v>12</v>
      </c>
    </row>
    <row r="681" spans="1:10" ht="16.5">
      <c r="A681" s="39" t="s">
        <v>634</v>
      </c>
      <c r="B681" s="46" t="s">
        <v>271</v>
      </c>
      <c r="C681" s="39" t="s">
        <v>465</v>
      </c>
      <c r="D681" s="72">
        <v>910964196</v>
      </c>
      <c r="E681" s="73">
        <v>9194361873</v>
      </c>
      <c r="F681" s="39" t="s">
        <v>247</v>
      </c>
      <c r="G681" s="256">
        <v>81070</v>
      </c>
      <c r="H681" s="255">
        <v>40439</v>
      </c>
      <c r="I681" s="105" t="str">
        <f>CHOOSE(MONTH(H681),"January","February","March","April","May","June","July","August","September","October","November","December")</f>
        <v>September</v>
      </c>
      <c r="J681" s="51">
        <f ca="1">DATEDIF(H681,TODAY(),"Y")</f>
        <v>6</v>
      </c>
    </row>
    <row r="682" spans="1:10" ht="16.5">
      <c r="A682" s="39" t="s">
        <v>1059</v>
      </c>
      <c r="B682" s="46" t="s">
        <v>245</v>
      </c>
      <c r="C682" s="39" t="s">
        <v>767</v>
      </c>
      <c r="D682" s="72">
        <v>484442635</v>
      </c>
      <c r="E682" s="73">
        <v>2527194901</v>
      </c>
      <c r="F682" s="39" t="s">
        <v>247</v>
      </c>
      <c r="G682" s="256">
        <v>46645</v>
      </c>
      <c r="H682" s="255">
        <v>37159</v>
      </c>
      <c r="I682" s="105" t="str">
        <f>CHOOSE(MONTH(H682),"January","February","March","April","May","June","July","August","September","October","November","December")</f>
        <v>September</v>
      </c>
      <c r="J682" s="51">
        <f ca="1">DATEDIF(H682,TODAY(),"Y")</f>
        <v>15</v>
      </c>
    </row>
    <row r="683" spans="1:10" ht="16.5">
      <c r="A683" s="39" t="s">
        <v>868</v>
      </c>
      <c r="B683" s="46" t="s">
        <v>251</v>
      </c>
      <c r="C683" s="39" t="s">
        <v>465</v>
      </c>
      <c r="D683" s="72">
        <v>884025623</v>
      </c>
      <c r="E683" s="73">
        <v>2521280865</v>
      </c>
      <c r="F683" s="39" t="s">
        <v>247</v>
      </c>
      <c r="G683" s="256">
        <v>45100</v>
      </c>
      <c r="H683" s="255">
        <v>36424</v>
      </c>
      <c r="I683" s="105" t="str">
        <f>CHOOSE(MONTH(H683),"January","February","March","April","May","June","July","August","September","October","November","December")</f>
        <v>September</v>
      </c>
      <c r="J683" s="51">
        <f ca="1">DATEDIF(H683,TODAY(),"Y")</f>
        <v>17</v>
      </c>
    </row>
    <row r="684" spans="1:10" ht="16.5">
      <c r="A684" s="39" t="s">
        <v>458</v>
      </c>
      <c r="B684" s="46" t="s">
        <v>251</v>
      </c>
      <c r="C684" s="39" t="s">
        <v>465</v>
      </c>
      <c r="D684" s="72">
        <v>317844971</v>
      </c>
      <c r="E684" s="73">
        <v>9193557946</v>
      </c>
      <c r="F684" s="39" t="s">
        <v>247</v>
      </c>
      <c r="G684" s="256">
        <v>23190</v>
      </c>
      <c r="H684" s="255">
        <v>35311</v>
      </c>
      <c r="I684" s="105" t="str">
        <f>CHOOSE(MONTH(H684),"January","February","March","April","May","June","July","August","September","October","November","December")</f>
        <v>September</v>
      </c>
      <c r="J684" s="51">
        <f ca="1">DATEDIF(H684,TODAY(),"Y")</f>
        <v>20</v>
      </c>
    </row>
    <row r="685" spans="1:10" ht="16.5">
      <c r="A685" s="39" t="s">
        <v>642</v>
      </c>
      <c r="B685" s="46" t="s">
        <v>271</v>
      </c>
      <c r="C685" s="39" t="s">
        <v>856</v>
      </c>
      <c r="D685" s="72">
        <v>750581894</v>
      </c>
      <c r="E685" s="73">
        <v>2528433766</v>
      </c>
      <c r="F685" s="39" t="s">
        <v>247</v>
      </c>
      <c r="G685" s="256">
        <v>21670</v>
      </c>
      <c r="H685" s="255">
        <v>35695</v>
      </c>
      <c r="I685" s="105" t="str">
        <f>CHOOSE(MONTH(H685),"January","February","March","April","May","June","July","August","September","October","November","December")</f>
        <v>September</v>
      </c>
      <c r="J685" s="51">
        <f ca="1">DATEDIF(H685,TODAY(),"Y")</f>
        <v>19</v>
      </c>
    </row>
    <row r="686" spans="1:10" ht="16.5">
      <c r="A686" s="39" t="s">
        <v>644</v>
      </c>
      <c r="B686" s="46" t="s">
        <v>251</v>
      </c>
      <c r="C686" s="39" t="s">
        <v>391</v>
      </c>
      <c r="D686" s="72">
        <v>938508346</v>
      </c>
      <c r="E686" s="78">
        <v>2526738901</v>
      </c>
      <c r="F686" s="39" t="s">
        <v>247</v>
      </c>
      <c r="G686" s="256">
        <v>61150</v>
      </c>
      <c r="H686" s="255">
        <v>36430</v>
      </c>
      <c r="I686" s="105" t="str">
        <f>CHOOSE(MONTH(H686),"January","February","March","April","May","June","July","August","September","October","November","December")</f>
        <v>September</v>
      </c>
      <c r="J686" s="51">
        <f ca="1">DATEDIF(H686,TODAY(),"Y")</f>
        <v>17</v>
      </c>
    </row>
    <row r="687" spans="1:10" ht="16.5">
      <c r="A687" s="39" t="s">
        <v>972</v>
      </c>
      <c r="B687" s="46" t="s">
        <v>245</v>
      </c>
      <c r="C687" s="39" t="s">
        <v>312</v>
      </c>
      <c r="D687" s="72">
        <v>648911225</v>
      </c>
      <c r="E687" s="73">
        <v>2525829090</v>
      </c>
      <c r="F687" s="39" t="s">
        <v>247</v>
      </c>
      <c r="G687" s="256">
        <v>29176</v>
      </c>
      <c r="H687" s="255">
        <v>34964</v>
      </c>
      <c r="I687" s="105" t="str">
        <f>CHOOSE(MONTH(H687),"January","February","March","April","May","June","July","August","September","October","November","December")</f>
        <v>September</v>
      </c>
      <c r="J687" s="51">
        <f ca="1">DATEDIF(H687,TODAY(),"Y")</f>
        <v>21</v>
      </c>
    </row>
    <row r="688" spans="1:10" ht="16.5">
      <c r="A688" s="39" t="s">
        <v>335</v>
      </c>
      <c r="B688" s="46" t="s">
        <v>271</v>
      </c>
      <c r="C688" s="39" t="s">
        <v>465</v>
      </c>
      <c r="D688" s="72">
        <v>687006783</v>
      </c>
      <c r="E688" s="73">
        <v>2524919418</v>
      </c>
      <c r="F688" s="39" t="s">
        <v>247</v>
      </c>
      <c r="G688" s="256">
        <v>54190</v>
      </c>
      <c r="H688" s="255">
        <v>34944</v>
      </c>
      <c r="I688" s="105" t="str">
        <f>CHOOSE(MONTH(H688),"January","February","March","April","May","June","July","August","September","October","November","December")</f>
        <v>September</v>
      </c>
      <c r="J688" s="51">
        <f ca="1">DATEDIF(H688,TODAY(),"Y")</f>
        <v>21</v>
      </c>
    </row>
    <row r="689" spans="1:10" ht="16.5">
      <c r="A689" s="39" t="s">
        <v>651</v>
      </c>
      <c r="B689" s="46" t="s">
        <v>285</v>
      </c>
      <c r="C689" s="39" t="s">
        <v>767</v>
      </c>
      <c r="D689" s="72">
        <v>963000861</v>
      </c>
      <c r="E689" s="73">
        <v>2522792063</v>
      </c>
      <c r="F689" s="39" t="s">
        <v>247</v>
      </c>
      <c r="G689" s="256">
        <v>43190</v>
      </c>
      <c r="H689" s="255">
        <v>36428</v>
      </c>
      <c r="I689" s="105" t="str">
        <f>CHOOSE(MONTH(H689),"January","February","March","April","May","June","July","August","September","October","November","December")</f>
        <v>September</v>
      </c>
      <c r="J689" s="51">
        <f ca="1">DATEDIF(H689,TODAY(),"Y")</f>
        <v>17</v>
      </c>
    </row>
    <row r="690" spans="1:10" ht="16.5">
      <c r="A690" s="39" t="s">
        <v>689</v>
      </c>
      <c r="B690" s="46" t="s">
        <v>271</v>
      </c>
      <c r="C690" s="39" t="s">
        <v>705</v>
      </c>
      <c r="D690" s="72">
        <v>960967007</v>
      </c>
      <c r="E690" s="73">
        <v>9194694995</v>
      </c>
      <c r="F690" s="39" t="s">
        <v>247</v>
      </c>
      <c r="G690" s="256">
        <v>61370</v>
      </c>
      <c r="H690" s="255">
        <v>36060</v>
      </c>
      <c r="I690" s="105" t="str">
        <f>CHOOSE(MONTH(H690),"January","February","March","April","May","June","July","August","September","October","November","December")</f>
        <v>September</v>
      </c>
      <c r="J690" s="51">
        <f ca="1">DATEDIF(H690,TODAY(),"Y")</f>
        <v>18</v>
      </c>
    </row>
    <row r="691" spans="1:10" ht="16.5">
      <c r="A691" s="39" t="s">
        <v>900</v>
      </c>
      <c r="B691" s="46" t="s">
        <v>285</v>
      </c>
      <c r="C691" s="39" t="s">
        <v>930</v>
      </c>
      <c r="D691" s="72">
        <v>144722757</v>
      </c>
      <c r="E691" s="73">
        <v>9196060038</v>
      </c>
      <c r="F691" s="39" t="s">
        <v>247</v>
      </c>
      <c r="G691" s="256">
        <v>64720</v>
      </c>
      <c r="H691" s="255">
        <v>38621</v>
      </c>
      <c r="I691" s="105" t="str">
        <f>CHOOSE(MONTH(H691),"January","February","March","April","May","June","July","August","September","October","November","December")</f>
        <v>September</v>
      </c>
      <c r="J691" s="51">
        <f ca="1">DATEDIF(H691,TODAY(),"Y")</f>
        <v>11</v>
      </c>
    </row>
    <row r="692" spans="1:10" ht="16.5">
      <c r="A692" s="39" t="s">
        <v>731</v>
      </c>
      <c r="B692" s="46" t="s">
        <v>271</v>
      </c>
      <c r="C692" s="39" t="s">
        <v>930</v>
      </c>
      <c r="D692" s="72">
        <v>111616346</v>
      </c>
      <c r="E692" s="73">
        <v>2525717431</v>
      </c>
      <c r="F692" s="39" t="s">
        <v>247</v>
      </c>
      <c r="G692" s="256">
        <v>60280</v>
      </c>
      <c r="H692" s="255">
        <v>34230</v>
      </c>
      <c r="I692" s="105" t="str">
        <f>CHOOSE(MONTH(H692),"January","February","March","April","May","June","July","August","September","October","November","December")</f>
        <v>September</v>
      </c>
      <c r="J692" s="51">
        <f ca="1">DATEDIF(H692,TODAY(),"Y")</f>
        <v>23</v>
      </c>
    </row>
    <row r="693" spans="1:10" ht="16.5">
      <c r="A693" s="39" t="s">
        <v>439</v>
      </c>
      <c r="B693" s="46" t="s">
        <v>280</v>
      </c>
      <c r="C693" s="39" t="s">
        <v>465</v>
      </c>
      <c r="D693" s="72">
        <v>396727504</v>
      </c>
      <c r="E693" s="73">
        <v>9193204992</v>
      </c>
      <c r="F693" s="39" t="s">
        <v>247</v>
      </c>
      <c r="G693" s="256">
        <v>41840</v>
      </c>
      <c r="H693" s="255">
        <v>39700</v>
      </c>
      <c r="I693" s="105" t="str">
        <f>CHOOSE(MONTH(H693),"January","February","March","April","May","June","July","August","September","October","November","December")</f>
        <v>September</v>
      </c>
      <c r="J693" s="51">
        <f ca="1">DATEDIF(H693,TODAY(),"Y")</f>
        <v>8</v>
      </c>
    </row>
    <row r="694" spans="1:10" ht="16.5">
      <c r="A694" s="39" t="s">
        <v>579</v>
      </c>
      <c r="B694" s="46" t="s">
        <v>245</v>
      </c>
      <c r="C694" s="39" t="s">
        <v>417</v>
      </c>
      <c r="D694" s="72">
        <v>870601943</v>
      </c>
      <c r="E694" s="73">
        <v>9196097340</v>
      </c>
      <c r="F694" s="39" t="s">
        <v>247</v>
      </c>
      <c r="G694" s="256">
        <v>49530</v>
      </c>
      <c r="H694" s="255">
        <v>35703</v>
      </c>
      <c r="I694" s="105" t="str">
        <f>CHOOSE(MONTH(H694),"January","February","March","April","May","June","July","August","September","October","November","December")</f>
        <v>September</v>
      </c>
      <c r="J694" s="51">
        <f ca="1">DATEDIF(H694,TODAY(),"Y")</f>
        <v>19</v>
      </c>
    </row>
    <row r="695" spans="1:10" ht="16.5">
      <c r="A695" s="39" t="s">
        <v>584</v>
      </c>
      <c r="B695" s="46" t="s">
        <v>271</v>
      </c>
      <c r="C695" s="39" t="s">
        <v>391</v>
      </c>
      <c r="D695" s="72">
        <v>197789466</v>
      </c>
      <c r="E695" s="73">
        <v>9191472895</v>
      </c>
      <c r="F695" s="39" t="s">
        <v>247</v>
      </c>
      <c r="G695" s="256">
        <v>29260</v>
      </c>
      <c r="H695" s="255">
        <v>36061</v>
      </c>
      <c r="I695" s="105" t="str">
        <f>CHOOSE(MONTH(H695),"January","February","March","April","May","June","July","August","September","October","November","December")</f>
        <v>September</v>
      </c>
      <c r="J695" s="51">
        <f ca="1">DATEDIF(H695,TODAY(),"Y")</f>
        <v>18</v>
      </c>
    </row>
    <row r="696" spans="1:10" ht="16.5">
      <c r="A696" s="39" t="s">
        <v>622</v>
      </c>
      <c r="B696" s="46" t="s">
        <v>285</v>
      </c>
      <c r="C696" s="39" t="s">
        <v>312</v>
      </c>
      <c r="D696" s="72">
        <v>427811310</v>
      </c>
      <c r="E696" s="73">
        <v>9191362796</v>
      </c>
      <c r="F696" s="39" t="s">
        <v>247</v>
      </c>
      <c r="G696" s="256">
        <v>57560</v>
      </c>
      <c r="H696" s="255">
        <v>36779</v>
      </c>
      <c r="I696" s="105" t="str">
        <f>CHOOSE(MONTH(H696),"January","February","March","April","May","June","July","August","September","October","November","December")</f>
        <v>September</v>
      </c>
      <c r="J696" s="51">
        <f ca="1">DATEDIF(H696,TODAY(),"Y")</f>
        <v>16</v>
      </c>
    </row>
    <row r="697" spans="1:10" ht="16.5">
      <c r="A697" s="39" t="s">
        <v>288</v>
      </c>
      <c r="B697" s="46" t="s">
        <v>271</v>
      </c>
      <c r="C697" s="39" t="s">
        <v>417</v>
      </c>
      <c r="D697" s="72">
        <v>622274162</v>
      </c>
      <c r="E697" s="73">
        <v>9191264786</v>
      </c>
      <c r="F697" s="39" t="s">
        <v>247</v>
      </c>
      <c r="G697" s="256">
        <v>72060</v>
      </c>
      <c r="H697" s="255">
        <v>40445</v>
      </c>
      <c r="I697" s="105" t="str">
        <f>CHOOSE(MONTH(H697),"January","February","March","April","May","June","July","August","September","October","November","December")</f>
        <v>September</v>
      </c>
      <c r="J697" s="51">
        <f ca="1">DATEDIF(H697,TODAY(),"Y")</f>
        <v>6</v>
      </c>
    </row>
    <row r="698" spans="1:10" ht="16.5">
      <c r="A698" s="45" t="s">
        <v>265</v>
      </c>
      <c r="B698" s="46" t="s">
        <v>285</v>
      </c>
      <c r="C698" s="39" t="s">
        <v>417</v>
      </c>
      <c r="D698" s="72">
        <v>661397587</v>
      </c>
      <c r="E698" s="73">
        <v>9196126835</v>
      </c>
      <c r="F698" s="39" t="s">
        <v>247</v>
      </c>
      <c r="G698" s="256">
        <v>42020</v>
      </c>
      <c r="H698" s="255">
        <v>34591</v>
      </c>
      <c r="I698" s="105" t="str">
        <f>CHOOSE(MONTH(H698),"January","February","March","April","May","June","July","August","September","October","November","December")</f>
        <v>September</v>
      </c>
      <c r="J698" s="51">
        <f ca="1">DATEDIF(H698,TODAY(),"Y")</f>
        <v>22</v>
      </c>
    </row>
    <row r="699" spans="1:10" ht="16.5">
      <c r="A699" s="39" t="s">
        <v>768</v>
      </c>
      <c r="B699" s="46" t="s">
        <v>245</v>
      </c>
      <c r="C699" s="39" t="s">
        <v>930</v>
      </c>
      <c r="D699" s="72">
        <v>247422007</v>
      </c>
      <c r="E699" s="73">
        <v>2528012440</v>
      </c>
      <c r="F699" s="39" t="s">
        <v>247</v>
      </c>
      <c r="G699" s="256">
        <v>64430</v>
      </c>
      <c r="H699" s="255">
        <v>37170</v>
      </c>
      <c r="I699" s="105" t="str">
        <f>CHOOSE(MONTH(H699),"January","February","March","April","May","June","July","August","September","October","November","December")</f>
        <v>October</v>
      </c>
      <c r="J699" s="51">
        <f ca="1">DATEDIF(H699,TODAY(),"Y")</f>
        <v>15</v>
      </c>
    </row>
    <row r="700" spans="1:10" ht="16.5">
      <c r="A700" s="39" t="s">
        <v>484</v>
      </c>
      <c r="B700" s="46" t="s">
        <v>285</v>
      </c>
      <c r="C700" s="39" t="s">
        <v>417</v>
      </c>
      <c r="D700" s="72">
        <v>575648597</v>
      </c>
      <c r="E700" s="73">
        <v>9198865267</v>
      </c>
      <c r="F700" s="39" t="s">
        <v>247</v>
      </c>
      <c r="G700" s="256">
        <v>46410</v>
      </c>
      <c r="H700" s="255">
        <v>41202</v>
      </c>
      <c r="I700" s="105" t="str">
        <f>CHOOSE(MONTH(H700),"January","February","March","April","May","June","July","August","September","October","November","December")</f>
        <v>October</v>
      </c>
      <c r="J700" s="51">
        <f ca="1">DATEDIF(H700,TODAY(),"Y")</f>
        <v>4</v>
      </c>
    </row>
    <row r="701" spans="1:10" ht="16.5">
      <c r="A701" s="39" t="s">
        <v>941</v>
      </c>
      <c r="B701" s="46" t="s">
        <v>245</v>
      </c>
      <c r="C701" s="39" t="s">
        <v>465</v>
      </c>
      <c r="D701" s="72">
        <v>138607245</v>
      </c>
      <c r="E701" s="73">
        <v>2522140101</v>
      </c>
      <c r="F701" s="39" t="s">
        <v>247</v>
      </c>
      <c r="G701" s="256">
        <v>62688</v>
      </c>
      <c r="H701" s="255">
        <v>34996</v>
      </c>
      <c r="I701" s="105" t="str">
        <f>CHOOSE(MONTH(H701),"January","February","March","April","May","June","July","August","September","October","November","December")</f>
        <v>October</v>
      </c>
      <c r="J701" s="51">
        <f ca="1">DATEDIF(H701,TODAY(),"Y")</f>
        <v>21</v>
      </c>
    </row>
    <row r="702" spans="1:10" ht="16.5">
      <c r="A702" s="39" t="s">
        <v>717</v>
      </c>
      <c r="B702" s="46" t="s">
        <v>251</v>
      </c>
      <c r="C702" s="39" t="s">
        <v>705</v>
      </c>
      <c r="D702" s="72">
        <v>711445298</v>
      </c>
      <c r="E702" s="73">
        <v>2528359862</v>
      </c>
      <c r="F702" s="39" t="s">
        <v>247</v>
      </c>
      <c r="G702" s="256">
        <v>45450</v>
      </c>
      <c r="H702" s="255">
        <v>34631</v>
      </c>
      <c r="I702" s="105" t="str">
        <f>CHOOSE(MONTH(H702),"January","February","March","April","May","June","July","August","September","October","November","December")</f>
        <v>October</v>
      </c>
      <c r="J702" s="51">
        <f ca="1">DATEDIF(H702,TODAY(),"Y")</f>
        <v>22</v>
      </c>
    </row>
    <row r="703" spans="1:10" ht="16.5">
      <c r="A703" s="39" t="s">
        <v>520</v>
      </c>
      <c r="B703" s="46" t="s">
        <v>285</v>
      </c>
      <c r="C703" s="39" t="s">
        <v>417</v>
      </c>
      <c r="D703" s="72">
        <v>927043360</v>
      </c>
      <c r="E703" s="73">
        <v>2526053287</v>
      </c>
      <c r="F703" s="39" t="s">
        <v>247</v>
      </c>
      <c r="G703" s="256">
        <v>64263</v>
      </c>
      <c r="H703" s="255">
        <v>34630</v>
      </c>
      <c r="I703" s="105" t="str">
        <f>CHOOSE(MONTH(H703),"January","February","March","April","May","June","July","August","September","October","November","December")</f>
        <v>October</v>
      </c>
      <c r="J703" s="51">
        <f ca="1">DATEDIF(H703,TODAY(),"Y")</f>
        <v>22</v>
      </c>
    </row>
    <row r="704" spans="1:10" ht="16.5">
      <c r="A704" s="39" t="s">
        <v>325</v>
      </c>
      <c r="B704" s="46" t="s">
        <v>285</v>
      </c>
      <c r="C704" s="39" t="s">
        <v>856</v>
      </c>
      <c r="D704" s="72">
        <v>135633006</v>
      </c>
      <c r="E704" s="73">
        <v>2526732103</v>
      </c>
      <c r="F704" s="39" t="s">
        <v>247</v>
      </c>
      <c r="G704" s="256">
        <v>30080</v>
      </c>
      <c r="H704" s="255">
        <v>39731</v>
      </c>
      <c r="I704" s="105" t="str">
        <f>CHOOSE(MONTH(H704),"January","February","March","April","May","June","July","August","September","October","November","December")</f>
        <v>October</v>
      </c>
      <c r="J704" s="51">
        <f ca="1">DATEDIF(H704,TODAY(),"Y")</f>
        <v>8</v>
      </c>
    </row>
    <row r="705" spans="1:10" ht="16.5">
      <c r="A705" s="39" t="s">
        <v>326</v>
      </c>
      <c r="B705" s="46" t="s">
        <v>245</v>
      </c>
      <c r="C705" s="39" t="s">
        <v>700</v>
      </c>
      <c r="D705" s="72">
        <v>252582122</v>
      </c>
      <c r="E705" s="73">
        <v>9197764351</v>
      </c>
      <c r="F705" s="39" t="s">
        <v>247</v>
      </c>
      <c r="G705" s="256">
        <v>20990</v>
      </c>
      <c r="H705" s="255">
        <v>40455</v>
      </c>
      <c r="I705" s="105" t="str">
        <f>CHOOSE(MONTH(H705),"January","February","March","April","May","June","July","August","September","October","November","December")</f>
        <v>October</v>
      </c>
      <c r="J705" s="51">
        <f ca="1">DATEDIF(H705,TODAY(),"Y")</f>
        <v>6</v>
      </c>
    </row>
    <row r="706" spans="1:10" ht="16.5">
      <c r="A706" s="39" t="s">
        <v>725</v>
      </c>
      <c r="B706" s="46" t="s">
        <v>271</v>
      </c>
      <c r="C706" s="39" t="s">
        <v>417</v>
      </c>
      <c r="D706" s="72">
        <v>249760737</v>
      </c>
      <c r="E706" s="73">
        <v>2522969056</v>
      </c>
      <c r="F706" s="39" t="s">
        <v>247</v>
      </c>
      <c r="G706" s="256">
        <v>48250</v>
      </c>
      <c r="H706" s="255">
        <v>34978</v>
      </c>
      <c r="I706" s="105" t="str">
        <f>CHOOSE(MONTH(H706),"January","February","March","April","May","June","July","August","September","October","November","December")</f>
        <v>October</v>
      </c>
      <c r="J706" s="51">
        <f ca="1">DATEDIF(H706,TODAY(),"Y")</f>
        <v>21</v>
      </c>
    </row>
    <row r="707" spans="1:10" ht="16.5">
      <c r="A707" s="45" t="s">
        <v>279</v>
      </c>
      <c r="B707" s="46" t="s">
        <v>251</v>
      </c>
      <c r="C707" s="39" t="s">
        <v>312</v>
      </c>
      <c r="D707" s="72">
        <v>403504590</v>
      </c>
      <c r="E707" s="73">
        <v>9192400511</v>
      </c>
      <c r="F707" s="39" t="s">
        <v>247</v>
      </c>
      <c r="G707" s="256">
        <v>43460</v>
      </c>
      <c r="H707" s="255">
        <v>37193</v>
      </c>
      <c r="I707" s="105" t="str">
        <f>CHOOSE(MONTH(H707),"January","February","March","April","May","June","July","August","September","October","November","December")</f>
        <v>October</v>
      </c>
      <c r="J707" s="51">
        <f ca="1">DATEDIF(H707,TODAY(),"Y")</f>
        <v>15</v>
      </c>
    </row>
    <row r="708" spans="1:10" ht="16.5">
      <c r="A708" s="39" t="s">
        <v>971</v>
      </c>
      <c r="B708" s="46" t="s">
        <v>245</v>
      </c>
      <c r="C708" s="39" t="s">
        <v>465</v>
      </c>
      <c r="D708" s="72">
        <v>361925033</v>
      </c>
      <c r="E708" s="73">
        <v>9196633751</v>
      </c>
      <c r="F708" s="39" t="s">
        <v>247</v>
      </c>
      <c r="G708" s="256">
        <v>41380</v>
      </c>
      <c r="H708" s="255">
        <v>36457</v>
      </c>
      <c r="I708" s="105" t="str">
        <f>CHOOSE(MONTH(H708),"January","February","March","April","May","June","July","August","September","October","November","December")</f>
        <v>October</v>
      </c>
      <c r="J708" s="51">
        <f ca="1">DATEDIF(H708,TODAY(),"Y")</f>
        <v>17</v>
      </c>
    </row>
    <row r="709" spans="1:10" ht="16.5">
      <c r="A709" s="39" t="s">
        <v>977</v>
      </c>
      <c r="B709" s="46" t="s">
        <v>285</v>
      </c>
      <c r="C709" s="39" t="s">
        <v>767</v>
      </c>
      <c r="D709" s="72">
        <v>556327593</v>
      </c>
      <c r="E709" s="73">
        <v>2523324762</v>
      </c>
      <c r="F709" s="39" t="s">
        <v>247</v>
      </c>
      <c r="G709" s="256">
        <v>66010</v>
      </c>
      <c r="H709" s="255">
        <v>34977</v>
      </c>
      <c r="I709" s="105" t="str">
        <f>CHOOSE(MONTH(H709),"January","February","March","April","May","June","July","August","September","October","November","December")</f>
        <v>October</v>
      </c>
      <c r="J709" s="51">
        <f ca="1">DATEDIF(H709,TODAY(),"Y")</f>
        <v>21</v>
      </c>
    </row>
    <row r="710" spans="1:10" ht="16.5">
      <c r="A710" s="39" t="s">
        <v>575</v>
      </c>
      <c r="B710" s="46" t="s">
        <v>285</v>
      </c>
      <c r="C710" s="39" t="s">
        <v>856</v>
      </c>
      <c r="D710" s="72">
        <v>983047016</v>
      </c>
      <c r="E710" s="73">
        <v>9198451642</v>
      </c>
      <c r="F710" s="39" t="s">
        <v>247</v>
      </c>
      <c r="G710" s="256">
        <v>73450</v>
      </c>
      <c r="H710" s="255">
        <v>36079</v>
      </c>
      <c r="I710" s="105" t="str">
        <f>CHOOSE(MONTH(H710),"January","February","March","April","May","June","July","August","September","October","November","December")</f>
        <v>October</v>
      </c>
      <c r="J710" s="51">
        <f ca="1">DATEDIF(H710,TODAY(),"Y")</f>
        <v>18</v>
      </c>
    </row>
    <row r="711" spans="1:10" ht="16.5">
      <c r="A711" s="39" t="s">
        <v>578</v>
      </c>
      <c r="B711" s="46" t="s">
        <v>245</v>
      </c>
      <c r="C711" s="39" t="s">
        <v>312</v>
      </c>
      <c r="D711" s="72">
        <v>474999228</v>
      </c>
      <c r="E711" s="73">
        <v>9193848677</v>
      </c>
      <c r="F711" s="39" t="s">
        <v>247</v>
      </c>
      <c r="G711" s="256">
        <v>75780</v>
      </c>
      <c r="H711" s="255">
        <v>41203</v>
      </c>
      <c r="I711" s="105" t="str">
        <f>CHOOSE(MONTH(H711),"January","February","March","April","May","June","July","August","September","October","November","December")</f>
        <v>October</v>
      </c>
      <c r="J711" s="51">
        <f ca="1">DATEDIF(H711,TODAY(),"Y")</f>
        <v>4</v>
      </c>
    </row>
    <row r="712" spans="1:10" ht="16.5">
      <c r="A712" s="39" t="s">
        <v>837</v>
      </c>
      <c r="B712" s="46" t="s">
        <v>266</v>
      </c>
      <c r="C712" s="39" t="s">
        <v>465</v>
      </c>
      <c r="D712" s="72">
        <v>906321388</v>
      </c>
      <c r="E712" s="73">
        <v>2527919826</v>
      </c>
      <c r="F712" s="39" t="s">
        <v>247</v>
      </c>
      <c r="G712" s="256">
        <v>69510</v>
      </c>
      <c r="H712" s="255">
        <v>34621</v>
      </c>
      <c r="I712" s="105" t="str">
        <f>CHOOSE(MONTH(H712),"January","February","March","April","May","June","July","August","September","October","November","December")</f>
        <v>October</v>
      </c>
      <c r="J712" s="51">
        <f ca="1">DATEDIF(H712,TODAY(),"Y")</f>
        <v>22</v>
      </c>
    </row>
    <row r="713" spans="1:10" ht="16.5">
      <c r="A713" s="39" t="s">
        <v>358</v>
      </c>
      <c r="B713" s="46" t="s">
        <v>280</v>
      </c>
      <c r="C713" s="39" t="s">
        <v>465</v>
      </c>
      <c r="D713" s="72">
        <v>969216994</v>
      </c>
      <c r="E713" s="73">
        <v>2528973095</v>
      </c>
      <c r="F713" s="39" t="s">
        <v>247</v>
      </c>
      <c r="G713" s="256">
        <v>87950</v>
      </c>
      <c r="H713" s="255">
        <v>36806</v>
      </c>
      <c r="I713" s="105" t="str">
        <f>CHOOSE(MONTH(H713),"January","February","March","April","May","June","July","August","September","October","November","December")</f>
        <v>October</v>
      </c>
      <c r="J713" s="51">
        <f ca="1">DATEDIF(H713,TODAY(),"Y")</f>
        <v>16</v>
      </c>
    </row>
    <row r="714" spans="1:10" ht="16.5">
      <c r="A714" s="39" t="s">
        <v>926</v>
      </c>
      <c r="B714" s="46" t="s">
        <v>285</v>
      </c>
      <c r="C714" s="39" t="s">
        <v>1031</v>
      </c>
      <c r="D714" s="72">
        <v>183135788</v>
      </c>
      <c r="E714" s="73">
        <v>2521198851</v>
      </c>
      <c r="F714" s="39" t="s">
        <v>247</v>
      </c>
      <c r="G714" s="256">
        <v>45830</v>
      </c>
      <c r="H714" s="255">
        <v>41548</v>
      </c>
      <c r="I714" s="105" t="str">
        <f>CHOOSE(MONTH(H714),"January","February","March","April","May","June","July","August","September","October","November","December")</f>
        <v>October</v>
      </c>
      <c r="J714" s="51">
        <f ca="1">DATEDIF(H714,TODAY(),"Y")</f>
        <v>3</v>
      </c>
    </row>
    <row r="715" spans="1:10" ht="16.5">
      <c r="A715" s="39" t="s">
        <v>751</v>
      </c>
      <c r="B715" s="46" t="s">
        <v>280</v>
      </c>
      <c r="C715" s="39" t="s">
        <v>767</v>
      </c>
      <c r="D715" s="72">
        <v>445693854</v>
      </c>
      <c r="E715" s="73">
        <v>9192891217</v>
      </c>
      <c r="F715" s="39" t="s">
        <v>247</v>
      </c>
      <c r="G715" s="256">
        <v>49770</v>
      </c>
      <c r="H715" s="255">
        <v>35384</v>
      </c>
      <c r="I715" s="105" t="str">
        <f>CHOOSE(MONTH(H715),"January","February","March","April","May","June","July","August","September","October","November","December")</f>
        <v>November</v>
      </c>
      <c r="J715" s="51">
        <f ca="1">DATEDIF(H715,TODAY(),"Y")</f>
        <v>19</v>
      </c>
    </row>
    <row r="716" spans="1:10" ht="16.5">
      <c r="A716" s="39" t="s">
        <v>777</v>
      </c>
      <c r="B716" s="46" t="s">
        <v>280</v>
      </c>
      <c r="C716" s="39" t="s">
        <v>307</v>
      </c>
      <c r="D716" s="72">
        <v>529609767</v>
      </c>
      <c r="E716" s="73">
        <v>2528006736</v>
      </c>
      <c r="F716" s="39" t="s">
        <v>247</v>
      </c>
      <c r="G716" s="256">
        <v>22870</v>
      </c>
      <c r="H716" s="255">
        <v>40869</v>
      </c>
      <c r="I716" s="105" t="str">
        <f>CHOOSE(MONTH(H716),"January","February","March","April","May","June","July","August","September","October","November","December")</f>
        <v>November</v>
      </c>
      <c r="J716" s="51">
        <f ca="1">DATEDIF(H716,TODAY(),"Y")</f>
        <v>4</v>
      </c>
    </row>
    <row r="717" spans="1:10" ht="16.5">
      <c r="A717" s="39" t="s">
        <v>297</v>
      </c>
      <c r="B717" s="46" t="s">
        <v>271</v>
      </c>
      <c r="C717" s="39" t="s">
        <v>856</v>
      </c>
      <c r="D717" s="72">
        <v>304024314</v>
      </c>
      <c r="E717" s="73">
        <v>9192244880</v>
      </c>
      <c r="F717" s="39" t="s">
        <v>247</v>
      </c>
      <c r="G717" s="256">
        <v>78860</v>
      </c>
      <c r="H717" s="255">
        <v>41223</v>
      </c>
      <c r="I717" s="105" t="str">
        <f>CHOOSE(MONTH(H717),"January","February","March","April","May","June","July","August","September","October","November","December")</f>
        <v>November</v>
      </c>
      <c r="J717" s="51">
        <f ca="1">DATEDIF(H717,TODAY(),"Y")</f>
        <v>4</v>
      </c>
    </row>
    <row r="718" spans="1:10" ht="16.5">
      <c r="A718" s="39" t="s">
        <v>948</v>
      </c>
      <c r="B718" s="46" t="s">
        <v>245</v>
      </c>
      <c r="C718" s="39" t="s">
        <v>465</v>
      </c>
      <c r="D718" s="72">
        <v>159117255</v>
      </c>
      <c r="E718" s="73">
        <v>9198426889</v>
      </c>
      <c r="F718" s="39" t="s">
        <v>247</v>
      </c>
      <c r="G718" s="256">
        <v>46680</v>
      </c>
      <c r="H718" s="255">
        <v>36848</v>
      </c>
      <c r="I718" s="105" t="str">
        <f>CHOOSE(MONTH(H718),"January","February","March","April","May","June","July","August","September","October","November","December")</f>
        <v>November</v>
      </c>
      <c r="J718" s="51">
        <f ca="1">DATEDIF(H718,TODAY(),"Y")</f>
        <v>15</v>
      </c>
    </row>
    <row r="719" spans="1:10" ht="16.5">
      <c r="A719" s="39" t="s">
        <v>721</v>
      </c>
      <c r="B719" s="46" t="s">
        <v>280</v>
      </c>
      <c r="C719" s="39" t="s">
        <v>312</v>
      </c>
      <c r="D719" s="72">
        <v>683222853</v>
      </c>
      <c r="E719" s="73">
        <v>9196224056</v>
      </c>
      <c r="F719" s="39" t="s">
        <v>247</v>
      </c>
      <c r="G719" s="256">
        <v>32640</v>
      </c>
      <c r="H719" s="255">
        <v>38304</v>
      </c>
      <c r="I719" s="105" t="str">
        <f>CHOOSE(MONTH(H719),"January","February","March","April","May","June","July","August","September","October","November","December")</f>
        <v>November</v>
      </c>
      <c r="J719" s="51">
        <f ca="1">DATEDIF(H719,TODAY(),"Y")</f>
        <v>11</v>
      </c>
    </row>
    <row r="720" spans="1:10" ht="16.5">
      <c r="A720" s="39" t="s">
        <v>966</v>
      </c>
      <c r="B720" s="46" t="s">
        <v>280</v>
      </c>
      <c r="C720" s="39" t="s">
        <v>312</v>
      </c>
      <c r="D720" s="72">
        <v>163292583</v>
      </c>
      <c r="E720" s="73">
        <v>2522005810</v>
      </c>
      <c r="F720" s="39" t="s">
        <v>247</v>
      </c>
      <c r="G720" s="256">
        <v>56920</v>
      </c>
      <c r="H720" s="255">
        <v>41590</v>
      </c>
      <c r="I720" s="105" t="str">
        <f>CHOOSE(MONTH(H720),"January","February","March","April","May","June","July","August","September","October","November","December")</f>
        <v>November</v>
      </c>
      <c r="J720" s="51">
        <f ca="1">DATEDIF(H720,TODAY(),"Y")</f>
        <v>2</v>
      </c>
    </row>
    <row r="721" spans="1:10" ht="16.5">
      <c r="A721" s="39" t="s">
        <v>334</v>
      </c>
      <c r="B721" s="46" t="s">
        <v>251</v>
      </c>
      <c r="C721" s="39" t="s">
        <v>856</v>
      </c>
      <c r="D721" s="72">
        <v>626501093</v>
      </c>
      <c r="E721" s="73">
        <v>9192822520</v>
      </c>
      <c r="F721" s="39" t="s">
        <v>247</v>
      </c>
      <c r="G721" s="256">
        <v>72830</v>
      </c>
      <c r="H721" s="255">
        <v>41223</v>
      </c>
      <c r="I721" s="105" t="str">
        <f>CHOOSE(MONTH(H721),"January","February","March","April","May","June","July","August","September","October","November","December")</f>
        <v>November</v>
      </c>
      <c r="J721" s="51">
        <f ca="1">DATEDIF(H721,TODAY(),"Y")</f>
        <v>4</v>
      </c>
    </row>
    <row r="722" spans="1:10" ht="16.5">
      <c r="A722" s="39" t="s">
        <v>695</v>
      </c>
      <c r="B722" s="46" t="s">
        <v>280</v>
      </c>
      <c r="C722" s="39" t="s">
        <v>456</v>
      </c>
      <c r="D722" s="72">
        <v>746497232</v>
      </c>
      <c r="E722" s="73">
        <v>9196681578</v>
      </c>
      <c r="F722" s="39" t="s">
        <v>247</v>
      </c>
      <c r="G722" s="256">
        <v>24340</v>
      </c>
      <c r="H722" s="255">
        <v>37207</v>
      </c>
      <c r="I722" s="105" t="str">
        <f>CHOOSE(MONTH(H722),"January","February","March","April","May","June","July","August","September","October","November","December")</f>
        <v>November</v>
      </c>
      <c r="J722" s="51">
        <f ca="1">DATEDIF(H722,TODAY(),"Y")</f>
        <v>14</v>
      </c>
    </row>
    <row r="723" spans="1:10" ht="16.5">
      <c r="A723" s="39" t="s">
        <v>661</v>
      </c>
      <c r="B723" s="46" t="s">
        <v>271</v>
      </c>
      <c r="C723" s="39" t="s">
        <v>767</v>
      </c>
      <c r="D723" s="72">
        <v>336025451</v>
      </c>
      <c r="E723" s="73">
        <v>2522344526</v>
      </c>
      <c r="F723" s="39" t="s">
        <v>247</v>
      </c>
      <c r="G723" s="256">
        <v>66132</v>
      </c>
      <c r="H723" s="255">
        <v>40127</v>
      </c>
      <c r="I723" s="105" t="str">
        <f>CHOOSE(MONTH(H723),"January","February","March","April","May","June","July","August","September","October","November","December")</f>
        <v>November</v>
      </c>
      <c r="J723" s="51">
        <f ca="1">DATEDIF(H723,TODAY(),"Y")</f>
        <v>7</v>
      </c>
    </row>
    <row r="724" spans="1:10" ht="16.5">
      <c r="A724" s="39" t="s">
        <v>662</v>
      </c>
      <c r="B724" s="46" t="s">
        <v>251</v>
      </c>
      <c r="C724" s="39" t="s">
        <v>626</v>
      </c>
      <c r="D724" s="72">
        <v>345817459</v>
      </c>
      <c r="E724" s="73">
        <v>9195594427</v>
      </c>
      <c r="F724" s="39" t="s">
        <v>247</v>
      </c>
      <c r="G724" s="256">
        <v>17205</v>
      </c>
      <c r="H724" s="255">
        <v>36129</v>
      </c>
      <c r="I724" s="105" t="str">
        <f>CHOOSE(MONTH(H724),"January","February","March","April","May","June","July","August","September","October","November","December")</f>
        <v>November</v>
      </c>
      <c r="J724" s="51">
        <f ca="1">DATEDIF(H724,TODAY(),"Y")</f>
        <v>17</v>
      </c>
    </row>
    <row r="725" spans="1:10" ht="16.5">
      <c r="A725" s="39" t="s">
        <v>611</v>
      </c>
      <c r="B725" s="46" t="s">
        <v>245</v>
      </c>
      <c r="C725" s="39" t="s">
        <v>618</v>
      </c>
      <c r="D725" s="72">
        <v>292006053</v>
      </c>
      <c r="E725" s="73">
        <v>9197045091</v>
      </c>
      <c r="F725" s="39" t="s">
        <v>247</v>
      </c>
      <c r="G725" s="256">
        <v>34990</v>
      </c>
      <c r="H725" s="255">
        <v>40512</v>
      </c>
      <c r="I725" s="105" t="str">
        <f>CHOOSE(MONTH(H725),"January","February","March","April","May","June","July","August","September","October","November","December")</f>
        <v>November</v>
      </c>
      <c r="J725" s="51">
        <f ca="1">DATEDIF(H725,TODAY(),"Y")</f>
        <v>5</v>
      </c>
    </row>
    <row r="726" spans="1:10" ht="16.5">
      <c r="A726" s="39" t="s">
        <v>677</v>
      </c>
      <c r="B726" s="46" t="s">
        <v>285</v>
      </c>
      <c r="C726" s="39" t="s">
        <v>678</v>
      </c>
      <c r="D726" s="72">
        <v>557568959</v>
      </c>
      <c r="E726" s="73">
        <v>9192783818</v>
      </c>
      <c r="F726" s="39" t="s">
        <v>247</v>
      </c>
      <c r="G726" s="256">
        <v>46360</v>
      </c>
      <c r="H726" s="255">
        <v>38692</v>
      </c>
      <c r="I726" s="105" t="str">
        <f>CHOOSE(MONTH(H726),"January","February","March","April","May","June","July","August","September","October","November","December")</f>
        <v>December</v>
      </c>
      <c r="J726" s="51">
        <f ca="1">DATEDIF(H726,TODAY(),"Y")</f>
        <v>10</v>
      </c>
    </row>
    <row r="727" spans="1:10" ht="16.5">
      <c r="A727" s="39" t="s">
        <v>772</v>
      </c>
      <c r="B727" s="46" t="s">
        <v>271</v>
      </c>
      <c r="C727" s="39" t="s">
        <v>465</v>
      </c>
      <c r="D727" s="72">
        <v>592631929</v>
      </c>
      <c r="E727" s="73">
        <v>2523922629</v>
      </c>
      <c r="F727" s="39" t="s">
        <v>247</v>
      </c>
      <c r="G727" s="256">
        <v>86240</v>
      </c>
      <c r="H727" s="255">
        <v>39052</v>
      </c>
      <c r="I727" s="105" t="str">
        <f>CHOOSE(MONTH(H727),"January","February","March","April","May","June","July","August","September","October","November","December")</f>
        <v>December</v>
      </c>
      <c r="J727" s="51">
        <f ca="1">DATEDIF(H727,TODAY(),"Y")</f>
        <v>9</v>
      </c>
    </row>
    <row r="728" spans="1:10" ht="16.5">
      <c r="A728" s="39" t="s">
        <v>947</v>
      </c>
      <c r="B728" s="46" t="s">
        <v>251</v>
      </c>
      <c r="C728" s="39" t="s">
        <v>767</v>
      </c>
      <c r="D728" s="72">
        <v>698472533</v>
      </c>
      <c r="E728" s="73">
        <v>9192917217</v>
      </c>
      <c r="F728" s="39" t="s">
        <v>247</v>
      </c>
      <c r="G728" s="256">
        <v>42800</v>
      </c>
      <c r="H728" s="255">
        <v>34315</v>
      </c>
      <c r="I728" s="105" t="str">
        <f>CHOOSE(MONTH(H728),"January","February","March","April","May","June","July","August","September","October","November","December")</f>
        <v>December</v>
      </c>
      <c r="J728" s="51">
        <f ca="1">DATEDIF(H728,TODAY(),"Y")</f>
        <v>22</v>
      </c>
    </row>
    <row r="729" spans="1:10" ht="16.5">
      <c r="A729" s="39" t="s">
        <v>511</v>
      </c>
      <c r="B729" s="46" t="s">
        <v>285</v>
      </c>
      <c r="C729" s="39" t="s">
        <v>465</v>
      </c>
      <c r="D729" s="72">
        <v>412611335</v>
      </c>
      <c r="E729" s="73">
        <v>2525998691</v>
      </c>
      <c r="F729" s="39" t="s">
        <v>247</v>
      </c>
      <c r="G729" s="256">
        <v>71670</v>
      </c>
      <c r="H729" s="255">
        <v>39784</v>
      </c>
      <c r="I729" s="105" t="str">
        <f>CHOOSE(MONTH(H729),"January","February","March","April","May","June","July","August","September","October","November","December")</f>
        <v>December</v>
      </c>
      <c r="J729" s="51">
        <f ca="1">DATEDIF(H729,TODAY(),"Y")</f>
        <v>7</v>
      </c>
    </row>
    <row r="730" spans="1:10" ht="16.5">
      <c r="A730" s="39" t="s">
        <v>878</v>
      </c>
      <c r="B730" s="46" t="s">
        <v>245</v>
      </c>
      <c r="C730" s="39" t="s">
        <v>767</v>
      </c>
      <c r="D730" s="72">
        <v>106686151</v>
      </c>
      <c r="E730" s="73">
        <v>2521246633</v>
      </c>
      <c r="F730" s="39" t="s">
        <v>247</v>
      </c>
      <c r="G730" s="256">
        <v>77350</v>
      </c>
      <c r="H730" s="255">
        <v>37228</v>
      </c>
      <c r="I730" s="105" t="str">
        <f>CHOOSE(MONTH(H730),"January","February","March","April","May","June","July","August","September","October","November","December")</f>
        <v>December</v>
      </c>
      <c r="J730" s="51">
        <f ca="1">DATEDIF(H730,TODAY(),"Y")</f>
        <v>14</v>
      </c>
    </row>
    <row r="731" spans="1:10" ht="16.5">
      <c r="A731" s="39" t="s">
        <v>396</v>
      </c>
      <c r="B731" s="46" t="s">
        <v>271</v>
      </c>
      <c r="C731" s="39" t="s">
        <v>465</v>
      </c>
      <c r="D731" s="72">
        <v>995858336</v>
      </c>
      <c r="E731" s="73">
        <v>2525035104</v>
      </c>
      <c r="F731" s="39" t="s">
        <v>247</v>
      </c>
      <c r="G731" s="256">
        <v>16688</v>
      </c>
      <c r="H731" s="255">
        <v>37617</v>
      </c>
      <c r="I731" s="105" t="str">
        <f>CHOOSE(MONTH(H731),"January","February","March","April","May","June","July","August","September","October","November","December")</f>
        <v>December</v>
      </c>
      <c r="J731" s="51">
        <f ca="1">DATEDIF(H731,TODAY(),"Y")</f>
        <v>13</v>
      </c>
    </row>
    <row r="732" spans="1:10" ht="16.5">
      <c r="A732" s="39" t="s">
        <v>885</v>
      </c>
      <c r="B732" s="46" t="s">
        <v>271</v>
      </c>
      <c r="C732" s="39" t="s">
        <v>312</v>
      </c>
      <c r="D732" s="72">
        <v>513140687</v>
      </c>
      <c r="E732" s="73">
        <v>9192163497</v>
      </c>
      <c r="F732" s="39" t="s">
        <v>247</v>
      </c>
      <c r="G732" s="256">
        <v>29330</v>
      </c>
      <c r="H732" s="255">
        <v>38346</v>
      </c>
      <c r="I732" s="105" t="str">
        <f>CHOOSE(MONTH(H732),"January","February","March","April","May","June","July","August","September","October","November","December")</f>
        <v>December</v>
      </c>
      <c r="J732" s="51">
        <f ca="1">DATEDIF(H732,TODAY(),"Y")</f>
        <v>11</v>
      </c>
    </row>
    <row r="733" spans="1:10" ht="16.5">
      <c r="A733" s="39" t="s">
        <v>527</v>
      </c>
      <c r="B733" s="46" t="s">
        <v>271</v>
      </c>
      <c r="C733" s="39" t="s">
        <v>700</v>
      </c>
      <c r="D733" s="72">
        <v>121688720</v>
      </c>
      <c r="E733" s="73">
        <v>9194794769</v>
      </c>
      <c r="F733" s="39" t="s">
        <v>247</v>
      </c>
      <c r="G733" s="256">
        <v>77950</v>
      </c>
      <c r="H733" s="255">
        <v>35061</v>
      </c>
      <c r="I733" s="105" t="str">
        <f>CHOOSE(MONTH(H733),"January","February","March","April","May","June","July","August","September","October","November","December")</f>
        <v>December</v>
      </c>
      <c r="J733" s="51">
        <f ca="1">DATEDIF(H733,TODAY(),"Y")</f>
        <v>20</v>
      </c>
    </row>
    <row r="734" spans="1:10" ht="16.5">
      <c r="A734" s="39" t="s">
        <v>330</v>
      </c>
      <c r="B734" s="46" t="s">
        <v>251</v>
      </c>
      <c r="C734" s="39" t="s">
        <v>465</v>
      </c>
      <c r="D734" s="72">
        <v>311883362</v>
      </c>
      <c r="E734" s="73">
        <v>2526505454</v>
      </c>
      <c r="F734" s="39" t="s">
        <v>247</v>
      </c>
      <c r="G734" s="256">
        <v>23020</v>
      </c>
      <c r="H734" s="255">
        <v>36499</v>
      </c>
      <c r="I734" s="105" t="str">
        <f>CHOOSE(MONTH(H734),"January","February","March","April","May","June","July","August","September","October","November","December")</f>
        <v>December</v>
      </c>
      <c r="J734" s="51">
        <f ca="1">DATEDIF(H734,TODAY(),"Y")</f>
        <v>16</v>
      </c>
    </row>
    <row r="735" spans="1:10" ht="16.5">
      <c r="A735" s="39" t="s">
        <v>724</v>
      </c>
      <c r="B735" s="46" t="s">
        <v>285</v>
      </c>
      <c r="C735" s="39" t="s">
        <v>930</v>
      </c>
      <c r="D735" s="72">
        <v>656572514</v>
      </c>
      <c r="E735" s="73">
        <v>9193679666</v>
      </c>
      <c r="F735" s="39" t="s">
        <v>247</v>
      </c>
      <c r="G735" s="256">
        <v>33512</v>
      </c>
      <c r="H735" s="255">
        <v>35059</v>
      </c>
      <c r="I735" s="105" t="str">
        <f>CHOOSE(MONTH(H735),"January","February","March","April","May","June","July","August","September","October","November","December")</f>
        <v>December</v>
      </c>
      <c r="J735" s="51">
        <f ca="1">DATEDIF(H735,TODAY(),"Y")</f>
        <v>20</v>
      </c>
    </row>
    <row r="736" spans="1:10" ht="16.5">
      <c r="A736" s="39" t="s">
        <v>657</v>
      </c>
      <c r="B736" s="46" t="s">
        <v>271</v>
      </c>
      <c r="C736" s="39" t="s">
        <v>767</v>
      </c>
      <c r="D736" s="72">
        <v>387131597</v>
      </c>
      <c r="E736" s="73">
        <v>9191963194</v>
      </c>
      <c r="F736" s="39" t="s">
        <v>247</v>
      </c>
      <c r="G736" s="256">
        <v>24710</v>
      </c>
      <c r="H736" s="255">
        <v>38713</v>
      </c>
      <c r="I736" s="105" t="str">
        <f>CHOOSE(MONTH(H736),"January","February","March","April","May","June","July","August","September","October","November","December")</f>
        <v>December</v>
      </c>
      <c r="J736" s="51">
        <f ca="1">DATEDIF(H736,TODAY(),"Y")</f>
        <v>10</v>
      </c>
    </row>
    <row r="737" spans="1:10" ht="16.5">
      <c r="A737" s="39" t="s">
        <v>548</v>
      </c>
      <c r="B737" s="46" t="s">
        <v>245</v>
      </c>
      <c r="C737" s="39" t="s">
        <v>930</v>
      </c>
      <c r="D737" s="72">
        <v>667745362</v>
      </c>
      <c r="E737" s="73">
        <v>2522952173</v>
      </c>
      <c r="F737" s="39" t="s">
        <v>247</v>
      </c>
      <c r="G737" s="256">
        <v>64720</v>
      </c>
      <c r="H737" s="255">
        <v>36879</v>
      </c>
      <c r="I737" s="105" t="str">
        <f>CHOOSE(MONTH(H737),"January","February","March","April","May","June","July","August","September","October","November","December")</f>
        <v>December</v>
      </c>
      <c r="J737" s="51">
        <f ca="1">DATEDIF(H737,TODAY(),"Y")</f>
        <v>15</v>
      </c>
    </row>
    <row r="738" spans="1:10" ht="16.5">
      <c r="A738" s="39" t="s">
        <v>560</v>
      </c>
      <c r="B738" s="46" t="s">
        <v>245</v>
      </c>
      <c r="C738" s="39" t="s">
        <v>312</v>
      </c>
      <c r="D738" s="72">
        <v>733413074</v>
      </c>
      <c r="E738" s="73">
        <v>9192224790</v>
      </c>
      <c r="F738" s="39" t="s">
        <v>247</v>
      </c>
      <c r="G738" s="256">
        <v>35260</v>
      </c>
      <c r="H738" s="255">
        <v>35412</v>
      </c>
      <c r="I738" s="105" t="str">
        <f>CHOOSE(MONTH(H738),"January","February","March","April","May","June","July","August","September","October","November","December")</f>
        <v>December</v>
      </c>
      <c r="J738" s="51">
        <f ca="1">DATEDIF(H738,TODAY(),"Y")</f>
        <v>19</v>
      </c>
    </row>
    <row r="739" spans="1:10" ht="16.5">
      <c r="A739" s="39" t="s">
        <v>738</v>
      </c>
      <c r="B739" s="46" t="s">
        <v>280</v>
      </c>
      <c r="C739" s="39" t="s">
        <v>626</v>
      </c>
      <c r="D739" s="72">
        <v>991764142</v>
      </c>
      <c r="E739" s="73">
        <v>9192490678</v>
      </c>
      <c r="F739" s="39" t="s">
        <v>247</v>
      </c>
      <c r="G739" s="256">
        <v>14416</v>
      </c>
      <c r="H739" s="255">
        <v>39812</v>
      </c>
      <c r="I739" s="105" t="str">
        <f>CHOOSE(MONTH(H739),"January","February","March","April","May","June","July","August","September","October","November","December")</f>
        <v>December</v>
      </c>
      <c r="J739" s="51">
        <f ca="1">DATEDIF(H739,TODAY(),"Y")</f>
        <v>7</v>
      </c>
    </row>
    <row r="740" spans="1:10" ht="16.5">
      <c r="A740" s="39" t="s">
        <v>834</v>
      </c>
      <c r="B740" s="46" t="s">
        <v>245</v>
      </c>
      <c r="C740" s="39" t="s">
        <v>856</v>
      </c>
      <c r="D740" s="72">
        <v>221347766</v>
      </c>
      <c r="E740" s="73">
        <v>2526853122</v>
      </c>
      <c r="F740" s="39" t="s">
        <v>247</v>
      </c>
      <c r="G740" s="256">
        <v>59490</v>
      </c>
      <c r="H740" s="255">
        <v>38703</v>
      </c>
      <c r="I740" s="105" t="str">
        <f>CHOOSE(MONTH(H740),"January","February","March","April","May","June","July","August","September","October","November","December")</f>
        <v>December</v>
      </c>
      <c r="J740" s="51">
        <f ca="1">DATEDIF(H740,TODAY(),"Y")</f>
        <v>10</v>
      </c>
    </row>
    <row r="741" spans="1:10" ht="16.5">
      <c r="A741" s="39" t="s">
        <v>289</v>
      </c>
      <c r="B741" s="46" t="s">
        <v>285</v>
      </c>
      <c r="C741" s="39" t="s">
        <v>465</v>
      </c>
      <c r="D741" s="72">
        <v>399060898</v>
      </c>
      <c r="E741" s="73">
        <v>9195197037</v>
      </c>
      <c r="F741" s="39" t="s">
        <v>247</v>
      </c>
      <c r="G741" s="256">
        <v>73850</v>
      </c>
      <c r="H741" s="255">
        <v>35045</v>
      </c>
      <c r="I741" s="105" t="str">
        <f>CHOOSE(MONTH(H741),"January","February","March","April","May","June","July","August","September","October","November","December")</f>
        <v>December</v>
      </c>
      <c r="J741" s="51">
        <f ca="1">DATEDIF(H741,TODAY(),"Y")</f>
        <v>20</v>
      </c>
    </row>
    <row r="742" spans="1:10" ht="16.5">
      <c r="A742" s="39" t="s">
        <v>606</v>
      </c>
      <c r="B742" s="46" t="s">
        <v>245</v>
      </c>
      <c r="C742" s="39" t="s">
        <v>465</v>
      </c>
      <c r="D742" s="72">
        <v>436778229</v>
      </c>
      <c r="E742" s="73">
        <v>2525871924</v>
      </c>
      <c r="F742" s="39" t="s">
        <v>247</v>
      </c>
      <c r="G742" s="256">
        <v>40940</v>
      </c>
      <c r="H742" s="255">
        <v>36157</v>
      </c>
      <c r="I742" s="105" t="str">
        <f>CHOOSE(MONTH(H742),"January","February","March","April","May","June","July","August","September","October","November","December")</f>
        <v>December</v>
      </c>
      <c r="J742" s="51">
        <f ca="1">DATEDIF(H742,TODAY(),"Y")</f>
        <v>17</v>
      </c>
    </row>
    <row r="743" spans="1:10" ht="16.5">
      <c r="G743" s="256"/>
      <c r="I743" s="81"/>
      <c r="J743" s="83"/>
    </row>
    <row r="744" spans="1:10" ht="16.5">
      <c r="G744" s="256"/>
      <c r="I744" s="81"/>
      <c r="J744" s="83"/>
    </row>
    <row r="745" spans="1:10" ht="16.5">
      <c r="G745" s="256"/>
      <c r="I745" s="81"/>
      <c r="J745" s="83"/>
    </row>
    <row r="746" spans="1:10" ht="16.5">
      <c r="G746" s="256"/>
      <c r="I746" s="81"/>
      <c r="J746" s="83"/>
    </row>
    <row r="747" spans="1:10" ht="16.5">
      <c r="G747" s="256"/>
      <c r="I747" s="81"/>
      <c r="J747" s="83"/>
    </row>
    <row r="748" spans="1:10" ht="16.5">
      <c r="G748" s="256"/>
      <c r="I748" s="81"/>
      <c r="J748" s="83"/>
    </row>
    <row r="749" spans="1:10" ht="16.5">
      <c r="G749" s="256"/>
      <c r="I749" s="81"/>
      <c r="J749" s="83"/>
    </row>
    <row r="750" spans="1:10" ht="16.5">
      <c r="G750" s="256"/>
      <c r="I750" s="81"/>
      <c r="J750" s="83"/>
    </row>
    <row r="751" spans="1:10" ht="16.5">
      <c r="G751" s="256"/>
      <c r="I751" s="81"/>
      <c r="J751" s="83"/>
    </row>
    <row r="752" spans="1:10" ht="16.5">
      <c r="G752" s="256"/>
      <c r="I752" s="81"/>
      <c r="J752" s="83"/>
    </row>
    <row r="753" spans="7:10" ht="16.5">
      <c r="G753" s="256"/>
      <c r="I753" s="81"/>
      <c r="J753" s="83"/>
    </row>
    <row r="754" spans="7:10" ht="16.5">
      <c r="G754" s="256"/>
      <c r="I754" s="81"/>
      <c r="J754" s="83"/>
    </row>
    <row r="755" spans="7:10" ht="16.5">
      <c r="G755" s="256"/>
      <c r="I755" s="81"/>
      <c r="J755" s="83"/>
    </row>
    <row r="756" spans="7:10" ht="16.5">
      <c r="G756" s="256"/>
      <c r="I756" s="81"/>
      <c r="J756" s="83"/>
    </row>
    <row r="757" spans="7:10" ht="16.5">
      <c r="G757" s="256"/>
      <c r="I757" s="81"/>
      <c r="J757" s="83"/>
    </row>
    <row r="758" spans="7:10" ht="16.5">
      <c r="G758" s="256"/>
      <c r="I758" s="81"/>
      <c r="J758" s="83"/>
    </row>
    <row r="759" spans="7:10" ht="16.5">
      <c r="G759" s="256"/>
      <c r="I759" s="81"/>
      <c r="J759" s="83"/>
    </row>
    <row r="760" spans="7:10" ht="16.5">
      <c r="G760" s="256"/>
      <c r="I760" s="81"/>
      <c r="J760" s="83"/>
    </row>
    <row r="761" spans="7:10" ht="16.5">
      <c r="G761" s="256"/>
      <c r="I761" s="81"/>
      <c r="J761" s="83"/>
    </row>
    <row r="762" spans="7:10" ht="16.5">
      <c r="G762" s="256"/>
    </row>
  </sheetData>
  <sortState ref="A2:J742">
    <sortCondition ref="F2:F742" customList="Full Time,Half-Time,Hourly,Contract"/>
    <sortCondition ref="I2:I742" customList="January,February,March,April,May,June,July,August,September,October,November,December"/>
  </sortState>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T746"/>
  <sheetViews>
    <sheetView topLeftCell="C1" zoomScale="160" zoomScaleNormal="160" zoomScaleSheetLayoutView="100" workbookViewId="0">
      <selection activeCell="H3" sqref="H3"/>
    </sheetView>
  </sheetViews>
  <sheetFormatPr defaultColWidth="19.85546875" defaultRowHeight="15"/>
  <cols>
    <col min="1" max="1" width="17.42578125" style="39" customWidth="1"/>
    <col min="2" max="2" width="9" style="54" customWidth="1"/>
    <col min="3" max="3" width="26.85546875" style="39" bestFit="1" customWidth="1"/>
    <col min="4" max="4" width="13" style="79" customWidth="1"/>
    <col min="5" max="5" width="14.85546875" style="80" bestFit="1" customWidth="1"/>
    <col min="6" max="6" width="9.7109375" style="39" bestFit="1" customWidth="1"/>
    <col min="7" max="7" width="11.5703125" style="81" customWidth="1"/>
    <col min="8" max="8" width="10.7109375" style="81" customWidth="1"/>
    <col min="9" max="9" width="6.5703125" style="83" customWidth="1"/>
    <col min="10" max="10" width="9" style="39" customWidth="1"/>
    <col min="11" max="11" width="9.42578125" style="70" customWidth="1"/>
    <col min="12" max="12" width="10.7109375" style="39" customWidth="1"/>
    <col min="13" max="14" width="19.85546875" style="39"/>
    <col min="15" max="15" width="15.28515625" style="39" customWidth="1"/>
    <col min="16" max="16" width="19.85546875" style="39"/>
    <col min="17" max="17" width="10.5703125" style="264" customWidth="1"/>
    <col min="18" max="19" width="11" style="42" bestFit="1" customWidth="1"/>
    <col min="20" max="20" width="14.28515625" style="39" customWidth="1"/>
    <col min="21" max="16384" width="19.85546875" style="39"/>
  </cols>
  <sheetData>
    <row r="1" spans="1:20">
      <c r="A1" s="241" t="s">
        <v>229</v>
      </c>
      <c r="B1" s="242" t="s">
        <v>230</v>
      </c>
      <c r="C1" s="243" t="s">
        <v>231</v>
      </c>
      <c r="D1" s="271" t="s">
        <v>3137</v>
      </c>
      <c r="E1" s="272" t="s">
        <v>233</v>
      </c>
      <c r="F1" s="243" t="s">
        <v>234</v>
      </c>
      <c r="G1" s="244" t="s">
        <v>235</v>
      </c>
      <c r="H1" s="244" t="s">
        <v>236</v>
      </c>
      <c r="I1" s="245" t="s">
        <v>237</v>
      </c>
      <c r="J1" s="243" t="s">
        <v>238</v>
      </c>
      <c r="K1" s="246" t="s">
        <v>239</v>
      </c>
      <c r="L1" s="242" t="s">
        <v>240</v>
      </c>
    </row>
    <row r="5" spans="1:20">
      <c r="A5" s="273" t="s">
        <v>229</v>
      </c>
      <c r="B5" s="274" t="s">
        <v>230</v>
      </c>
      <c r="C5" s="275" t="s">
        <v>231</v>
      </c>
      <c r="D5" s="276" t="s">
        <v>3137</v>
      </c>
      <c r="E5" s="277" t="s">
        <v>233</v>
      </c>
      <c r="F5" s="275" t="s">
        <v>234</v>
      </c>
      <c r="G5" s="278" t="s">
        <v>235</v>
      </c>
      <c r="H5" s="278" t="s">
        <v>236</v>
      </c>
      <c r="I5" s="279" t="s">
        <v>237</v>
      </c>
      <c r="J5" s="275" t="s">
        <v>238</v>
      </c>
      <c r="K5" s="246" t="s">
        <v>239</v>
      </c>
      <c r="L5" s="280" t="s">
        <v>240</v>
      </c>
      <c r="Q5" s="269" t="s">
        <v>3136</v>
      </c>
      <c r="R5" s="270" t="s">
        <v>3135</v>
      </c>
      <c r="S5" s="270" t="s">
        <v>3134</v>
      </c>
      <c r="T5" s="270" t="s">
        <v>3133</v>
      </c>
    </row>
    <row r="6" spans="1:20">
      <c r="A6" s="281" t="s">
        <v>855</v>
      </c>
      <c r="B6" s="282" t="s">
        <v>285</v>
      </c>
      <c r="C6" s="283" t="s">
        <v>930</v>
      </c>
      <c r="D6" s="284">
        <v>627494412</v>
      </c>
      <c r="E6" s="285">
        <v>2528249735</v>
      </c>
      <c r="F6" s="283" t="s">
        <v>256</v>
      </c>
      <c r="G6" s="286">
        <v>36186</v>
      </c>
      <c r="H6" s="287" t="str">
        <f t="shared" ref="H6:H69" si="0">CHOOSE(MONTH(G6),"January","February","March","April","May","June","July","August","September","October","November","December")</f>
        <v>January</v>
      </c>
      <c r="I6" s="288">
        <f t="shared" ref="I6:I69" ca="1" si="1">DATEDIF(G6,TODAY(),"Y")</f>
        <v>17</v>
      </c>
      <c r="J6" s="288" t="s">
        <v>257</v>
      </c>
      <c r="K6" s="289">
        <v>58370</v>
      </c>
      <c r="L6" s="290">
        <v>5</v>
      </c>
      <c r="Q6" s="264" t="s">
        <v>3132</v>
      </c>
      <c r="R6" s="265">
        <v>41744</v>
      </c>
      <c r="S6" s="265">
        <v>42264</v>
      </c>
      <c r="T6" s="39">
        <f t="shared" ref="T6:T69" si="2">DATEDIF(R6,S6,"d")</f>
        <v>520</v>
      </c>
    </row>
    <row r="7" spans="1:20">
      <c r="A7" s="291" t="s">
        <v>857</v>
      </c>
      <c r="B7" s="292" t="s">
        <v>245</v>
      </c>
      <c r="C7" s="293" t="s">
        <v>767</v>
      </c>
      <c r="D7" s="294">
        <v>570756015</v>
      </c>
      <c r="E7" s="295">
        <v>2522238535</v>
      </c>
      <c r="F7" s="293" t="s">
        <v>261</v>
      </c>
      <c r="G7" s="296">
        <v>41331</v>
      </c>
      <c r="H7" s="297" t="str">
        <f t="shared" si="0"/>
        <v>February</v>
      </c>
      <c r="I7" s="298">
        <f t="shared" ca="1" si="1"/>
        <v>3</v>
      </c>
      <c r="J7" s="298" t="s">
        <v>262</v>
      </c>
      <c r="K7" s="299">
        <v>49355</v>
      </c>
      <c r="L7" s="300">
        <v>5</v>
      </c>
      <c r="Q7" s="264" t="s">
        <v>3131</v>
      </c>
      <c r="R7" s="265">
        <v>41451</v>
      </c>
      <c r="S7" s="265">
        <v>42156</v>
      </c>
      <c r="T7" s="39">
        <f t="shared" si="2"/>
        <v>705</v>
      </c>
    </row>
    <row r="8" spans="1:20">
      <c r="A8" s="301" t="s">
        <v>416</v>
      </c>
      <c r="B8" s="302" t="s">
        <v>285</v>
      </c>
      <c r="C8" s="303" t="s">
        <v>930</v>
      </c>
      <c r="D8" s="304">
        <v>458734969</v>
      </c>
      <c r="E8" s="305">
        <v>9196354278</v>
      </c>
      <c r="F8" s="303" t="s">
        <v>256</v>
      </c>
      <c r="G8" s="306">
        <v>40638</v>
      </c>
      <c r="H8" s="307" t="str">
        <f t="shared" si="0"/>
        <v>April</v>
      </c>
      <c r="I8" s="308">
        <f t="shared" ca="1" si="1"/>
        <v>5</v>
      </c>
      <c r="J8" s="308" t="s">
        <v>257</v>
      </c>
      <c r="K8" s="309">
        <v>82370</v>
      </c>
      <c r="L8" s="310">
        <v>5</v>
      </c>
      <c r="Q8" s="264" t="s">
        <v>3130</v>
      </c>
      <c r="R8" s="265">
        <v>41121</v>
      </c>
      <c r="S8" s="265">
        <v>41937</v>
      </c>
      <c r="T8" s="39">
        <f t="shared" si="2"/>
        <v>816</v>
      </c>
    </row>
    <row r="9" spans="1:20">
      <c r="A9" s="291" t="s">
        <v>858</v>
      </c>
      <c r="B9" s="292" t="s">
        <v>271</v>
      </c>
      <c r="C9" s="293" t="s">
        <v>465</v>
      </c>
      <c r="D9" s="294">
        <v>931105030</v>
      </c>
      <c r="E9" s="295">
        <v>9191397811</v>
      </c>
      <c r="F9" s="293" t="s">
        <v>256</v>
      </c>
      <c r="G9" s="296">
        <v>37183</v>
      </c>
      <c r="H9" s="297" t="str">
        <f t="shared" si="0"/>
        <v>October</v>
      </c>
      <c r="I9" s="298">
        <f t="shared" ca="1" si="1"/>
        <v>15</v>
      </c>
      <c r="J9" s="298" t="s">
        <v>283</v>
      </c>
      <c r="K9" s="299">
        <v>61330</v>
      </c>
      <c r="L9" s="300">
        <v>4</v>
      </c>
      <c r="Q9" s="264" t="s">
        <v>3129</v>
      </c>
      <c r="R9" s="265">
        <v>41897</v>
      </c>
      <c r="S9" s="265">
        <v>42887</v>
      </c>
      <c r="T9" s="39">
        <f t="shared" si="2"/>
        <v>990</v>
      </c>
    </row>
    <row r="10" spans="1:20">
      <c r="A10" s="301" t="s">
        <v>859</v>
      </c>
      <c r="B10" s="302" t="s">
        <v>245</v>
      </c>
      <c r="C10" s="303" t="s">
        <v>626</v>
      </c>
      <c r="D10" s="304">
        <v>662247915</v>
      </c>
      <c r="E10" s="305">
        <v>9194378387</v>
      </c>
      <c r="F10" s="303" t="s">
        <v>256</v>
      </c>
      <c r="G10" s="306">
        <v>37850</v>
      </c>
      <c r="H10" s="307" t="str">
        <f t="shared" si="0"/>
        <v>August</v>
      </c>
      <c r="I10" s="308">
        <f t="shared" ca="1" si="1"/>
        <v>13</v>
      </c>
      <c r="J10" s="308" t="s">
        <v>257</v>
      </c>
      <c r="K10" s="309">
        <v>48990</v>
      </c>
      <c r="L10" s="310">
        <v>5</v>
      </c>
      <c r="Q10" s="264" t="s">
        <v>3128</v>
      </c>
      <c r="R10" s="265">
        <v>41244</v>
      </c>
      <c r="S10" s="265">
        <v>41661</v>
      </c>
      <c r="T10" s="39">
        <f t="shared" si="2"/>
        <v>417</v>
      </c>
    </row>
    <row r="11" spans="1:20">
      <c r="A11" s="291" t="s">
        <v>617</v>
      </c>
      <c r="B11" s="292" t="s">
        <v>285</v>
      </c>
      <c r="C11" s="293" t="s">
        <v>767</v>
      </c>
      <c r="D11" s="294">
        <v>765512793</v>
      </c>
      <c r="E11" s="295">
        <v>9197686976</v>
      </c>
      <c r="F11" s="293" t="s">
        <v>256</v>
      </c>
      <c r="G11" s="296">
        <v>40774</v>
      </c>
      <c r="H11" s="297" t="str">
        <f t="shared" si="0"/>
        <v>August</v>
      </c>
      <c r="I11" s="298">
        <f t="shared" ca="1" si="1"/>
        <v>5</v>
      </c>
      <c r="J11" s="298" t="s">
        <v>257</v>
      </c>
      <c r="K11" s="299">
        <v>64320</v>
      </c>
      <c r="L11" s="300">
        <v>5</v>
      </c>
      <c r="Q11" s="264" t="s">
        <v>3127</v>
      </c>
      <c r="R11" s="265">
        <v>41580</v>
      </c>
      <c r="S11" s="265">
        <v>42527</v>
      </c>
      <c r="T11" s="39">
        <f t="shared" si="2"/>
        <v>947</v>
      </c>
    </row>
    <row r="12" spans="1:20">
      <c r="A12" s="301" t="s">
        <v>464</v>
      </c>
      <c r="B12" s="302" t="s">
        <v>266</v>
      </c>
      <c r="C12" s="303" t="s">
        <v>930</v>
      </c>
      <c r="D12" s="304">
        <v>626648632</v>
      </c>
      <c r="E12" s="305">
        <v>2526412482</v>
      </c>
      <c r="F12" s="303" t="s">
        <v>247</v>
      </c>
      <c r="G12" s="306">
        <v>38363</v>
      </c>
      <c r="H12" s="307" t="str">
        <f t="shared" si="0"/>
        <v>January</v>
      </c>
      <c r="I12" s="308">
        <f t="shared" ca="1" si="1"/>
        <v>11</v>
      </c>
      <c r="J12" s="308"/>
      <c r="K12" s="309">
        <v>49090</v>
      </c>
      <c r="L12" s="310">
        <v>4</v>
      </c>
      <c r="Q12" s="264" t="s">
        <v>3126</v>
      </c>
      <c r="R12" s="265">
        <v>42155</v>
      </c>
      <c r="S12" s="265">
        <v>43120</v>
      </c>
      <c r="T12" s="39">
        <f t="shared" si="2"/>
        <v>965</v>
      </c>
    </row>
    <row r="13" spans="1:20">
      <c r="A13" s="291" t="s">
        <v>390</v>
      </c>
      <c r="B13" s="292" t="s">
        <v>245</v>
      </c>
      <c r="C13" s="293" t="s">
        <v>1025</v>
      </c>
      <c r="D13" s="294">
        <v>776823797</v>
      </c>
      <c r="E13" s="295">
        <v>9193482736</v>
      </c>
      <c r="F13" s="293" t="s">
        <v>247</v>
      </c>
      <c r="G13" s="296">
        <v>34297</v>
      </c>
      <c r="H13" s="297" t="str">
        <f t="shared" si="0"/>
        <v>November</v>
      </c>
      <c r="I13" s="298">
        <f t="shared" ca="1" si="1"/>
        <v>22</v>
      </c>
      <c r="J13" s="298"/>
      <c r="K13" s="299">
        <v>85510</v>
      </c>
      <c r="L13" s="300">
        <v>4</v>
      </c>
      <c r="Q13" s="264" t="s">
        <v>3125</v>
      </c>
      <c r="R13" s="265">
        <v>42167</v>
      </c>
      <c r="S13" s="265">
        <v>42354</v>
      </c>
      <c r="T13" s="39">
        <f t="shared" si="2"/>
        <v>187</v>
      </c>
    </row>
    <row r="14" spans="1:20">
      <c r="A14" s="301" t="s">
        <v>704</v>
      </c>
      <c r="B14" s="302" t="s">
        <v>245</v>
      </c>
      <c r="C14" s="303" t="s">
        <v>626</v>
      </c>
      <c r="D14" s="304">
        <v>343897392</v>
      </c>
      <c r="E14" s="305">
        <v>2526674988</v>
      </c>
      <c r="F14" s="303" t="s">
        <v>256</v>
      </c>
      <c r="G14" s="306">
        <v>36164</v>
      </c>
      <c r="H14" s="307" t="str">
        <f t="shared" si="0"/>
        <v>January</v>
      </c>
      <c r="I14" s="308">
        <f t="shared" ca="1" si="1"/>
        <v>17</v>
      </c>
      <c r="J14" s="308" t="s">
        <v>257</v>
      </c>
      <c r="K14" s="309">
        <v>48800</v>
      </c>
      <c r="L14" s="310">
        <v>4</v>
      </c>
      <c r="Q14" s="264" t="s">
        <v>3124</v>
      </c>
      <c r="R14" s="265">
        <v>42274</v>
      </c>
      <c r="S14" s="265">
        <v>42889</v>
      </c>
      <c r="T14" s="39">
        <f t="shared" si="2"/>
        <v>615</v>
      </c>
    </row>
    <row r="15" spans="1:20">
      <c r="A15" s="291" t="s">
        <v>860</v>
      </c>
      <c r="B15" s="292" t="s">
        <v>266</v>
      </c>
      <c r="C15" s="293" t="s">
        <v>930</v>
      </c>
      <c r="D15" s="294">
        <v>120224342</v>
      </c>
      <c r="E15" s="295">
        <v>9198986390</v>
      </c>
      <c r="F15" s="293" t="s">
        <v>252</v>
      </c>
      <c r="G15" s="296">
        <v>37368</v>
      </c>
      <c r="H15" s="297" t="str">
        <f t="shared" si="0"/>
        <v>April</v>
      </c>
      <c r="I15" s="298">
        <f t="shared" ca="1" si="1"/>
        <v>14</v>
      </c>
      <c r="J15" s="298"/>
      <c r="K15" s="299">
        <v>32536</v>
      </c>
      <c r="L15" s="300">
        <v>2</v>
      </c>
      <c r="Q15" s="264" t="s">
        <v>3123</v>
      </c>
      <c r="R15" s="265">
        <v>41093</v>
      </c>
      <c r="S15" s="265">
        <v>41580</v>
      </c>
      <c r="T15" s="39">
        <f t="shared" si="2"/>
        <v>487</v>
      </c>
    </row>
    <row r="16" spans="1:20">
      <c r="A16" s="301" t="s">
        <v>766</v>
      </c>
      <c r="B16" s="302" t="s">
        <v>285</v>
      </c>
      <c r="C16" s="303" t="s">
        <v>856</v>
      </c>
      <c r="D16" s="304">
        <v>622200296</v>
      </c>
      <c r="E16" s="305">
        <v>2526306545</v>
      </c>
      <c r="F16" s="303" t="s">
        <v>256</v>
      </c>
      <c r="G16" s="306">
        <v>34595</v>
      </c>
      <c r="H16" s="307" t="str">
        <f t="shared" si="0"/>
        <v>September</v>
      </c>
      <c r="I16" s="308">
        <f t="shared" ca="1" si="1"/>
        <v>22</v>
      </c>
      <c r="J16" s="308" t="s">
        <v>257</v>
      </c>
      <c r="K16" s="309">
        <v>65571</v>
      </c>
      <c r="L16" s="310">
        <v>3</v>
      </c>
      <c r="Q16" s="264" t="s">
        <v>3122</v>
      </c>
      <c r="R16" s="265">
        <v>41998</v>
      </c>
      <c r="S16" s="265">
        <v>42359</v>
      </c>
      <c r="T16" s="39">
        <f t="shared" si="2"/>
        <v>361</v>
      </c>
    </row>
    <row r="17" spans="1:20">
      <c r="A17" s="291" t="s">
        <v>768</v>
      </c>
      <c r="B17" s="292" t="s">
        <v>245</v>
      </c>
      <c r="C17" s="293" t="s">
        <v>930</v>
      </c>
      <c r="D17" s="294">
        <v>247422007</v>
      </c>
      <c r="E17" s="295">
        <v>2528012440</v>
      </c>
      <c r="F17" s="293" t="s">
        <v>247</v>
      </c>
      <c r="G17" s="296">
        <v>37103</v>
      </c>
      <c r="H17" s="297" t="str">
        <f t="shared" si="0"/>
        <v>July</v>
      </c>
      <c r="I17" s="298">
        <f t="shared" ca="1" si="1"/>
        <v>15</v>
      </c>
      <c r="J17" s="298"/>
      <c r="K17" s="299">
        <v>58250</v>
      </c>
      <c r="L17" s="300">
        <v>2</v>
      </c>
      <c r="Q17" s="264" t="s">
        <v>3121</v>
      </c>
      <c r="R17" s="265">
        <v>41874</v>
      </c>
      <c r="S17" s="265">
        <v>42365</v>
      </c>
      <c r="T17" s="39">
        <f t="shared" si="2"/>
        <v>491</v>
      </c>
    </row>
    <row r="18" spans="1:20">
      <c r="A18" s="301" t="s">
        <v>706</v>
      </c>
      <c r="B18" s="302" t="s">
        <v>280</v>
      </c>
      <c r="C18" s="303" t="s">
        <v>930</v>
      </c>
      <c r="D18" s="304">
        <v>651999482</v>
      </c>
      <c r="E18" s="305">
        <v>2523014821</v>
      </c>
      <c r="F18" s="303" t="s">
        <v>256</v>
      </c>
      <c r="G18" s="306">
        <v>40589</v>
      </c>
      <c r="H18" s="307" t="str">
        <f t="shared" si="0"/>
        <v>February</v>
      </c>
      <c r="I18" s="308">
        <f t="shared" ca="1" si="1"/>
        <v>5</v>
      </c>
      <c r="J18" s="308" t="s">
        <v>257</v>
      </c>
      <c r="K18" s="309">
        <v>22820</v>
      </c>
      <c r="L18" s="310">
        <v>5</v>
      </c>
      <c r="Q18" s="264" t="s">
        <v>3120</v>
      </c>
      <c r="R18" s="265">
        <v>42091</v>
      </c>
      <c r="S18" s="265">
        <v>42673</v>
      </c>
      <c r="T18" s="39">
        <f t="shared" si="2"/>
        <v>582</v>
      </c>
    </row>
    <row r="19" spans="1:20">
      <c r="A19" s="291" t="s">
        <v>929</v>
      </c>
      <c r="B19" s="292" t="s">
        <v>285</v>
      </c>
      <c r="C19" s="293" t="s">
        <v>417</v>
      </c>
      <c r="D19" s="294">
        <v>116869057</v>
      </c>
      <c r="E19" s="295">
        <v>2521614846</v>
      </c>
      <c r="F19" s="293" t="s">
        <v>261</v>
      </c>
      <c r="G19" s="296">
        <v>35665</v>
      </c>
      <c r="H19" s="297" t="str">
        <f t="shared" si="0"/>
        <v>August</v>
      </c>
      <c r="I19" s="298">
        <f t="shared" ca="1" si="1"/>
        <v>19</v>
      </c>
      <c r="J19" s="298" t="s">
        <v>267</v>
      </c>
      <c r="K19" s="299">
        <v>15005</v>
      </c>
      <c r="L19" s="300">
        <v>4</v>
      </c>
      <c r="Q19" s="264" t="s">
        <v>3119</v>
      </c>
      <c r="R19" s="265">
        <v>41545</v>
      </c>
      <c r="S19" s="265">
        <v>41984</v>
      </c>
      <c r="T19" s="39">
        <f t="shared" si="2"/>
        <v>439</v>
      </c>
    </row>
    <row r="20" spans="1:20">
      <c r="A20" s="301" t="s">
        <v>677</v>
      </c>
      <c r="B20" s="302" t="s">
        <v>285</v>
      </c>
      <c r="C20" s="303" t="s">
        <v>678</v>
      </c>
      <c r="D20" s="304">
        <v>557568959</v>
      </c>
      <c r="E20" s="305">
        <v>9192783818</v>
      </c>
      <c r="F20" s="303" t="s">
        <v>247</v>
      </c>
      <c r="G20" s="306">
        <v>36357</v>
      </c>
      <c r="H20" s="307" t="str">
        <f t="shared" si="0"/>
        <v>July</v>
      </c>
      <c r="I20" s="308">
        <f t="shared" ca="1" si="1"/>
        <v>17</v>
      </c>
      <c r="J20" s="308"/>
      <c r="K20" s="309">
        <v>54190</v>
      </c>
      <c r="L20" s="310">
        <v>4</v>
      </c>
      <c r="Q20" s="264" t="s">
        <v>3118</v>
      </c>
      <c r="R20" s="265">
        <v>41232</v>
      </c>
      <c r="S20" s="265">
        <v>41726</v>
      </c>
      <c r="T20" s="39">
        <f t="shared" si="2"/>
        <v>494</v>
      </c>
    </row>
    <row r="21" spans="1:20">
      <c r="A21" s="291" t="s">
        <v>769</v>
      </c>
      <c r="B21" s="292" t="s">
        <v>285</v>
      </c>
      <c r="C21" s="293" t="s">
        <v>465</v>
      </c>
      <c r="D21" s="294">
        <v>920477476</v>
      </c>
      <c r="E21" s="295">
        <v>2523162442</v>
      </c>
      <c r="F21" s="293" t="s">
        <v>247</v>
      </c>
      <c r="G21" s="296">
        <v>36095</v>
      </c>
      <c r="H21" s="297" t="str">
        <f t="shared" si="0"/>
        <v>October</v>
      </c>
      <c r="I21" s="298">
        <f t="shared" ca="1" si="1"/>
        <v>18</v>
      </c>
      <c r="J21" s="298"/>
      <c r="K21" s="299">
        <v>24410</v>
      </c>
      <c r="L21" s="300">
        <v>3</v>
      </c>
      <c r="Q21" s="264" t="s">
        <v>3117</v>
      </c>
      <c r="R21" s="265">
        <v>41562</v>
      </c>
      <c r="S21" s="265">
        <v>41730</v>
      </c>
      <c r="T21" s="39">
        <f t="shared" si="2"/>
        <v>168</v>
      </c>
    </row>
    <row r="22" spans="1:20">
      <c r="A22" s="301" t="s">
        <v>466</v>
      </c>
      <c r="B22" s="302" t="s">
        <v>271</v>
      </c>
      <c r="C22" s="303" t="s">
        <v>930</v>
      </c>
      <c r="D22" s="304">
        <v>916944119</v>
      </c>
      <c r="E22" s="305">
        <v>2524907564</v>
      </c>
      <c r="F22" s="303" t="s">
        <v>247</v>
      </c>
      <c r="G22" s="306">
        <v>38009</v>
      </c>
      <c r="H22" s="307" t="str">
        <f t="shared" si="0"/>
        <v>January</v>
      </c>
      <c r="I22" s="308">
        <f t="shared" ca="1" si="1"/>
        <v>12</v>
      </c>
      <c r="J22" s="308"/>
      <c r="K22" s="309">
        <v>28270</v>
      </c>
      <c r="L22" s="310">
        <v>5</v>
      </c>
      <c r="Q22" s="264" t="s">
        <v>3116</v>
      </c>
      <c r="R22" s="265">
        <v>40963</v>
      </c>
      <c r="S22" s="265">
        <v>41219</v>
      </c>
      <c r="T22" s="39">
        <f t="shared" si="2"/>
        <v>256</v>
      </c>
    </row>
    <row r="23" spans="1:20">
      <c r="A23" s="291" t="s">
        <v>770</v>
      </c>
      <c r="B23" s="292" t="s">
        <v>271</v>
      </c>
      <c r="C23" s="293" t="s">
        <v>705</v>
      </c>
      <c r="D23" s="294">
        <v>972086665</v>
      </c>
      <c r="E23" s="295">
        <v>2526007063</v>
      </c>
      <c r="F23" s="293" t="s">
        <v>256</v>
      </c>
      <c r="G23" s="296">
        <v>39137</v>
      </c>
      <c r="H23" s="297" t="str">
        <f t="shared" si="0"/>
        <v>February</v>
      </c>
      <c r="I23" s="298">
        <f t="shared" ca="1" si="1"/>
        <v>9</v>
      </c>
      <c r="J23" s="298" t="s">
        <v>283</v>
      </c>
      <c r="K23" s="299">
        <v>86200</v>
      </c>
      <c r="L23" s="300">
        <v>3</v>
      </c>
      <c r="Q23" s="264" t="s">
        <v>3115</v>
      </c>
      <c r="R23" s="265">
        <v>42367</v>
      </c>
      <c r="S23" s="265">
        <v>43317</v>
      </c>
      <c r="T23" s="39">
        <f t="shared" si="2"/>
        <v>950</v>
      </c>
    </row>
    <row r="24" spans="1:20">
      <c r="A24" s="301" t="s">
        <v>771</v>
      </c>
      <c r="B24" s="302" t="s">
        <v>280</v>
      </c>
      <c r="C24" s="303" t="s">
        <v>372</v>
      </c>
      <c r="D24" s="304">
        <v>676831149</v>
      </c>
      <c r="E24" s="305">
        <v>9192824485</v>
      </c>
      <c r="F24" s="303" t="s">
        <v>256</v>
      </c>
      <c r="G24" s="306">
        <v>40298</v>
      </c>
      <c r="H24" s="307" t="str">
        <f t="shared" si="0"/>
        <v>April</v>
      </c>
      <c r="I24" s="308">
        <f t="shared" ca="1" si="1"/>
        <v>6</v>
      </c>
      <c r="J24" s="308" t="s">
        <v>257</v>
      </c>
      <c r="K24" s="309">
        <v>71120</v>
      </c>
      <c r="L24" s="310">
        <v>4</v>
      </c>
      <c r="Q24" s="264" t="s">
        <v>3114</v>
      </c>
      <c r="R24" s="265">
        <v>42127</v>
      </c>
      <c r="S24" s="265">
        <v>42856</v>
      </c>
      <c r="T24" s="39">
        <f t="shared" si="2"/>
        <v>729</v>
      </c>
    </row>
    <row r="25" spans="1:20">
      <c r="A25" s="291" t="s">
        <v>861</v>
      </c>
      <c r="B25" s="292" t="s">
        <v>271</v>
      </c>
      <c r="C25" s="293" t="s">
        <v>456</v>
      </c>
      <c r="D25" s="294">
        <v>244171882</v>
      </c>
      <c r="E25" s="295">
        <v>2527577867</v>
      </c>
      <c r="F25" s="293" t="s">
        <v>261</v>
      </c>
      <c r="G25" s="296">
        <v>35311</v>
      </c>
      <c r="H25" s="297" t="str">
        <f t="shared" si="0"/>
        <v>September</v>
      </c>
      <c r="I25" s="298">
        <f t="shared" ca="1" si="1"/>
        <v>20</v>
      </c>
      <c r="J25" s="298" t="s">
        <v>267</v>
      </c>
      <c r="K25" s="299">
        <v>89780</v>
      </c>
      <c r="L25" s="300">
        <v>4</v>
      </c>
      <c r="Q25" s="264" t="s">
        <v>3113</v>
      </c>
      <c r="R25" s="265">
        <v>41357</v>
      </c>
      <c r="S25" s="265">
        <v>42059</v>
      </c>
      <c r="T25" s="39">
        <f t="shared" si="2"/>
        <v>702</v>
      </c>
    </row>
    <row r="26" spans="1:20">
      <c r="A26" s="301" t="s">
        <v>772</v>
      </c>
      <c r="B26" s="302" t="s">
        <v>271</v>
      </c>
      <c r="C26" s="303" t="s">
        <v>465</v>
      </c>
      <c r="D26" s="304">
        <v>592631929</v>
      </c>
      <c r="E26" s="305">
        <v>2523922629</v>
      </c>
      <c r="F26" s="303" t="s">
        <v>247</v>
      </c>
      <c r="G26" s="306">
        <v>36259</v>
      </c>
      <c r="H26" s="307" t="str">
        <f t="shared" si="0"/>
        <v>April</v>
      </c>
      <c r="I26" s="308">
        <f t="shared" ca="1" si="1"/>
        <v>17</v>
      </c>
      <c r="J26" s="308"/>
      <c r="K26" s="309">
        <v>52940</v>
      </c>
      <c r="L26" s="310">
        <v>4</v>
      </c>
      <c r="Q26" s="264" t="s">
        <v>3112</v>
      </c>
      <c r="R26" s="265">
        <v>42226</v>
      </c>
      <c r="S26" s="265">
        <v>42476</v>
      </c>
      <c r="T26" s="39">
        <f t="shared" si="2"/>
        <v>250</v>
      </c>
    </row>
    <row r="27" spans="1:20">
      <c r="A27" s="291" t="s">
        <v>467</v>
      </c>
      <c r="B27" s="292" t="s">
        <v>266</v>
      </c>
      <c r="C27" s="293" t="s">
        <v>272</v>
      </c>
      <c r="D27" s="294">
        <v>456946966</v>
      </c>
      <c r="E27" s="295">
        <v>9194680033</v>
      </c>
      <c r="F27" s="293" t="s">
        <v>256</v>
      </c>
      <c r="G27" s="296">
        <v>37674</v>
      </c>
      <c r="H27" s="297" t="str">
        <f t="shared" si="0"/>
        <v>February</v>
      </c>
      <c r="I27" s="298">
        <f t="shared" ca="1" si="1"/>
        <v>13</v>
      </c>
      <c r="J27" s="298" t="s">
        <v>276</v>
      </c>
      <c r="K27" s="299">
        <v>74840</v>
      </c>
      <c r="L27" s="300">
        <v>4</v>
      </c>
      <c r="Q27" s="264" t="s">
        <v>3111</v>
      </c>
      <c r="R27" s="265">
        <v>41965</v>
      </c>
      <c r="S27" s="265">
        <v>42294</v>
      </c>
      <c r="T27" s="39">
        <f t="shared" si="2"/>
        <v>329</v>
      </c>
    </row>
    <row r="28" spans="1:20">
      <c r="A28" s="301" t="s">
        <v>1024</v>
      </c>
      <c r="B28" s="302" t="s">
        <v>285</v>
      </c>
      <c r="C28" s="303" t="s">
        <v>312</v>
      </c>
      <c r="D28" s="304">
        <v>496260023</v>
      </c>
      <c r="E28" s="305">
        <v>2523962015</v>
      </c>
      <c r="F28" s="303" t="s">
        <v>256</v>
      </c>
      <c r="G28" s="306">
        <v>35384</v>
      </c>
      <c r="H28" s="307" t="str">
        <f t="shared" si="0"/>
        <v>November</v>
      </c>
      <c r="I28" s="308">
        <f t="shared" ca="1" si="1"/>
        <v>19</v>
      </c>
      <c r="J28" s="308" t="s">
        <v>262</v>
      </c>
      <c r="K28" s="309">
        <v>74670</v>
      </c>
      <c r="L28" s="310">
        <v>5</v>
      </c>
      <c r="Q28" s="264" t="s">
        <v>3110</v>
      </c>
      <c r="R28" s="265">
        <v>42168</v>
      </c>
      <c r="S28" s="265">
        <v>42378</v>
      </c>
      <c r="T28" s="39">
        <f t="shared" si="2"/>
        <v>210</v>
      </c>
    </row>
    <row r="29" spans="1:20">
      <c r="A29" s="291" t="s">
        <v>392</v>
      </c>
      <c r="B29" s="292" t="s">
        <v>245</v>
      </c>
      <c r="C29" s="293" t="s">
        <v>930</v>
      </c>
      <c r="D29" s="294">
        <v>877574472</v>
      </c>
      <c r="E29" s="295">
        <v>2524100997</v>
      </c>
      <c r="F29" s="293" t="s">
        <v>247</v>
      </c>
      <c r="G29" s="296">
        <v>34311</v>
      </c>
      <c r="H29" s="297" t="str">
        <f t="shared" si="0"/>
        <v>December</v>
      </c>
      <c r="I29" s="298">
        <f t="shared" ca="1" si="1"/>
        <v>22</v>
      </c>
      <c r="J29" s="298"/>
      <c r="K29" s="299">
        <v>34680</v>
      </c>
      <c r="L29" s="300">
        <v>5</v>
      </c>
      <c r="Q29" s="264" t="s">
        <v>3109</v>
      </c>
      <c r="R29" s="265">
        <v>41486</v>
      </c>
      <c r="S29" s="265">
        <v>42460</v>
      </c>
      <c r="T29" s="39">
        <f t="shared" si="2"/>
        <v>974</v>
      </c>
    </row>
    <row r="30" spans="1:20">
      <c r="A30" s="301" t="s">
        <v>862</v>
      </c>
      <c r="B30" s="302" t="s">
        <v>245</v>
      </c>
      <c r="C30" s="303" t="s">
        <v>767</v>
      </c>
      <c r="D30" s="304">
        <v>502200672</v>
      </c>
      <c r="E30" s="305">
        <v>2527925201</v>
      </c>
      <c r="F30" s="303" t="s">
        <v>247</v>
      </c>
      <c r="G30" s="306">
        <v>41320</v>
      </c>
      <c r="H30" s="307" t="str">
        <f t="shared" si="0"/>
        <v>February</v>
      </c>
      <c r="I30" s="308">
        <f t="shared" ca="1" si="1"/>
        <v>3</v>
      </c>
      <c r="J30" s="308"/>
      <c r="K30" s="309">
        <v>57680</v>
      </c>
      <c r="L30" s="310">
        <v>4</v>
      </c>
      <c r="Q30" s="264" t="s">
        <v>3108</v>
      </c>
      <c r="R30" s="265">
        <v>42107</v>
      </c>
      <c r="S30" s="265">
        <v>42595</v>
      </c>
      <c r="T30" s="39">
        <f t="shared" si="2"/>
        <v>488</v>
      </c>
    </row>
    <row r="31" spans="1:20">
      <c r="A31" s="291" t="s">
        <v>679</v>
      </c>
      <c r="B31" s="292" t="s">
        <v>271</v>
      </c>
      <c r="C31" s="293" t="s">
        <v>296</v>
      </c>
      <c r="D31" s="294">
        <v>243350742</v>
      </c>
      <c r="E31" s="295">
        <v>2528304204</v>
      </c>
      <c r="F31" s="293" t="s">
        <v>252</v>
      </c>
      <c r="G31" s="296">
        <v>36584</v>
      </c>
      <c r="H31" s="297" t="str">
        <f t="shared" si="0"/>
        <v>February</v>
      </c>
      <c r="I31" s="298">
        <f t="shared" ca="1" si="1"/>
        <v>16</v>
      </c>
      <c r="J31" s="298"/>
      <c r="K31" s="299">
        <v>20028</v>
      </c>
      <c r="L31" s="300">
        <v>4</v>
      </c>
      <c r="Q31" s="264" t="s">
        <v>3107</v>
      </c>
      <c r="R31" s="265">
        <v>41080</v>
      </c>
      <c r="S31" s="265">
        <v>42047</v>
      </c>
      <c r="T31" s="39">
        <f t="shared" si="2"/>
        <v>967</v>
      </c>
    </row>
    <row r="32" spans="1:20">
      <c r="A32" s="301" t="s">
        <v>707</v>
      </c>
      <c r="B32" s="302" t="s">
        <v>245</v>
      </c>
      <c r="C32" s="303" t="s">
        <v>312</v>
      </c>
      <c r="D32" s="304">
        <v>936730279</v>
      </c>
      <c r="E32" s="305">
        <v>2528033253</v>
      </c>
      <c r="F32" s="303" t="s">
        <v>261</v>
      </c>
      <c r="G32" s="306">
        <v>36427</v>
      </c>
      <c r="H32" s="307" t="str">
        <f t="shared" si="0"/>
        <v>September</v>
      </c>
      <c r="I32" s="308">
        <f t="shared" ca="1" si="1"/>
        <v>17</v>
      </c>
      <c r="J32" s="308" t="s">
        <v>267</v>
      </c>
      <c r="K32" s="309">
        <v>48415</v>
      </c>
      <c r="L32" s="310">
        <v>4</v>
      </c>
      <c r="Q32" s="264" t="s">
        <v>3106</v>
      </c>
      <c r="R32" s="265">
        <v>42344</v>
      </c>
      <c r="S32" s="265">
        <v>42697</v>
      </c>
      <c r="T32" s="39">
        <f t="shared" si="2"/>
        <v>353</v>
      </c>
    </row>
    <row r="33" spans="1:20">
      <c r="A33" s="291" t="s">
        <v>708</v>
      </c>
      <c r="B33" s="292" t="s">
        <v>280</v>
      </c>
      <c r="C33" s="293" t="s">
        <v>465</v>
      </c>
      <c r="D33" s="294">
        <v>725737456</v>
      </c>
      <c r="E33" s="295">
        <v>9191847141</v>
      </c>
      <c r="F33" s="293" t="s">
        <v>247</v>
      </c>
      <c r="G33" s="296">
        <v>39784</v>
      </c>
      <c r="H33" s="297" t="str">
        <f t="shared" si="0"/>
        <v>December</v>
      </c>
      <c r="I33" s="298">
        <f t="shared" ca="1" si="1"/>
        <v>7</v>
      </c>
      <c r="J33" s="298"/>
      <c r="K33" s="299">
        <v>59330</v>
      </c>
      <c r="L33" s="300">
        <v>4</v>
      </c>
      <c r="Q33" s="264" t="s">
        <v>3105</v>
      </c>
      <c r="R33" s="265">
        <v>41159</v>
      </c>
      <c r="S33" s="265">
        <v>41692</v>
      </c>
      <c r="T33" s="39">
        <f t="shared" si="2"/>
        <v>533</v>
      </c>
    </row>
    <row r="34" spans="1:20">
      <c r="A34" s="301" t="s">
        <v>468</v>
      </c>
      <c r="B34" s="302" t="s">
        <v>271</v>
      </c>
      <c r="C34" s="303" t="s">
        <v>767</v>
      </c>
      <c r="D34" s="304">
        <v>737152868</v>
      </c>
      <c r="E34" s="305">
        <v>9191124357</v>
      </c>
      <c r="F34" s="303" t="s">
        <v>256</v>
      </c>
      <c r="G34" s="306">
        <v>37583</v>
      </c>
      <c r="H34" s="307" t="str">
        <f t="shared" si="0"/>
        <v>November</v>
      </c>
      <c r="I34" s="308">
        <f t="shared" ca="1" si="1"/>
        <v>13</v>
      </c>
      <c r="J34" s="308" t="s">
        <v>276</v>
      </c>
      <c r="K34" s="309">
        <v>48330</v>
      </c>
      <c r="L34" s="310">
        <v>1</v>
      </c>
      <c r="Q34" s="264" t="s">
        <v>3104</v>
      </c>
      <c r="R34" s="265">
        <v>41850</v>
      </c>
      <c r="S34" s="265">
        <v>42124</v>
      </c>
      <c r="T34" s="39">
        <f t="shared" si="2"/>
        <v>274</v>
      </c>
    </row>
    <row r="35" spans="1:20">
      <c r="A35" s="291" t="s">
        <v>773</v>
      </c>
      <c r="B35" s="292" t="s">
        <v>285</v>
      </c>
      <c r="C35" s="293" t="s">
        <v>930</v>
      </c>
      <c r="D35" s="294">
        <v>970466937</v>
      </c>
      <c r="E35" s="295">
        <v>9192042331</v>
      </c>
      <c r="F35" s="293" t="s">
        <v>247</v>
      </c>
      <c r="G35" s="296">
        <v>34405</v>
      </c>
      <c r="H35" s="297" t="str">
        <f t="shared" si="0"/>
        <v>March</v>
      </c>
      <c r="I35" s="298">
        <f t="shared" ca="1" si="1"/>
        <v>22</v>
      </c>
      <c r="J35" s="298"/>
      <c r="K35" s="299">
        <v>62480</v>
      </c>
      <c r="L35" s="300">
        <v>5</v>
      </c>
      <c r="Q35" s="264" t="s">
        <v>3103</v>
      </c>
      <c r="R35" s="265">
        <v>42178</v>
      </c>
      <c r="S35" s="265">
        <v>42855</v>
      </c>
      <c r="T35" s="39">
        <f t="shared" si="2"/>
        <v>677</v>
      </c>
    </row>
    <row r="36" spans="1:20">
      <c r="A36" s="301" t="s">
        <v>863</v>
      </c>
      <c r="B36" s="302" t="s">
        <v>285</v>
      </c>
      <c r="C36" s="303" t="s">
        <v>930</v>
      </c>
      <c r="D36" s="304">
        <v>546546374</v>
      </c>
      <c r="E36" s="305">
        <v>9192727944</v>
      </c>
      <c r="F36" s="303" t="s">
        <v>261</v>
      </c>
      <c r="G36" s="306">
        <v>37372</v>
      </c>
      <c r="H36" s="307" t="str">
        <f t="shared" si="0"/>
        <v>April</v>
      </c>
      <c r="I36" s="308">
        <f t="shared" ca="1" si="1"/>
        <v>14</v>
      </c>
      <c r="J36" s="308" t="s">
        <v>283</v>
      </c>
      <c r="K36" s="309">
        <v>26185</v>
      </c>
      <c r="L36" s="310">
        <v>5</v>
      </c>
      <c r="Q36" s="264" t="s">
        <v>3102</v>
      </c>
      <c r="R36" s="265">
        <v>42209</v>
      </c>
      <c r="S36" s="265">
        <v>43021</v>
      </c>
      <c r="T36" s="39">
        <f t="shared" si="2"/>
        <v>812</v>
      </c>
    </row>
    <row r="37" spans="1:20">
      <c r="A37" s="291" t="s">
        <v>410</v>
      </c>
      <c r="B37" s="292" t="s">
        <v>271</v>
      </c>
      <c r="C37" s="293" t="s">
        <v>465</v>
      </c>
      <c r="D37" s="294">
        <v>984570981</v>
      </c>
      <c r="E37" s="295">
        <v>2528155179</v>
      </c>
      <c r="F37" s="293" t="s">
        <v>261</v>
      </c>
      <c r="G37" s="296">
        <v>37179</v>
      </c>
      <c r="H37" s="297" t="str">
        <f t="shared" si="0"/>
        <v>October</v>
      </c>
      <c r="I37" s="298">
        <f t="shared" ca="1" si="1"/>
        <v>15</v>
      </c>
      <c r="J37" s="298" t="s">
        <v>283</v>
      </c>
      <c r="K37" s="299">
        <v>48190</v>
      </c>
      <c r="L37" s="300">
        <v>1</v>
      </c>
      <c r="Q37" s="264" t="s">
        <v>3101</v>
      </c>
      <c r="R37" s="265">
        <v>41527</v>
      </c>
      <c r="S37" s="265">
        <v>41755</v>
      </c>
      <c r="T37" s="39">
        <f t="shared" si="2"/>
        <v>228</v>
      </c>
    </row>
    <row r="38" spans="1:20">
      <c r="A38" s="301" t="s">
        <v>625</v>
      </c>
      <c r="B38" s="302" t="s">
        <v>280</v>
      </c>
      <c r="C38" s="303" t="s">
        <v>678</v>
      </c>
      <c r="D38" s="304">
        <v>247555666</v>
      </c>
      <c r="E38" s="305">
        <v>2528183445</v>
      </c>
      <c r="F38" s="303" t="s">
        <v>256</v>
      </c>
      <c r="G38" s="306">
        <v>34527</v>
      </c>
      <c r="H38" s="307" t="str">
        <f t="shared" si="0"/>
        <v>July</v>
      </c>
      <c r="I38" s="308">
        <f t="shared" ca="1" si="1"/>
        <v>22</v>
      </c>
      <c r="J38" s="308" t="s">
        <v>257</v>
      </c>
      <c r="K38" s="309">
        <v>39110</v>
      </c>
      <c r="L38" s="310">
        <v>5</v>
      </c>
      <c r="Q38" s="264" t="s">
        <v>3100</v>
      </c>
      <c r="R38" s="265">
        <v>42296</v>
      </c>
      <c r="S38" s="265">
        <v>43065</v>
      </c>
      <c r="T38" s="39">
        <f t="shared" si="2"/>
        <v>769</v>
      </c>
    </row>
    <row r="39" spans="1:20">
      <c r="A39" s="291" t="s">
        <v>931</v>
      </c>
      <c r="B39" s="292" t="s">
        <v>285</v>
      </c>
      <c r="C39" s="293" t="s">
        <v>312</v>
      </c>
      <c r="D39" s="294">
        <v>870106287</v>
      </c>
      <c r="E39" s="295">
        <v>2528611970</v>
      </c>
      <c r="F39" s="293" t="s">
        <v>261</v>
      </c>
      <c r="G39" s="296">
        <v>35458</v>
      </c>
      <c r="H39" s="297" t="str">
        <f t="shared" si="0"/>
        <v>January</v>
      </c>
      <c r="I39" s="298">
        <f t="shared" ca="1" si="1"/>
        <v>19</v>
      </c>
      <c r="J39" s="298" t="s">
        <v>276</v>
      </c>
      <c r="K39" s="299">
        <v>38920</v>
      </c>
      <c r="L39" s="300">
        <v>4</v>
      </c>
      <c r="Q39" s="264" t="s">
        <v>3099</v>
      </c>
      <c r="R39" s="265">
        <v>41695</v>
      </c>
      <c r="S39" s="265">
        <v>42193</v>
      </c>
      <c r="T39" s="39">
        <f t="shared" si="2"/>
        <v>498</v>
      </c>
    </row>
    <row r="40" spans="1:20">
      <c r="A40" s="301" t="s">
        <v>469</v>
      </c>
      <c r="B40" s="302" t="s">
        <v>245</v>
      </c>
      <c r="C40" s="303" t="s">
        <v>618</v>
      </c>
      <c r="D40" s="304">
        <v>620072502</v>
      </c>
      <c r="E40" s="305">
        <v>9191264013</v>
      </c>
      <c r="F40" s="303" t="s">
        <v>256</v>
      </c>
      <c r="G40" s="306">
        <v>39948</v>
      </c>
      <c r="H40" s="307" t="str">
        <f t="shared" si="0"/>
        <v>May</v>
      </c>
      <c r="I40" s="308">
        <f t="shared" ca="1" si="1"/>
        <v>7</v>
      </c>
      <c r="J40" s="308" t="s">
        <v>276</v>
      </c>
      <c r="K40" s="309">
        <v>71400</v>
      </c>
      <c r="L40" s="310">
        <v>4</v>
      </c>
      <c r="Q40" s="264" t="s">
        <v>3098</v>
      </c>
      <c r="R40" s="265">
        <v>41352</v>
      </c>
      <c r="S40" s="265">
        <v>42083</v>
      </c>
      <c r="T40" s="39">
        <f t="shared" si="2"/>
        <v>731</v>
      </c>
    </row>
    <row r="41" spans="1:20">
      <c r="A41" s="291" t="s">
        <v>749</v>
      </c>
      <c r="B41" s="292" t="s">
        <v>245</v>
      </c>
      <c r="C41" s="293" t="s">
        <v>465</v>
      </c>
      <c r="D41" s="294">
        <v>416394493</v>
      </c>
      <c r="E41" s="295">
        <v>2525228252</v>
      </c>
      <c r="F41" s="293" t="s">
        <v>256</v>
      </c>
      <c r="G41" s="296">
        <v>36848</v>
      </c>
      <c r="H41" s="297" t="str">
        <f t="shared" si="0"/>
        <v>November</v>
      </c>
      <c r="I41" s="298">
        <f t="shared" ca="1" si="1"/>
        <v>15</v>
      </c>
      <c r="J41" s="298" t="s">
        <v>267</v>
      </c>
      <c r="K41" s="299">
        <v>55450</v>
      </c>
      <c r="L41" s="300">
        <v>5</v>
      </c>
      <c r="Q41" s="264" t="s">
        <v>3097</v>
      </c>
      <c r="R41" s="265">
        <v>41195</v>
      </c>
      <c r="S41" s="265">
        <v>41650</v>
      </c>
      <c r="T41" s="39">
        <f t="shared" si="2"/>
        <v>455</v>
      </c>
    </row>
    <row r="42" spans="1:20">
      <c r="A42" s="301" t="s">
        <v>751</v>
      </c>
      <c r="B42" s="302" t="s">
        <v>280</v>
      </c>
      <c r="C42" s="303" t="s">
        <v>767</v>
      </c>
      <c r="D42" s="304">
        <v>445693854</v>
      </c>
      <c r="E42" s="305">
        <v>9192891217</v>
      </c>
      <c r="F42" s="303" t="s">
        <v>247</v>
      </c>
      <c r="G42" s="306">
        <v>35825</v>
      </c>
      <c r="H42" s="307" t="str">
        <f t="shared" si="0"/>
        <v>January</v>
      </c>
      <c r="I42" s="308">
        <f t="shared" ca="1" si="1"/>
        <v>18</v>
      </c>
      <c r="J42" s="308"/>
      <c r="K42" s="309">
        <v>76870</v>
      </c>
      <c r="L42" s="310">
        <v>5</v>
      </c>
      <c r="Q42" s="264" t="s">
        <v>3096</v>
      </c>
      <c r="R42" s="265">
        <v>41438</v>
      </c>
      <c r="S42" s="265">
        <v>41599</v>
      </c>
      <c r="T42" s="39">
        <f t="shared" si="2"/>
        <v>161</v>
      </c>
    </row>
    <row r="43" spans="1:20">
      <c r="A43" s="291" t="s">
        <v>418</v>
      </c>
      <c r="B43" s="292" t="s">
        <v>245</v>
      </c>
      <c r="C43" s="293" t="s">
        <v>767</v>
      </c>
      <c r="D43" s="294">
        <v>217968415</v>
      </c>
      <c r="E43" s="295">
        <v>2522814530</v>
      </c>
      <c r="F43" s="293" t="s">
        <v>256</v>
      </c>
      <c r="G43" s="296">
        <v>36731</v>
      </c>
      <c r="H43" s="297" t="str">
        <f t="shared" si="0"/>
        <v>July</v>
      </c>
      <c r="I43" s="298">
        <f t="shared" ca="1" si="1"/>
        <v>16</v>
      </c>
      <c r="J43" s="298" t="s">
        <v>267</v>
      </c>
      <c r="K43" s="299">
        <v>22870</v>
      </c>
      <c r="L43" s="300">
        <v>3</v>
      </c>
      <c r="Q43" s="264" t="s">
        <v>3095</v>
      </c>
      <c r="R43" s="265">
        <v>40930</v>
      </c>
      <c r="S43" s="265">
        <v>41779</v>
      </c>
      <c r="T43" s="39">
        <f t="shared" si="2"/>
        <v>849</v>
      </c>
    </row>
    <row r="44" spans="1:20">
      <c r="A44" s="301" t="s">
        <v>470</v>
      </c>
      <c r="B44" s="302" t="s">
        <v>271</v>
      </c>
      <c r="C44" s="303" t="s">
        <v>465</v>
      </c>
      <c r="D44" s="304">
        <v>806508287</v>
      </c>
      <c r="E44" s="305">
        <v>2528801464</v>
      </c>
      <c r="F44" s="303" t="s">
        <v>256</v>
      </c>
      <c r="G44" s="306">
        <v>34541</v>
      </c>
      <c r="H44" s="307" t="str">
        <f t="shared" si="0"/>
        <v>July</v>
      </c>
      <c r="I44" s="308">
        <f t="shared" ca="1" si="1"/>
        <v>22</v>
      </c>
      <c r="J44" s="308" t="s">
        <v>257</v>
      </c>
      <c r="K44" s="309">
        <v>52940</v>
      </c>
      <c r="L44" s="310">
        <v>4</v>
      </c>
      <c r="Q44" s="264" t="s">
        <v>3094</v>
      </c>
      <c r="R44" s="265">
        <v>41582</v>
      </c>
      <c r="S44" s="265">
        <v>41930</v>
      </c>
      <c r="T44" s="39">
        <f t="shared" si="2"/>
        <v>348</v>
      </c>
    </row>
    <row r="45" spans="1:20">
      <c r="A45" s="291" t="s">
        <v>709</v>
      </c>
      <c r="B45" s="292" t="s">
        <v>271</v>
      </c>
      <c r="C45" s="293" t="s">
        <v>312</v>
      </c>
      <c r="D45" s="294">
        <v>627678686</v>
      </c>
      <c r="E45" s="295">
        <v>2526101454</v>
      </c>
      <c r="F45" s="293" t="s">
        <v>247</v>
      </c>
      <c r="G45" s="296">
        <v>36415</v>
      </c>
      <c r="H45" s="297" t="str">
        <f t="shared" si="0"/>
        <v>September</v>
      </c>
      <c r="I45" s="298">
        <f t="shared" ca="1" si="1"/>
        <v>17</v>
      </c>
      <c r="J45" s="298"/>
      <c r="K45" s="299">
        <v>74740</v>
      </c>
      <c r="L45" s="300">
        <v>5</v>
      </c>
      <c r="Q45" s="264" t="s">
        <v>3093</v>
      </c>
      <c r="R45" s="265">
        <v>42176</v>
      </c>
      <c r="S45" s="265">
        <v>43095</v>
      </c>
      <c r="T45" s="39">
        <f t="shared" si="2"/>
        <v>919</v>
      </c>
    </row>
    <row r="46" spans="1:20">
      <c r="A46" s="301" t="s">
        <v>471</v>
      </c>
      <c r="B46" s="302" t="s">
        <v>271</v>
      </c>
      <c r="C46" s="303" t="s">
        <v>767</v>
      </c>
      <c r="D46" s="304">
        <v>505680981</v>
      </c>
      <c r="E46" s="305">
        <v>2527557761</v>
      </c>
      <c r="F46" s="303" t="s">
        <v>256</v>
      </c>
      <c r="G46" s="306">
        <v>38048</v>
      </c>
      <c r="H46" s="307" t="str">
        <f t="shared" si="0"/>
        <v>March</v>
      </c>
      <c r="I46" s="308">
        <f t="shared" ca="1" si="1"/>
        <v>12</v>
      </c>
      <c r="J46" s="308" t="s">
        <v>257</v>
      </c>
      <c r="K46" s="309">
        <v>29130</v>
      </c>
      <c r="L46" s="310">
        <v>1</v>
      </c>
      <c r="Q46" s="264" t="s">
        <v>3092</v>
      </c>
      <c r="R46" s="265">
        <v>41322</v>
      </c>
      <c r="S46" s="265">
        <v>41643</v>
      </c>
      <c r="T46" s="39">
        <f t="shared" si="2"/>
        <v>321</v>
      </c>
    </row>
    <row r="47" spans="1:20">
      <c r="A47" s="291" t="s">
        <v>774</v>
      </c>
      <c r="B47" s="292" t="s">
        <v>271</v>
      </c>
      <c r="C47" s="293" t="s">
        <v>856</v>
      </c>
      <c r="D47" s="294">
        <v>709234421</v>
      </c>
      <c r="E47" s="295">
        <v>2523838954</v>
      </c>
      <c r="F47" s="293" t="s">
        <v>256</v>
      </c>
      <c r="G47" s="296">
        <v>35664</v>
      </c>
      <c r="H47" s="297" t="str">
        <f t="shared" si="0"/>
        <v>August</v>
      </c>
      <c r="I47" s="298">
        <f t="shared" ca="1" si="1"/>
        <v>19</v>
      </c>
      <c r="J47" s="298" t="s">
        <v>257</v>
      </c>
      <c r="K47" s="299">
        <v>39000</v>
      </c>
      <c r="L47" s="300">
        <v>5</v>
      </c>
      <c r="Q47" s="264" t="s">
        <v>3091</v>
      </c>
      <c r="R47" s="265">
        <v>42352</v>
      </c>
      <c r="S47" s="265">
        <v>42896</v>
      </c>
      <c r="T47" s="39">
        <f t="shared" si="2"/>
        <v>544</v>
      </c>
    </row>
    <row r="48" spans="1:20">
      <c r="A48" s="301" t="s">
        <v>932</v>
      </c>
      <c r="B48" s="302" t="s">
        <v>245</v>
      </c>
      <c r="C48" s="303" t="s">
        <v>391</v>
      </c>
      <c r="D48" s="304">
        <v>719937584</v>
      </c>
      <c r="E48" s="305">
        <v>9191653055</v>
      </c>
      <c r="F48" s="303" t="s">
        <v>256</v>
      </c>
      <c r="G48" s="306">
        <v>34357</v>
      </c>
      <c r="H48" s="307" t="str">
        <f t="shared" si="0"/>
        <v>January</v>
      </c>
      <c r="I48" s="308">
        <f t="shared" ca="1" si="1"/>
        <v>22</v>
      </c>
      <c r="J48" s="308" t="s">
        <v>283</v>
      </c>
      <c r="K48" s="309">
        <v>37620</v>
      </c>
      <c r="L48" s="310">
        <v>5</v>
      </c>
      <c r="Q48" s="264" t="s">
        <v>3090</v>
      </c>
      <c r="R48" s="265">
        <v>41212</v>
      </c>
      <c r="S48" s="265">
        <v>41343</v>
      </c>
      <c r="T48" s="39">
        <f t="shared" si="2"/>
        <v>131</v>
      </c>
    </row>
    <row r="49" spans="1:20">
      <c r="A49" s="291" t="s">
        <v>933</v>
      </c>
      <c r="B49" s="292" t="s">
        <v>271</v>
      </c>
      <c r="C49" s="293" t="s">
        <v>856</v>
      </c>
      <c r="D49" s="294">
        <v>180832423</v>
      </c>
      <c r="E49" s="295">
        <v>9198097539</v>
      </c>
      <c r="F49" s="293" t="s">
        <v>256</v>
      </c>
      <c r="G49" s="296">
        <v>36988</v>
      </c>
      <c r="H49" s="297" t="str">
        <f t="shared" si="0"/>
        <v>April</v>
      </c>
      <c r="I49" s="298">
        <f t="shared" ca="1" si="1"/>
        <v>15</v>
      </c>
      <c r="J49" s="298" t="s">
        <v>276</v>
      </c>
      <c r="K49" s="299">
        <v>79610</v>
      </c>
      <c r="L49" s="300">
        <v>2</v>
      </c>
      <c r="Q49" s="264" t="s">
        <v>3089</v>
      </c>
      <c r="R49" s="265">
        <v>41064</v>
      </c>
      <c r="S49" s="265">
        <v>42018</v>
      </c>
      <c r="T49" s="39">
        <f t="shared" si="2"/>
        <v>954</v>
      </c>
    </row>
    <row r="50" spans="1:20">
      <c r="A50" s="301" t="s">
        <v>306</v>
      </c>
      <c r="B50" s="302" t="s">
        <v>285</v>
      </c>
      <c r="C50" s="303" t="s">
        <v>705</v>
      </c>
      <c r="D50" s="304">
        <v>248820119</v>
      </c>
      <c r="E50" s="305">
        <v>2521711684</v>
      </c>
      <c r="F50" s="303" t="s">
        <v>256</v>
      </c>
      <c r="G50" s="306">
        <v>36813</v>
      </c>
      <c r="H50" s="307" t="str">
        <f t="shared" si="0"/>
        <v>October</v>
      </c>
      <c r="I50" s="308">
        <f t="shared" ca="1" si="1"/>
        <v>16</v>
      </c>
      <c r="J50" s="308" t="s">
        <v>257</v>
      </c>
      <c r="K50" s="309">
        <v>68520</v>
      </c>
      <c r="L50" s="310">
        <v>5</v>
      </c>
      <c r="Q50" s="264" t="s">
        <v>3088</v>
      </c>
      <c r="R50" s="265">
        <v>41889</v>
      </c>
      <c r="S50" s="265">
        <v>42500</v>
      </c>
      <c r="T50" s="39">
        <f t="shared" si="2"/>
        <v>611</v>
      </c>
    </row>
    <row r="51" spans="1:20">
      <c r="A51" s="291" t="s">
        <v>311</v>
      </c>
      <c r="B51" s="292" t="s">
        <v>285</v>
      </c>
      <c r="C51" s="293" t="s">
        <v>465</v>
      </c>
      <c r="D51" s="294">
        <v>594680949</v>
      </c>
      <c r="E51" s="295">
        <v>9192375580</v>
      </c>
      <c r="F51" s="293" t="s">
        <v>261</v>
      </c>
      <c r="G51" s="296">
        <v>37332</v>
      </c>
      <c r="H51" s="297" t="str">
        <f t="shared" si="0"/>
        <v>March</v>
      </c>
      <c r="I51" s="298">
        <f t="shared" ca="1" si="1"/>
        <v>14</v>
      </c>
      <c r="J51" s="298" t="s">
        <v>283</v>
      </c>
      <c r="K51" s="299">
        <v>17270</v>
      </c>
      <c r="L51" s="300">
        <v>5</v>
      </c>
      <c r="Q51" s="264" t="s">
        <v>3087</v>
      </c>
      <c r="R51" s="265">
        <v>42073</v>
      </c>
      <c r="S51" s="265">
        <v>42954</v>
      </c>
      <c r="T51" s="39">
        <f t="shared" si="2"/>
        <v>881</v>
      </c>
    </row>
    <row r="52" spans="1:20">
      <c r="A52" s="301" t="s">
        <v>472</v>
      </c>
      <c r="B52" s="302" t="s">
        <v>266</v>
      </c>
      <c r="C52" s="303" t="s">
        <v>930</v>
      </c>
      <c r="D52" s="304">
        <v>592709648</v>
      </c>
      <c r="E52" s="305">
        <v>9191797370</v>
      </c>
      <c r="F52" s="303" t="s">
        <v>247</v>
      </c>
      <c r="G52" s="306">
        <v>37975</v>
      </c>
      <c r="H52" s="307" t="str">
        <f t="shared" si="0"/>
        <v>December</v>
      </c>
      <c r="I52" s="308">
        <f t="shared" ca="1" si="1"/>
        <v>12</v>
      </c>
      <c r="J52" s="308"/>
      <c r="K52" s="309">
        <v>77136</v>
      </c>
      <c r="L52" s="310">
        <v>5</v>
      </c>
      <c r="Q52" s="264" t="s">
        <v>3086</v>
      </c>
      <c r="R52" s="265">
        <v>42300</v>
      </c>
      <c r="S52" s="265">
        <v>43182</v>
      </c>
      <c r="T52" s="39">
        <f t="shared" si="2"/>
        <v>882</v>
      </c>
    </row>
    <row r="53" spans="1:20">
      <c r="A53" s="291" t="s">
        <v>710</v>
      </c>
      <c r="B53" s="292" t="s">
        <v>271</v>
      </c>
      <c r="C53" s="293" t="s">
        <v>856</v>
      </c>
      <c r="D53" s="294">
        <v>718930584</v>
      </c>
      <c r="E53" s="295">
        <v>9195804771</v>
      </c>
      <c r="F53" s="293" t="s">
        <v>261</v>
      </c>
      <c r="G53" s="296">
        <v>37106</v>
      </c>
      <c r="H53" s="297" t="str">
        <f t="shared" si="0"/>
        <v>August</v>
      </c>
      <c r="I53" s="298">
        <f t="shared" ca="1" si="1"/>
        <v>15</v>
      </c>
      <c r="J53" s="298" t="s">
        <v>257</v>
      </c>
      <c r="K53" s="299">
        <v>34980</v>
      </c>
      <c r="L53" s="300">
        <v>2</v>
      </c>
      <c r="Q53" s="264" t="s">
        <v>3085</v>
      </c>
      <c r="R53" s="265">
        <v>41456</v>
      </c>
      <c r="S53" s="265">
        <v>41974</v>
      </c>
      <c r="T53" s="39">
        <f t="shared" si="2"/>
        <v>518</v>
      </c>
    </row>
    <row r="54" spans="1:20">
      <c r="A54" s="301" t="s">
        <v>473</v>
      </c>
      <c r="B54" s="302" t="s">
        <v>280</v>
      </c>
      <c r="C54" s="303" t="s">
        <v>930</v>
      </c>
      <c r="D54" s="304">
        <v>843299208</v>
      </c>
      <c r="E54" s="305">
        <v>9198631557</v>
      </c>
      <c r="F54" s="303" t="s">
        <v>261</v>
      </c>
      <c r="G54" s="306">
        <v>40445</v>
      </c>
      <c r="H54" s="307" t="str">
        <f t="shared" si="0"/>
        <v>September</v>
      </c>
      <c r="I54" s="308">
        <f t="shared" ca="1" si="1"/>
        <v>6</v>
      </c>
      <c r="J54" s="308" t="s">
        <v>276</v>
      </c>
      <c r="K54" s="309">
        <v>49080</v>
      </c>
      <c r="L54" s="310">
        <v>5</v>
      </c>
      <c r="Q54" s="264" t="s">
        <v>3084</v>
      </c>
      <c r="R54" s="265">
        <v>41699</v>
      </c>
      <c r="S54" s="265">
        <v>41909</v>
      </c>
      <c r="T54" s="39">
        <f t="shared" si="2"/>
        <v>210</v>
      </c>
    </row>
    <row r="55" spans="1:20">
      <c r="A55" s="291" t="s">
        <v>474</v>
      </c>
      <c r="B55" s="292" t="s">
        <v>245</v>
      </c>
      <c r="C55" s="293" t="s">
        <v>705</v>
      </c>
      <c r="D55" s="294">
        <v>972791650</v>
      </c>
      <c r="E55" s="295">
        <v>2525236892</v>
      </c>
      <c r="F55" s="293" t="s">
        <v>261</v>
      </c>
      <c r="G55" s="296">
        <v>38380</v>
      </c>
      <c r="H55" s="297" t="str">
        <f t="shared" si="0"/>
        <v>January</v>
      </c>
      <c r="I55" s="298">
        <f t="shared" ca="1" si="1"/>
        <v>11</v>
      </c>
      <c r="J55" s="298" t="s">
        <v>257</v>
      </c>
      <c r="K55" s="299">
        <v>33810</v>
      </c>
      <c r="L55" s="300">
        <v>5</v>
      </c>
      <c r="Q55" s="264" t="s">
        <v>3083</v>
      </c>
      <c r="R55" s="265">
        <v>42151</v>
      </c>
      <c r="S55" s="265">
        <v>42757</v>
      </c>
      <c r="T55" s="39">
        <f t="shared" si="2"/>
        <v>606</v>
      </c>
    </row>
    <row r="56" spans="1:20">
      <c r="A56" s="301" t="s">
        <v>711</v>
      </c>
      <c r="B56" s="302" t="s">
        <v>245</v>
      </c>
      <c r="C56" s="303" t="s">
        <v>626</v>
      </c>
      <c r="D56" s="304">
        <v>259330447</v>
      </c>
      <c r="E56" s="305">
        <v>9195252544</v>
      </c>
      <c r="F56" s="303" t="s">
        <v>247</v>
      </c>
      <c r="G56" s="306">
        <v>37102</v>
      </c>
      <c r="H56" s="307" t="str">
        <f t="shared" si="0"/>
        <v>July</v>
      </c>
      <c r="I56" s="308">
        <f t="shared" ca="1" si="1"/>
        <v>15</v>
      </c>
      <c r="J56" s="308"/>
      <c r="K56" s="309">
        <v>47620</v>
      </c>
      <c r="L56" s="310">
        <v>5</v>
      </c>
      <c r="Q56" s="264" t="s">
        <v>3082</v>
      </c>
      <c r="R56" s="265">
        <v>41467</v>
      </c>
      <c r="S56" s="265">
        <v>42061</v>
      </c>
      <c r="T56" s="39">
        <f t="shared" si="2"/>
        <v>594</v>
      </c>
    </row>
    <row r="57" spans="1:20">
      <c r="A57" s="291" t="s">
        <v>627</v>
      </c>
      <c r="B57" s="292" t="s">
        <v>271</v>
      </c>
      <c r="C57" s="293" t="s">
        <v>465</v>
      </c>
      <c r="D57" s="294">
        <v>371001908</v>
      </c>
      <c r="E57" s="295">
        <v>2527061632</v>
      </c>
      <c r="F57" s="293" t="s">
        <v>256</v>
      </c>
      <c r="G57" s="296">
        <v>36266</v>
      </c>
      <c r="H57" s="297" t="str">
        <f t="shared" si="0"/>
        <v>April</v>
      </c>
      <c r="I57" s="298">
        <f t="shared" ca="1" si="1"/>
        <v>17</v>
      </c>
      <c r="J57" s="298" t="s">
        <v>262</v>
      </c>
      <c r="K57" s="299">
        <v>45480</v>
      </c>
      <c r="L57" s="300">
        <v>4</v>
      </c>
      <c r="Q57" s="264" t="s">
        <v>3081</v>
      </c>
      <c r="R57" s="265">
        <v>41832</v>
      </c>
      <c r="S57" s="265">
        <v>42645</v>
      </c>
      <c r="T57" s="39">
        <f t="shared" si="2"/>
        <v>813</v>
      </c>
    </row>
    <row r="58" spans="1:20">
      <c r="A58" s="301" t="s">
        <v>864</v>
      </c>
      <c r="B58" s="302" t="s">
        <v>245</v>
      </c>
      <c r="C58" s="303" t="s">
        <v>1025</v>
      </c>
      <c r="D58" s="304">
        <v>797985708</v>
      </c>
      <c r="E58" s="305">
        <v>9193578185</v>
      </c>
      <c r="F58" s="303" t="s">
        <v>256</v>
      </c>
      <c r="G58" s="306">
        <v>37983</v>
      </c>
      <c r="H58" s="307" t="str">
        <f t="shared" si="0"/>
        <v>December</v>
      </c>
      <c r="I58" s="308">
        <f t="shared" ca="1" si="1"/>
        <v>12</v>
      </c>
      <c r="J58" s="308" t="s">
        <v>276</v>
      </c>
      <c r="K58" s="309">
        <v>40680</v>
      </c>
      <c r="L58" s="310">
        <v>5</v>
      </c>
      <c r="Q58" s="264" t="s">
        <v>3080</v>
      </c>
      <c r="R58" s="265">
        <v>41533</v>
      </c>
      <c r="S58" s="265">
        <v>41912</v>
      </c>
      <c r="T58" s="39">
        <f t="shared" si="2"/>
        <v>379</v>
      </c>
    </row>
    <row r="59" spans="1:20">
      <c r="A59" s="291" t="s">
        <v>475</v>
      </c>
      <c r="B59" s="292" t="s">
        <v>285</v>
      </c>
      <c r="C59" s="293" t="s">
        <v>856</v>
      </c>
      <c r="D59" s="294">
        <v>984881714</v>
      </c>
      <c r="E59" s="295">
        <v>9196973131</v>
      </c>
      <c r="F59" s="293" t="s">
        <v>256</v>
      </c>
      <c r="G59" s="296">
        <v>36318</v>
      </c>
      <c r="H59" s="297" t="str">
        <f t="shared" si="0"/>
        <v>June</v>
      </c>
      <c r="I59" s="298">
        <f t="shared" ca="1" si="1"/>
        <v>17</v>
      </c>
      <c r="J59" s="298" t="s">
        <v>283</v>
      </c>
      <c r="K59" s="299">
        <v>34330</v>
      </c>
      <c r="L59" s="300">
        <v>3</v>
      </c>
      <c r="Q59" s="264" t="s">
        <v>3079</v>
      </c>
      <c r="R59" s="265">
        <v>41992</v>
      </c>
      <c r="S59" s="265">
        <v>42489</v>
      </c>
      <c r="T59" s="39">
        <f t="shared" si="2"/>
        <v>497</v>
      </c>
    </row>
    <row r="60" spans="1:20">
      <c r="A60" s="301" t="s">
        <v>934</v>
      </c>
      <c r="B60" s="302" t="s">
        <v>285</v>
      </c>
      <c r="C60" s="303" t="s">
        <v>856</v>
      </c>
      <c r="D60" s="304">
        <v>647131956</v>
      </c>
      <c r="E60" s="305">
        <v>2521240785</v>
      </c>
      <c r="F60" s="303" t="s">
        <v>256</v>
      </c>
      <c r="G60" s="306">
        <v>39812</v>
      </c>
      <c r="H60" s="307" t="str">
        <f t="shared" si="0"/>
        <v>December</v>
      </c>
      <c r="I60" s="308">
        <f t="shared" ca="1" si="1"/>
        <v>7</v>
      </c>
      <c r="J60" s="308" t="s">
        <v>257</v>
      </c>
      <c r="K60" s="309">
        <v>73560</v>
      </c>
      <c r="L60" s="310">
        <v>3</v>
      </c>
      <c r="Q60" s="264" t="s">
        <v>3078</v>
      </c>
      <c r="R60" s="265">
        <v>41088</v>
      </c>
      <c r="S60" s="265">
        <v>41876</v>
      </c>
      <c r="T60" s="39">
        <f t="shared" si="2"/>
        <v>788</v>
      </c>
    </row>
    <row r="61" spans="1:20">
      <c r="A61" s="291" t="s">
        <v>295</v>
      </c>
      <c r="B61" s="292" t="s">
        <v>271</v>
      </c>
      <c r="C61" s="293" t="s">
        <v>767</v>
      </c>
      <c r="D61" s="294">
        <v>990843236</v>
      </c>
      <c r="E61" s="295">
        <v>9196245634</v>
      </c>
      <c r="F61" s="293" t="s">
        <v>256</v>
      </c>
      <c r="G61" s="296">
        <v>39957</v>
      </c>
      <c r="H61" s="297" t="str">
        <f t="shared" si="0"/>
        <v>May</v>
      </c>
      <c r="I61" s="298">
        <f t="shared" ca="1" si="1"/>
        <v>7</v>
      </c>
      <c r="J61" s="298" t="s">
        <v>283</v>
      </c>
      <c r="K61" s="299">
        <v>65880</v>
      </c>
      <c r="L61" s="300">
        <v>5</v>
      </c>
      <c r="Q61" s="264" t="s">
        <v>3077</v>
      </c>
      <c r="R61" s="265">
        <v>41793</v>
      </c>
      <c r="S61" s="265">
        <v>42618</v>
      </c>
      <c r="T61" s="39">
        <f t="shared" si="2"/>
        <v>825</v>
      </c>
    </row>
    <row r="62" spans="1:20">
      <c r="A62" s="301" t="s">
        <v>935</v>
      </c>
      <c r="B62" s="302" t="s">
        <v>285</v>
      </c>
      <c r="C62" s="303" t="s">
        <v>705</v>
      </c>
      <c r="D62" s="304">
        <v>555718765</v>
      </c>
      <c r="E62" s="305">
        <v>2524618773</v>
      </c>
      <c r="F62" s="303" t="s">
        <v>256</v>
      </c>
      <c r="G62" s="306">
        <v>40395</v>
      </c>
      <c r="H62" s="307" t="str">
        <f t="shared" si="0"/>
        <v>August</v>
      </c>
      <c r="I62" s="308">
        <f t="shared" ca="1" si="1"/>
        <v>6</v>
      </c>
      <c r="J62" s="308" t="s">
        <v>257</v>
      </c>
      <c r="K62" s="309">
        <v>88850</v>
      </c>
      <c r="L62" s="310">
        <v>3</v>
      </c>
      <c r="Q62" s="264" t="s">
        <v>3076</v>
      </c>
      <c r="R62" s="265">
        <v>41149</v>
      </c>
      <c r="S62" s="265">
        <v>41836</v>
      </c>
      <c r="T62" s="39">
        <f t="shared" si="2"/>
        <v>687</v>
      </c>
    </row>
    <row r="63" spans="1:20">
      <c r="A63" s="291" t="s">
        <v>865</v>
      </c>
      <c r="B63" s="292" t="s">
        <v>285</v>
      </c>
      <c r="C63" s="293" t="s">
        <v>417</v>
      </c>
      <c r="D63" s="294">
        <v>659929807</v>
      </c>
      <c r="E63" s="295">
        <v>9193089561</v>
      </c>
      <c r="F63" s="293" t="s">
        <v>256</v>
      </c>
      <c r="G63" s="296">
        <v>39663</v>
      </c>
      <c r="H63" s="297" t="str">
        <f t="shared" si="0"/>
        <v>August</v>
      </c>
      <c r="I63" s="298">
        <f t="shared" ca="1" si="1"/>
        <v>8</v>
      </c>
      <c r="J63" s="298" t="s">
        <v>257</v>
      </c>
      <c r="K63" s="299">
        <v>22410</v>
      </c>
      <c r="L63" s="300">
        <v>4</v>
      </c>
      <c r="Q63" s="264" t="s">
        <v>3075</v>
      </c>
      <c r="R63" s="265">
        <v>41471</v>
      </c>
      <c r="S63" s="265">
        <v>41858</v>
      </c>
      <c r="T63" s="39">
        <f t="shared" si="2"/>
        <v>387</v>
      </c>
    </row>
    <row r="64" spans="1:20">
      <c r="A64" s="301" t="s">
        <v>628</v>
      </c>
      <c r="B64" s="302" t="s">
        <v>271</v>
      </c>
      <c r="C64" s="303" t="s">
        <v>312</v>
      </c>
      <c r="D64" s="304">
        <v>981106829</v>
      </c>
      <c r="E64" s="305">
        <v>2526196095</v>
      </c>
      <c r="F64" s="303" t="s">
        <v>247</v>
      </c>
      <c r="G64" s="306">
        <v>36758</v>
      </c>
      <c r="H64" s="307" t="str">
        <f t="shared" si="0"/>
        <v>August</v>
      </c>
      <c r="I64" s="308">
        <f t="shared" ca="1" si="1"/>
        <v>16</v>
      </c>
      <c r="J64" s="308"/>
      <c r="K64" s="309">
        <v>85480</v>
      </c>
      <c r="L64" s="310">
        <v>5</v>
      </c>
      <c r="Q64" s="264" t="s">
        <v>3074</v>
      </c>
      <c r="R64" s="265">
        <v>41819</v>
      </c>
      <c r="S64" s="265">
        <v>42500</v>
      </c>
      <c r="T64" s="39">
        <f t="shared" si="2"/>
        <v>681</v>
      </c>
    </row>
    <row r="65" spans="1:20">
      <c r="A65" s="291" t="s">
        <v>308</v>
      </c>
      <c r="B65" s="292" t="s">
        <v>285</v>
      </c>
      <c r="C65" s="293" t="s">
        <v>411</v>
      </c>
      <c r="D65" s="294">
        <v>850210766</v>
      </c>
      <c r="E65" s="295">
        <v>2527838614</v>
      </c>
      <c r="F65" s="293" t="s">
        <v>256</v>
      </c>
      <c r="G65" s="296">
        <v>39497</v>
      </c>
      <c r="H65" s="297" t="str">
        <f t="shared" si="0"/>
        <v>February</v>
      </c>
      <c r="I65" s="298">
        <f t="shared" ca="1" si="1"/>
        <v>8</v>
      </c>
      <c r="J65" s="298" t="s">
        <v>257</v>
      </c>
      <c r="K65" s="299">
        <v>47350</v>
      </c>
      <c r="L65" s="300">
        <v>5</v>
      </c>
      <c r="Q65" s="264" t="s">
        <v>3073</v>
      </c>
      <c r="R65" s="265">
        <v>41774</v>
      </c>
      <c r="S65" s="265">
        <v>42483</v>
      </c>
      <c r="T65" s="39">
        <f t="shared" si="2"/>
        <v>709</v>
      </c>
    </row>
    <row r="66" spans="1:20">
      <c r="A66" s="301" t="s">
        <v>313</v>
      </c>
      <c r="B66" s="302" t="s">
        <v>271</v>
      </c>
      <c r="C66" s="303" t="s">
        <v>930</v>
      </c>
      <c r="D66" s="304">
        <v>964255290</v>
      </c>
      <c r="E66" s="305">
        <v>9197446192</v>
      </c>
      <c r="F66" s="303" t="s">
        <v>256</v>
      </c>
      <c r="G66" s="306">
        <v>40928</v>
      </c>
      <c r="H66" s="307" t="str">
        <f t="shared" si="0"/>
        <v>January</v>
      </c>
      <c r="I66" s="308">
        <f t="shared" ca="1" si="1"/>
        <v>4</v>
      </c>
      <c r="J66" s="308" t="s">
        <v>283</v>
      </c>
      <c r="K66" s="309">
        <v>34990</v>
      </c>
      <c r="L66" s="310">
        <v>3</v>
      </c>
      <c r="Q66" s="264" t="s">
        <v>3072</v>
      </c>
      <c r="R66" s="265">
        <v>41828</v>
      </c>
      <c r="S66" s="265">
        <v>42302</v>
      </c>
      <c r="T66" s="39">
        <f t="shared" si="2"/>
        <v>474</v>
      </c>
    </row>
    <row r="67" spans="1:20">
      <c r="A67" s="291" t="s">
        <v>455</v>
      </c>
      <c r="B67" s="292" t="s">
        <v>271</v>
      </c>
      <c r="C67" s="293" t="s">
        <v>381</v>
      </c>
      <c r="D67" s="294">
        <v>324622113</v>
      </c>
      <c r="E67" s="295">
        <v>9198824849</v>
      </c>
      <c r="F67" s="293" t="s">
        <v>261</v>
      </c>
      <c r="G67" s="296">
        <v>41426</v>
      </c>
      <c r="H67" s="297" t="str">
        <f t="shared" si="0"/>
        <v>June</v>
      </c>
      <c r="I67" s="298">
        <f t="shared" ca="1" si="1"/>
        <v>3</v>
      </c>
      <c r="J67" s="298" t="s">
        <v>283</v>
      </c>
      <c r="K67" s="299">
        <v>28625</v>
      </c>
      <c r="L67" s="300">
        <v>1</v>
      </c>
      <c r="Q67" s="264" t="s">
        <v>3071</v>
      </c>
      <c r="R67" s="265">
        <v>42287</v>
      </c>
      <c r="S67" s="265">
        <v>42544</v>
      </c>
      <c r="T67" s="39">
        <f t="shared" si="2"/>
        <v>257</v>
      </c>
    </row>
    <row r="68" spans="1:20">
      <c r="A68" s="301" t="s">
        <v>775</v>
      </c>
      <c r="B68" s="302" t="s">
        <v>285</v>
      </c>
      <c r="C68" s="303" t="s">
        <v>705</v>
      </c>
      <c r="D68" s="304">
        <v>474117484</v>
      </c>
      <c r="E68" s="305">
        <v>9196132408</v>
      </c>
      <c r="F68" s="303" t="s">
        <v>256</v>
      </c>
      <c r="G68" s="306">
        <v>34552</v>
      </c>
      <c r="H68" s="307" t="str">
        <f t="shared" si="0"/>
        <v>August</v>
      </c>
      <c r="I68" s="308">
        <f t="shared" ca="1" si="1"/>
        <v>22</v>
      </c>
      <c r="J68" s="308" t="s">
        <v>257</v>
      </c>
      <c r="K68" s="309">
        <v>79770</v>
      </c>
      <c r="L68" s="310">
        <v>4</v>
      </c>
      <c r="Q68" s="264" t="s">
        <v>3070</v>
      </c>
      <c r="R68" s="265">
        <v>42098</v>
      </c>
      <c r="S68" s="265">
        <v>42787</v>
      </c>
      <c r="T68" s="39">
        <f t="shared" si="2"/>
        <v>689</v>
      </c>
    </row>
    <row r="69" spans="1:20">
      <c r="A69" s="291" t="s">
        <v>936</v>
      </c>
      <c r="B69" s="292" t="s">
        <v>285</v>
      </c>
      <c r="C69" s="293" t="s">
        <v>856</v>
      </c>
      <c r="D69" s="294">
        <v>323701315</v>
      </c>
      <c r="E69" s="295">
        <v>9194479196</v>
      </c>
      <c r="F69" s="293" t="s">
        <v>256</v>
      </c>
      <c r="G69" s="296">
        <v>41491</v>
      </c>
      <c r="H69" s="297" t="str">
        <f t="shared" si="0"/>
        <v>August</v>
      </c>
      <c r="I69" s="298">
        <f t="shared" ca="1" si="1"/>
        <v>3</v>
      </c>
      <c r="J69" s="298" t="s">
        <v>267</v>
      </c>
      <c r="K69" s="299">
        <v>80260</v>
      </c>
      <c r="L69" s="300">
        <v>3</v>
      </c>
      <c r="Q69" s="264" t="s">
        <v>3069</v>
      </c>
      <c r="R69" s="265">
        <v>40959</v>
      </c>
      <c r="S69" s="265">
        <v>41290</v>
      </c>
      <c r="T69" s="39">
        <f t="shared" si="2"/>
        <v>331</v>
      </c>
    </row>
    <row r="70" spans="1:20">
      <c r="A70" s="301" t="s">
        <v>680</v>
      </c>
      <c r="B70" s="302" t="s">
        <v>271</v>
      </c>
      <c r="C70" s="303" t="s">
        <v>705</v>
      </c>
      <c r="D70" s="304">
        <v>948252103</v>
      </c>
      <c r="E70" s="305">
        <v>9197430732</v>
      </c>
      <c r="F70" s="303" t="s">
        <v>252</v>
      </c>
      <c r="G70" s="306">
        <v>37239</v>
      </c>
      <c r="H70" s="307" t="str">
        <f t="shared" ref="H70:H133" si="3">CHOOSE(MONTH(G70),"January","February","March","April","May","June","July","August","September","October","November","December")</f>
        <v>December</v>
      </c>
      <c r="I70" s="308">
        <f t="shared" ref="I70:I133" ca="1" si="4">DATEDIF(G70,TODAY(),"Y")</f>
        <v>14</v>
      </c>
      <c r="J70" s="308"/>
      <c r="K70" s="309">
        <v>39764</v>
      </c>
      <c r="L70" s="310">
        <v>1</v>
      </c>
      <c r="Q70" s="264" t="s">
        <v>3068</v>
      </c>
      <c r="R70" s="265">
        <v>42148</v>
      </c>
      <c r="S70" s="265">
        <v>42476</v>
      </c>
      <c r="T70" s="39">
        <f t="shared" ref="T70:T133" si="5">DATEDIF(R70,S70,"d")</f>
        <v>328</v>
      </c>
    </row>
    <row r="71" spans="1:20">
      <c r="A71" s="291" t="s">
        <v>776</v>
      </c>
      <c r="B71" s="292" t="s">
        <v>266</v>
      </c>
      <c r="C71" s="293" t="s">
        <v>465</v>
      </c>
      <c r="D71" s="294">
        <v>143534593</v>
      </c>
      <c r="E71" s="295">
        <v>2527172882</v>
      </c>
      <c r="F71" s="293" t="s">
        <v>247</v>
      </c>
      <c r="G71" s="296">
        <v>38730</v>
      </c>
      <c r="H71" s="297" t="str">
        <f t="shared" si="3"/>
        <v>January</v>
      </c>
      <c r="I71" s="298">
        <f t="shared" ca="1" si="4"/>
        <v>10</v>
      </c>
      <c r="J71" s="298"/>
      <c r="K71" s="299">
        <v>75420</v>
      </c>
      <c r="L71" s="300">
        <v>1</v>
      </c>
      <c r="Q71" s="264" t="s">
        <v>3067</v>
      </c>
      <c r="R71" s="265">
        <v>41849</v>
      </c>
      <c r="S71" s="265">
        <v>42749</v>
      </c>
      <c r="T71" s="39">
        <f t="shared" si="5"/>
        <v>900</v>
      </c>
    </row>
    <row r="72" spans="1:20">
      <c r="A72" s="301" t="s">
        <v>476</v>
      </c>
      <c r="B72" s="302" t="s">
        <v>271</v>
      </c>
      <c r="C72" s="303" t="s">
        <v>767</v>
      </c>
      <c r="D72" s="304">
        <v>978154935</v>
      </c>
      <c r="E72" s="305">
        <v>2521384592</v>
      </c>
      <c r="F72" s="303" t="s">
        <v>256</v>
      </c>
      <c r="G72" s="306">
        <v>37105</v>
      </c>
      <c r="H72" s="307" t="str">
        <f t="shared" si="3"/>
        <v>August</v>
      </c>
      <c r="I72" s="308">
        <f t="shared" ca="1" si="4"/>
        <v>15</v>
      </c>
      <c r="J72" s="308" t="s">
        <v>267</v>
      </c>
      <c r="K72" s="309">
        <v>46360</v>
      </c>
      <c r="L72" s="310">
        <v>5</v>
      </c>
      <c r="Q72" s="264" t="s">
        <v>3066</v>
      </c>
      <c r="R72" s="265">
        <v>41145</v>
      </c>
      <c r="S72" s="265">
        <v>41555</v>
      </c>
      <c r="T72" s="39">
        <f t="shared" si="5"/>
        <v>410</v>
      </c>
    </row>
    <row r="73" spans="1:20">
      <c r="A73" s="291" t="s">
        <v>477</v>
      </c>
      <c r="B73" s="292" t="s">
        <v>251</v>
      </c>
      <c r="C73" s="293" t="s">
        <v>465</v>
      </c>
      <c r="D73" s="294">
        <v>923123594</v>
      </c>
      <c r="E73" s="295">
        <v>2528669137</v>
      </c>
      <c r="F73" s="293" t="s">
        <v>256</v>
      </c>
      <c r="G73" s="296">
        <v>37108</v>
      </c>
      <c r="H73" s="297" t="str">
        <f t="shared" si="3"/>
        <v>August</v>
      </c>
      <c r="I73" s="298">
        <f t="shared" ca="1" si="4"/>
        <v>15</v>
      </c>
      <c r="J73" s="298" t="s">
        <v>276</v>
      </c>
      <c r="K73" s="299">
        <v>81400</v>
      </c>
      <c r="L73" s="300">
        <v>2</v>
      </c>
      <c r="Q73" s="264" t="s">
        <v>3065</v>
      </c>
      <c r="R73" s="265">
        <v>42263</v>
      </c>
      <c r="S73" s="265">
        <v>42875</v>
      </c>
      <c r="T73" s="39">
        <f t="shared" si="5"/>
        <v>612</v>
      </c>
    </row>
    <row r="74" spans="1:20">
      <c r="A74" s="301" t="s">
        <v>478</v>
      </c>
      <c r="B74" s="302" t="s">
        <v>271</v>
      </c>
      <c r="C74" s="303" t="s">
        <v>678</v>
      </c>
      <c r="D74" s="304">
        <v>221364716</v>
      </c>
      <c r="E74" s="305">
        <v>2521389906</v>
      </c>
      <c r="F74" s="303" t="s">
        <v>256</v>
      </c>
      <c r="G74" s="306">
        <v>37808</v>
      </c>
      <c r="H74" s="307" t="str">
        <f t="shared" si="3"/>
        <v>July</v>
      </c>
      <c r="I74" s="308">
        <f t="shared" ca="1" si="4"/>
        <v>13</v>
      </c>
      <c r="J74" s="308" t="s">
        <v>257</v>
      </c>
      <c r="K74" s="309">
        <v>71820</v>
      </c>
      <c r="L74" s="310">
        <v>2</v>
      </c>
      <c r="Q74" s="264" t="s">
        <v>3064</v>
      </c>
      <c r="R74" s="265">
        <v>41497</v>
      </c>
      <c r="S74" s="265">
        <v>41937</v>
      </c>
      <c r="T74" s="39">
        <f t="shared" si="5"/>
        <v>440</v>
      </c>
    </row>
    <row r="75" spans="1:20">
      <c r="A75" s="291" t="s">
        <v>479</v>
      </c>
      <c r="B75" s="292" t="s">
        <v>271</v>
      </c>
      <c r="C75" s="293" t="s">
        <v>391</v>
      </c>
      <c r="D75" s="294">
        <v>907491320</v>
      </c>
      <c r="E75" s="295">
        <v>2525724528</v>
      </c>
      <c r="F75" s="293" t="s">
        <v>261</v>
      </c>
      <c r="G75" s="296">
        <v>37267</v>
      </c>
      <c r="H75" s="297" t="str">
        <f t="shared" si="3"/>
        <v>January</v>
      </c>
      <c r="I75" s="298">
        <f t="shared" ca="1" si="4"/>
        <v>14</v>
      </c>
      <c r="J75" s="298" t="s">
        <v>276</v>
      </c>
      <c r="K75" s="299">
        <v>42905</v>
      </c>
      <c r="L75" s="300">
        <v>1</v>
      </c>
      <c r="Q75" s="264" t="s">
        <v>3063</v>
      </c>
      <c r="R75" s="265">
        <v>41013</v>
      </c>
      <c r="S75" s="265">
        <v>41652</v>
      </c>
      <c r="T75" s="39">
        <f t="shared" si="5"/>
        <v>639</v>
      </c>
    </row>
    <row r="76" spans="1:20">
      <c r="A76" s="301" t="s">
        <v>1030</v>
      </c>
      <c r="B76" s="302" t="s">
        <v>251</v>
      </c>
      <c r="C76" s="303" t="s">
        <v>296</v>
      </c>
      <c r="D76" s="304">
        <v>764375259</v>
      </c>
      <c r="E76" s="305">
        <v>2527515181</v>
      </c>
      <c r="F76" s="303" t="s">
        <v>256</v>
      </c>
      <c r="G76" s="306">
        <v>38961</v>
      </c>
      <c r="H76" s="307" t="str">
        <f t="shared" si="3"/>
        <v>September</v>
      </c>
      <c r="I76" s="308">
        <f t="shared" ca="1" si="4"/>
        <v>10</v>
      </c>
      <c r="J76" s="308" t="s">
        <v>257</v>
      </c>
      <c r="K76" s="309">
        <v>30350</v>
      </c>
      <c r="L76" s="310">
        <v>1</v>
      </c>
      <c r="Q76" s="264" t="s">
        <v>3062</v>
      </c>
      <c r="R76" s="265">
        <v>42356</v>
      </c>
      <c r="S76" s="265">
        <v>43000</v>
      </c>
      <c r="T76" s="39">
        <f t="shared" si="5"/>
        <v>644</v>
      </c>
    </row>
    <row r="77" spans="1:20">
      <c r="A77" s="291" t="s">
        <v>480</v>
      </c>
      <c r="B77" s="292" t="s">
        <v>280</v>
      </c>
      <c r="C77" s="293" t="s">
        <v>465</v>
      </c>
      <c r="D77" s="294">
        <v>826450563</v>
      </c>
      <c r="E77" s="295">
        <v>9196607355</v>
      </c>
      <c r="F77" s="293" t="s">
        <v>247</v>
      </c>
      <c r="G77" s="296">
        <v>37614</v>
      </c>
      <c r="H77" s="297" t="str">
        <f t="shared" si="3"/>
        <v>December</v>
      </c>
      <c r="I77" s="298">
        <f t="shared" ca="1" si="4"/>
        <v>13</v>
      </c>
      <c r="J77" s="298"/>
      <c r="K77" s="299">
        <v>57760</v>
      </c>
      <c r="L77" s="300">
        <v>3</v>
      </c>
      <c r="Q77" s="264" t="s">
        <v>3061</v>
      </c>
      <c r="R77" s="265">
        <v>41255</v>
      </c>
      <c r="S77" s="265">
        <v>42183</v>
      </c>
      <c r="T77" s="39">
        <f t="shared" si="5"/>
        <v>928</v>
      </c>
    </row>
    <row r="78" spans="1:20">
      <c r="A78" s="301" t="s">
        <v>866</v>
      </c>
      <c r="B78" s="302" t="s">
        <v>285</v>
      </c>
      <c r="C78" s="303" t="s">
        <v>930</v>
      </c>
      <c r="D78" s="304">
        <v>717503282</v>
      </c>
      <c r="E78" s="305">
        <v>2522400087</v>
      </c>
      <c r="F78" s="303" t="s">
        <v>247</v>
      </c>
      <c r="G78" s="306">
        <v>41433</v>
      </c>
      <c r="H78" s="307" t="str">
        <f t="shared" si="3"/>
        <v>June</v>
      </c>
      <c r="I78" s="308">
        <f t="shared" ca="1" si="4"/>
        <v>3</v>
      </c>
      <c r="J78" s="308"/>
      <c r="K78" s="309">
        <v>46570</v>
      </c>
      <c r="L78" s="310">
        <v>4</v>
      </c>
      <c r="Q78" s="264" t="s">
        <v>3060</v>
      </c>
      <c r="R78" s="265">
        <v>41894</v>
      </c>
      <c r="S78" s="265">
        <v>42364</v>
      </c>
      <c r="T78" s="39">
        <f t="shared" si="5"/>
        <v>470</v>
      </c>
    </row>
    <row r="79" spans="1:20">
      <c r="A79" s="291" t="s">
        <v>270</v>
      </c>
      <c r="B79" s="292" t="s">
        <v>251</v>
      </c>
      <c r="C79" s="293" t="s">
        <v>705</v>
      </c>
      <c r="D79" s="294">
        <v>120479503</v>
      </c>
      <c r="E79" s="295">
        <v>9196069116</v>
      </c>
      <c r="F79" s="293" t="s">
        <v>261</v>
      </c>
      <c r="G79" s="296">
        <v>40209</v>
      </c>
      <c r="H79" s="297" t="str">
        <f t="shared" si="3"/>
        <v>January</v>
      </c>
      <c r="I79" s="298">
        <f t="shared" ca="1" si="4"/>
        <v>6</v>
      </c>
      <c r="J79" s="298" t="s">
        <v>276</v>
      </c>
      <c r="K79" s="299">
        <v>47760</v>
      </c>
      <c r="L79" s="300">
        <v>3</v>
      </c>
      <c r="Q79" s="264" t="s">
        <v>3059</v>
      </c>
      <c r="R79" s="265">
        <v>41008</v>
      </c>
      <c r="S79" s="265">
        <v>41636</v>
      </c>
      <c r="T79" s="39">
        <f t="shared" si="5"/>
        <v>628</v>
      </c>
    </row>
    <row r="80" spans="1:20">
      <c r="A80" s="301" t="s">
        <v>481</v>
      </c>
      <c r="B80" s="302" t="s">
        <v>285</v>
      </c>
      <c r="C80" s="303" t="s">
        <v>767</v>
      </c>
      <c r="D80" s="304">
        <v>161439267</v>
      </c>
      <c r="E80" s="305">
        <v>9197600603</v>
      </c>
      <c r="F80" s="303" t="s">
        <v>256</v>
      </c>
      <c r="G80" s="306">
        <v>40272</v>
      </c>
      <c r="H80" s="307" t="str">
        <f t="shared" si="3"/>
        <v>April</v>
      </c>
      <c r="I80" s="308">
        <f t="shared" ca="1" si="4"/>
        <v>6</v>
      </c>
      <c r="J80" s="308" t="s">
        <v>262</v>
      </c>
      <c r="K80" s="309">
        <v>42020</v>
      </c>
      <c r="L80" s="310">
        <v>5</v>
      </c>
      <c r="Q80" s="264" t="s">
        <v>3058</v>
      </c>
      <c r="R80" s="265">
        <v>41182</v>
      </c>
      <c r="S80" s="265">
        <v>41533</v>
      </c>
      <c r="T80" s="39">
        <f t="shared" si="5"/>
        <v>351</v>
      </c>
    </row>
    <row r="81" spans="1:20">
      <c r="A81" s="291" t="s">
        <v>314</v>
      </c>
      <c r="B81" s="292" t="s">
        <v>271</v>
      </c>
      <c r="C81" s="293" t="s">
        <v>465</v>
      </c>
      <c r="D81" s="294">
        <v>213584397</v>
      </c>
      <c r="E81" s="295">
        <v>2524138160</v>
      </c>
      <c r="F81" s="293" t="s">
        <v>256</v>
      </c>
      <c r="G81" s="296">
        <v>38241</v>
      </c>
      <c r="H81" s="297" t="str">
        <f t="shared" si="3"/>
        <v>September</v>
      </c>
      <c r="I81" s="298">
        <f t="shared" ca="1" si="4"/>
        <v>12</v>
      </c>
      <c r="J81" s="298" t="s">
        <v>283</v>
      </c>
      <c r="K81" s="299">
        <v>62750</v>
      </c>
      <c r="L81" s="300">
        <v>3</v>
      </c>
      <c r="Q81" s="264" t="s">
        <v>3057</v>
      </c>
      <c r="R81" s="265">
        <v>41801</v>
      </c>
      <c r="S81" s="265">
        <v>42724</v>
      </c>
      <c r="T81" s="39">
        <f t="shared" si="5"/>
        <v>923</v>
      </c>
    </row>
    <row r="82" spans="1:20">
      <c r="A82" s="301" t="s">
        <v>482</v>
      </c>
      <c r="B82" s="302" t="s">
        <v>245</v>
      </c>
      <c r="C82" s="303" t="s">
        <v>930</v>
      </c>
      <c r="D82" s="304">
        <v>610340294</v>
      </c>
      <c r="E82" s="305">
        <v>9198443818</v>
      </c>
      <c r="F82" s="303" t="s">
        <v>247</v>
      </c>
      <c r="G82" s="306">
        <v>34730</v>
      </c>
      <c r="H82" s="307" t="str">
        <f t="shared" si="3"/>
        <v>January</v>
      </c>
      <c r="I82" s="308">
        <f t="shared" ca="1" si="4"/>
        <v>21</v>
      </c>
      <c r="J82" s="308"/>
      <c r="K82" s="309">
        <v>70300</v>
      </c>
      <c r="L82" s="310">
        <v>3</v>
      </c>
      <c r="Q82" s="264" t="s">
        <v>3056</v>
      </c>
      <c r="R82" s="265">
        <v>41220</v>
      </c>
      <c r="S82" s="265">
        <v>41480</v>
      </c>
      <c r="T82" s="39">
        <f t="shared" si="5"/>
        <v>260</v>
      </c>
    </row>
    <row r="83" spans="1:20">
      <c r="A83" s="291" t="s">
        <v>629</v>
      </c>
      <c r="B83" s="292" t="s">
        <v>251</v>
      </c>
      <c r="C83" s="293" t="s">
        <v>417</v>
      </c>
      <c r="D83" s="294">
        <v>105708355</v>
      </c>
      <c r="E83" s="295">
        <v>2524697218</v>
      </c>
      <c r="F83" s="293" t="s">
        <v>256</v>
      </c>
      <c r="G83" s="296">
        <v>36899</v>
      </c>
      <c r="H83" s="297" t="str">
        <f t="shared" si="3"/>
        <v>January</v>
      </c>
      <c r="I83" s="298">
        <f t="shared" ca="1" si="4"/>
        <v>15</v>
      </c>
      <c r="J83" s="298" t="s">
        <v>262</v>
      </c>
      <c r="K83" s="299">
        <v>71010</v>
      </c>
      <c r="L83" s="300">
        <v>5</v>
      </c>
      <c r="Q83" s="264" t="s">
        <v>3055</v>
      </c>
      <c r="R83" s="265">
        <v>41657</v>
      </c>
      <c r="S83" s="265">
        <v>42568</v>
      </c>
      <c r="T83" s="39">
        <f t="shared" si="5"/>
        <v>911</v>
      </c>
    </row>
    <row r="84" spans="1:20">
      <c r="A84" s="301" t="s">
        <v>937</v>
      </c>
      <c r="B84" s="302" t="s">
        <v>285</v>
      </c>
      <c r="C84" s="303" t="s">
        <v>465</v>
      </c>
      <c r="D84" s="304">
        <v>276980518</v>
      </c>
      <c r="E84" s="305">
        <v>9195267252</v>
      </c>
      <c r="F84" s="303" t="s">
        <v>256</v>
      </c>
      <c r="G84" s="306">
        <v>39742</v>
      </c>
      <c r="H84" s="307" t="str">
        <f t="shared" si="3"/>
        <v>October</v>
      </c>
      <c r="I84" s="308">
        <f t="shared" ca="1" si="4"/>
        <v>8</v>
      </c>
      <c r="J84" s="308" t="s">
        <v>276</v>
      </c>
      <c r="K84" s="309">
        <v>29420</v>
      </c>
      <c r="L84" s="310">
        <v>5</v>
      </c>
      <c r="Q84" s="264" t="s">
        <v>3054</v>
      </c>
      <c r="R84" s="265">
        <v>40974</v>
      </c>
      <c r="S84" s="265">
        <v>41513</v>
      </c>
      <c r="T84" s="39">
        <f t="shared" si="5"/>
        <v>539</v>
      </c>
    </row>
    <row r="85" spans="1:20">
      <c r="A85" s="291" t="s">
        <v>483</v>
      </c>
      <c r="B85" s="292" t="s">
        <v>245</v>
      </c>
      <c r="C85" s="293" t="s">
        <v>856</v>
      </c>
      <c r="D85" s="294">
        <v>518009092</v>
      </c>
      <c r="E85" s="295">
        <v>2528792521</v>
      </c>
      <c r="F85" s="293" t="s">
        <v>252</v>
      </c>
      <c r="G85" s="296">
        <v>36779</v>
      </c>
      <c r="H85" s="297" t="str">
        <f t="shared" si="3"/>
        <v>September</v>
      </c>
      <c r="I85" s="298">
        <f t="shared" ca="1" si="4"/>
        <v>16</v>
      </c>
      <c r="J85" s="298"/>
      <c r="K85" s="299">
        <v>17912</v>
      </c>
      <c r="L85" s="300">
        <v>5</v>
      </c>
      <c r="Q85" s="264" t="s">
        <v>3053</v>
      </c>
      <c r="R85" s="265">
        <v>40982</v>
      </c>
      <c r="S85" s="265">
        <v>41975</v>
      </c>
      <c r="T85" s="39">
        <f t="shared" si="5"/>
        <v>993</v>
      </c>
    </row>
    <row r="86" spans="1:20">
      <c r="A86" s="301" t="s">
        <v>867</v>
      </c>
      <c r="B86" s="302" t="s">
        <v>280</v>
      </c>
      <c r="C86" s="303" t="s">
        <v>930</v>
      </c>
      <c r="D86" s="304">
        <v>364525917</v>
      </c>
      <c r="E86" s="305">
        <v>2522787318</v>
      </c>
      <c r="F86" s="303" t="s">
        <v>256</v>
      </c>
      <c r="G86" s="306">
        <v>34888</v>
      </c>
      <c r="H86" s="307" t="str">
        <f t="shared" si="3"/>
        <v>July</v>
      </c>
      <c r="I86" s="308">
        <f t="shared" ca="1" si="4"/>
        <v>21</v>
      </c>
      <c r="J86" s="308" t="s">
        <v>283</v>
      </c>
      <c r="K86" s="309">
        <v>46410</v>
      </c>
      <c r="L86" s="310">
        <v>2</v>
      </c>
      <c r="Q86" s="264" t="s">
        <v>3052</v>
      </c>
      <c r="R86" s="265">
        <v>41556</v>
      </c>
      <c r="S86" s="265">
        <v>42226</v>
      </c>
      <c r="T86" s="39">
        <f t="shared" si="5"/>
        <v>670</v>
      </c>
    </row>
    <row r="87" spans="1:20">
      <c r="A87" s="291" t="s">
        <v>681</v>
      </c>
      <c r="B87" s="292" t="s">
        <v>251</v>
      </c>
      <c r="C87" s="293" t="s">
        <v>930</v>
      </c>
      <c r="D87" s="294">
        <v>120361975</v>
      </c>
      <c r="E87" s="295">
        <v>2521789943</v>
      </c>
      <c r="F87" s="293" t="s">
        <v>256</v>
      </c>
      <c r="G87" s="296">
        <v>38405</v>
      </c>
      <c r="H87" s="297" t="str">
        <f t="shared" si="3"/>
        <v>February</v>
      </c>
      <c r="I87" s="298">
        <f t="shared" ca="1" si="4"/>
        <v>11</v>
      </c>
      <c r="J87" s="298" t="s">
        <v>276</v>
      </c>
      <c r="K87" s="299">
        <v>60300</v>
      </c>
      <c r="L87" s="300">
        <v>2</v>
      </c>
      <c r="Q87" s="264" t="s">
        <v>3051</v>
      </c>
      <c r="R87" s="265">
        <v>41239</v>
      </c>
      <c r="S87" s="265">
        <v>41987</v>
      </c>
      <c r="T87" s="39">
        <f t="shared" si="5"/>
        <v>748</v>
      </c>
    </row>
    <row r="88" spans="1:20">
      <c r="A88" s="301" t="s">
        <v>630</v>
      </c>
      <c r="B88" s="302" t="s">
        <v>271</v>
      </c>
      <c r="C88" s="303" t="s">
        <v>381</v>
      </c>
      <c r="D88" s="304">
        <v>925049144</v>
      </c>
      <c r="E88" s="305">
        <v>2524752921</v>
      </c>
      <c r="F88" s="303" t="s">
        <v>256</v>
      </c>
      <c r="G88" s="306">
        <v>37159</v>
      </c>
      <c r="H88" s="307" t="str">
        <f t="shared" si="3"/>
        <v>September</v>
      </c>
      <c r="I88" s="308">
        <f t="shared" ca="1" si="4"/>
        <v>15</v>
      </c>
      <c r="J88" s="308" t="s">
        <v>257</v>
      </c>
      <c r="K88" s="309">
        <v>49860</v>
      </c>
      <c r="L88" s="310">
        <v>2</v>
      </c>
      <c r="Q88" s="264" t="s">
        <v>3050</v>
      </c>
      <c r="R88" s="265">
        <v>41469</v>
      </c>
      <c r="S88" s="265">
        <v>42360</v>
      </c>
      <c r="T88" s="39">
        <f t="shared" si="5"/>
        <v>891</v>
      </c>
    </row>
    <row r="89" spans="1:20">
      <c r="A89" s="291" t="s">
        <v>938</v>
      </c>
      <c r="B89" s="292" t="s">
        <v>280</v>
      </c>
      <c r="C89" s="293" t="s">
        <v>856</v>
      </c>
      <c r="D89" s="294">
        <v>666194498</v>
      </c>
      <c r="E89" s="295">
        <v>2526593848</v>
      </c>
      <c r="F89" s="293" t="s">
        <v>256</v>
      </c>
      <c r="G89" s="296">
        <v>39263</v>
      </c>
      <c r="H89" s="297" t="str">
        <f t="shared" si="3"/>
        <v>June</v>
      </c>
      <c r="I89" s="298">
        <f t="shared" ca="1" si="4"/>
        <v>9</v>
      </c>
      <c r="J89" s="298" t="s">
        <v>283</v>
      </c>
      <c r="K89" s="299">
        <v>83710</v>
      </c>
      <c r="L89" s="300">
        <v>3</v>
      </c>
      <c r="Q89" s="264" t="s">
        <v>3049</v>
      </c>
      <c r="R89" s="265">
        <v>41757</v>
      </c>
      <c r="S89" s="265">
        <v>41967</v>
      </c>
      <c r="T89" s="39">
        <f t="shared" si="5"/>
        <v>210</v>
      </c>
    </row>
    <row r="90" spans="1:20">
      <c r="A90" s="301" t="s">
        <v>631</v>
      </c>
      <c r="B90" s="302" t="s">
        <v>271</v>
      </c>
      <c r="C90" s="303" t="s">
        <v>678</v>
      </c>
      <c r="D90" s="304">
        <v>332302868</v>
      </c>
      <c r="E90" s="305">
        <v>9196109756</v>
      </c>
      <c r="F90" s="303" t="s">
        <v>256</v>
      </c>
      <c r="G90" s="306">
        <v>37085</v>
      </c>
      <c r="H90" s="307" t="str">
        <f t="shared" si="3"/>
        <v>July</v>
      </c>
      <c r="I90" s="308">
        <f t="shared" ca="1" si="4"/>
        <v>15</v>
      </c>
      <c r="J90" s="308" t="s">
        <v>283</v>
      </c>
      <c r="K90" s="309">
        <v>23520</v>
      </c>
      <c r="L90" s="310">
        <v>2</v>
      </c>
      <c r="Q90" s="264" t="s">
        <v>3048</v>
      </c>
      <c r="R90" s="265">
        <v>41730</v>
      </c>
      <c r="S90" s="265">
        <v>42458</v>
      </c>
      <c r="T90" s="39">
        <f t="shared" si="5"/>
        <v>728</v>
      </c>
    </row>
    <row r="91" spans="1:20">
      <c r="A91" s="291" t="s">
        <v>315</v>
      </c>
      <c r="B91" s="292" t="s">
        <v>245</v>
      </c>
      <c r="C91" s="293" t="s">
        <v>930</v>
      </c>
      <c r="D91" s="294">
        <v>502580266</v>
      </c>
      <c r="E91" s="295">
        <v>9197103200</v>
      </c>
      <c r="F91" s="293" t="s">
        <v>252</v>
      </c>
      <c r="G91" s="296">
        <v>39556</v>
      </c>
      <c r="H91" s="297" t="str">
        <f t="shared" si="3"/>
        <v>April</v>
      </c>
      <c r="I91" s="298">
        <f t="shared" ca="1" si="4"/>
        <v>8</v>
      </c>
      <c r="J91" s="298"/>
      <c r="K91" s="299">
        <v>37344</v>
      </c>
      <c r="L91" s="300">
        <v>2</v>
      </c>
      <c r="Q91" s="264" t="s">
        <v>3047</v>
      </c>
      <c r="R91" s="265">
        <v>41994</v>
      </c>
      <c r="S91" s="265">
        <v>42809</v>
      </c>
      <c r="T91" s="39">
        <f t="shared" si="5"/>
        <v>815</v>
      </c>
    </row>
    <row r="92" spans="1:20">
      <c r="A92" s="301" t="s">
        <v>484</v>
      </c>
      <c r="B92" s="302" t="s">
        <v>285</v>
      </c>
      <c r="C92" s="303" t="s">
        <v>417</v>
      </c>
      <c r="D92" s="304">
        <v>575648597</v>
      </c>
      <c r="E92" s="305">
        <v>9198865267</v>
      </c>
      <c r="F92" s="303" t="s">
        <v>247</v>
      </c>
      <c r="G92" s="306">
        <v>38551</v>
      </c>
      <c r="H92" s="307" t="str">
        <f t="shared" si="3"/>
        <v>July</v>
      </c>
      <c r="I92" s="308">
        <f t="shared" ca="1" si="4"/>
        <v>11</v>
      </c>
      <c r="J92" s="308"/>
      <c r="K92" s="309">
        <v>31970</v>
      </c>
      <c r="L92" s="310">
        <v>5</v>
      </c>
      <c r="Q92" s="264" t="s">
        <v>3046</v>
      </c>
      <c r="R92" s="265">
        <v>42218</v>
      </c>
      <c r="S92" s="265">
        <v>42536</v>
      </c>
      <c r="T92" s="39">
        <f t="shared" si="5"/>
        <v>318</v>
      </c>
    </row>
    <row r="93" spans="1:20">
      <c r="A93" s="291" t="s">
        <v>682</v>
      </c>
      <c r="B93" s="292" t="s">
        <v>266</v>
      </c>
      <c r="C93" s="293" t="s">
        <v>856</v>
      </c>
      <c r="D93" s="294">
        <v>889210902</v>
      </c>
      <c r="E93" s="295">
        <v>2527422559</v>
      </c>
      <c r="F93" s="293" t="s">
        <v>256</v>
      </c>
      <c r="G93" s="296">
        <v>37424</v>
      </c>
      <c r="H93" s="297" t="str">
        <f t="shared" si="3"/>
        <v>June</v>
      </c>
      <c r="I93" s="298">
        <f t="shared" ca="1" si="4"/>
        <v>14</v>
      </c>
      <c r="J93" s="298" t="s">
        <v>283</v>
      </c>
      <c r="K93" s="299">
        <v>48250</v>
      </c>
      <c r="L93" s="300">
        <v>3</v>
      </c>
      <c r="Q93" s="264" t="s">
        <v>3045</v>
      </c>
      <c r="R93" s="265">
        <v>41320</v>
      </c>
      <c r="S93" s="265">
        <v>42314</v>
      </c>
      <c r="T93" s="39">
        <f t="shared" si="5"/>
        <v>994</v>
      </c>
    </row>
    <row r="94" spans="1:20">
      <c r="A94" s="301" t="s">
        <v>777</v>
      </c>
      <c r="B94" s="302" t="s">
        <v>280</v>
      </c>
      <c r="C94" s="303" t="s">
        <v>307</v>
      </c>
      <c r="D94" s="304">
        <v>529609767</v>
      </c>
      <c r="E94" s="305">
        <v>2528006736</v>
      </c>
      <c r="F94" s="303" t="s">
        <v>247</v>
      </c>
      <c r="G94" s="306">
        <v>36305</v>
      </c>
      <c r="H94" s="307" t="str">
        <f t="shared" si="3"/>
        <v>May</v>
      </c>
      <c r="I94" s="308">
        <f t="shared" ca="1" si="4"/>
        <v>17</v>
      </c>
      <c r="J94" s="308"/>
      <c r="K94" s="309">
        <v>58130</v>
      </c>
      <c r="L94" s="310">
        <v>2</v>
      </c>
      <c r="Q94" s="264" t="s">
        <v>3044</v>
      </c>
      <c r="R94" s="265">
        <v>40989</v>
      </c>
      <c r="S94" s="265">
        <v>41279</v>
      </c>
      <c r="T94" s="39">
        <f t="shared" si="5"/>
        <v>290</v>
      </c>
    </row>
    <row r="95" spans="1:20">
      <c r="A95" s="291" t="s">
        <v>485</v>
      </c>
      <c r="B95" s="292" t="s">
        <v>280</v>
      </c>
      <c r="C95" s="293" t="s">
        <v>465</v>
      </c>
      <c r="D95" s="294">
        <v>620336005</v>
      </c>
      <c r="E95" s="295">
        <v>9196422185</v>
      </c>
      <c r="F95" s="293" t="s">
        <v>256</v>
      </c>
      <c r="G95" s="296">
        <v>39287</v>
      </c>
      <c r="H95" s="297" t="str">
        <f t="shared" si="3"/>
        <v>July</v>
      </c>
      <c r="I95" s="298">
        <f t="shared" ca="1" si="4"/>
        <v>9</v>
      </c>
      <c r="J95" s="298" t="s">
        <v>257</v>
      </c>
      <c r="K95" s="299">
        <v>41060</v>
      </c>
      <c r="L95" s="300">
        <v>3</v>
      </c>
      <c r="Q95" s="264" t="s">
        <v>3043</v>
      </c>
      <c r="R95" s="265">
        <v>42288</v>
      </c>
      <c r="S95" s="265">
        <v>42639</v>
      </c>
      <c r="T95" s="39">
        <f t="shared" si="5"/>
        <v>351</v>
      </c>
    </row>
    <row r="96" spans="1:20">
      <c r="A96" s="301" t="s">
        <v>275</v>
      </c>
      <c r="B96" s="302" t="s">
        <v>280</v>
      </c>
      <c r="C96" s="303" t="s">
        <v>930</v>
      </c>
      <c r="D96" s="304">
        <v>641962645</v>
      </c>
      <c r="E96" s="305">
        <v>9196965088</v>
      </c>
      <c r="F96" s="303" t="s">
        <v>247</v>
      </c>
      <c r="G96" s="306">
        <v>35045</v>
      </c>
      <c r="H96" s="307" t="str">
        <f t="shared" si="3"/>
        <v>December</v>
      </c>
      <c r="I96" s="308">
        <f t="shared" ca="1" si="4"/>
        <v>20</v>
      </c>
      <c r="J96" s="308"/>
      <c r="K96" s="309">
        <v>78590</v>
      </c>
      <c r="L96" s="310">
        <v>1</v>
      </c>
      <c r="Q96" s="264" t="s">
        <v>3042</v>
      </c>
      <c r="R96" s="265">
        <v>41885</v>
      </c>
      <c r="S96" s="265">
        <v>42393</v>
      </c>
      <c r="T96" s="39">
        <f t="shared" si="5"/>
        <v>508</v>
      </c>
    </row>
    <row r="97" spans="1:20">
      <c r="A97" s="291" t="s">
        <v>632</v>
      </c>
      <c r="B97" s="292" t="s">
        <v>285</v>
      </c>
      <c r="C97" s="293" t="s">
        <v>312</v>
      </c>
      <c r="D97" s="294">
        <v>905675120</v>
      </c>
      <c r="E97" s="295">
        <v>9192526124</v>
      </c>
      <c r="F97" s="293" t="s">
        <v>256</v>
      </c>
      <c r="G97" s="296">
        <v>36117</v>
      </c>
      <c r="H97" s="297" t="str">
        <f t="shared" si="3"/>
        <v>November</v>
      </c>
      <c r="I97" s="298">
        <f t="shared" ca="1" si="4"/>
        <v>17</v>
      </c>
      <c r="J97" s="298" t="s">
        <v>267</v>
      </c>
      <c r="K97" s="299">
        <v>77580</v>
      </c>
      <c r="L97" s="300">
        <v>3</v>
      </c>
      <c r="Q97" s="264" t="s">
        <v>3041</v>
      </c>
      <c r="R97" s="265">
        <v>41739</v>
      </c>
      <c r="S97" s="265">
        <v>42025</v>
      </c>
      <c r="T97" s="39">
        <f t="shared" si="5"/>
        <v>286</v>
      </c>
    </row>
    <row r="98" spans="1:20">
      <c r="A98" s="301" t="s">
        <v>486</v>
      </c>
      <c r="B98" s="302" t="s">
        <v>285</v>
      </c>
      <c r="C98" s="303" t="s">
        <v>767</v>
      </c>
      <c r="D98" s="304">
        <v>552528553</v>
      </c>
      <c r="E98" s="305">
        <v>9194310812</v>
      </c>
      <c r="F98" s="303" t="s">
        <v>252</v>
      </c>
      <c r="G98" s="306">
        <v>37250</v>
      </c>
      <c r="H98" s="307" t="str">
        <f t="shared" si="3"/>
        <v>December</v>
      </c>
      <c r="I98" s="308">
        <f t="shared" ca="1" si="4"/>
        <v>14</v>
      </c>
      <c r="J98" s="308"/>
      <c r="K98" s="309">
        <v>37016</v>
      </c>
      <c r="L98" s="310">
        <v>4</v>
      </c>
      <c r="Q98" s="264" t="s">
        <v>3040</v>
      </c>
      <c r="R98" s="265">
        <v>41782</v>
      </c>
      <c r="S98" s="265">
        <v>42431</v>
      </c>
      <c r="T98" s="39">
        <f t="shared" si="5"/>
        <v>649</v>
      </c>
    </row>
    <row r="99" spans="1:20">
      <c r="A99" s="291" t="s">
        <v>683</v>
      </c>
      <c r="B99" s="292" t="s">
        <v>285</v>
      </c>
      <c r="C99" s="293" t="s">
        <v>465</v>
      </c>
      <c r="D99" s="294">
        <v>894030119</v>
      </c>
      <c r="E99" s="295">
        <v>2528652588</v>
      </c>
      <c r="F99" s="293" t="s">
        <v>256</v>
      </c>
      <c r="G99" s="296">
        <v>37978</v>
      </c>
      <c r="H99" s="297" t="str">
        <f t="shared" si="3"/>
        <v>December</v>
      </c>
      <c r="I99" s="298">
        <f t="shared" ca="1" si="4"/>
        <v>12</v>
      </c>
      <c r="J99" s="298" t="s">
        <v>262</v>
      </c>
      <c r="K99" s="299">
        <v>66010</v>
      </c>
      <c r="L99" s="300">
        <v>5</v>
      </c>
      <c r="Q99" s="264" t="s">
        <v>3039</v>
      </c>
      <c r="R99" s="265">
        <v>42262</v>
      </c>
      <c r="S99" s="265">
        <v>42903</v>
      </c>
      <c r="T99" s="39">
        <f t="shared" si="5"/>
        <v>641</v>
      </c>
    </row>
    <row r="100" spans="1:20">
      <c r="A100" s="301" t="s">
        <v>779</v>
      </c>
      <c r="B100" s="302" t="s">
        <v>271</v>
      </c>
      <c r="C100" s="303" t="s">
        <v>626</v>
      </c>
      <c r="D100" s="304">
        <v>626767704</v>
      </c>
      <c r="E100" s="305">
        <v>2526971022</v>
      </c>
      <c r="F100" s="303" t="s">
        <v>247</v>
      </c>
      <c r="G100" s="306">
        <v>36686</v>
      </c>
      <c r="H100" s="307" t="str">
        <f t="shared" si="3"/>
        <v>June</v>
      </c>
      <c r="I100" s="308">
        <f t="shared" ca="1" si="4"/>
        <v>16</v>
      </c>
      <c r="J100" s="308"/>
      <c r="K100" s="309">
        <v>77930</v>
      </c>
      <c r="L100" s="310">
        <v>5</v>
      </c>
      <c r="Q100" s="264" t="s">
        <v>3038</v>
      </c>
      <c r="R100" s="265">
        <v>41529</v>
      </c>
      <c r="S100" s="265">
        <v>41794</v>
      </c>
      <c r="T100" s="39">
        <f t="shared" si="5"/>
        <v>265</v>
      </c>
    </row>
    <row r="101" spans="1:20">
      <c r="A101" s="291" t="s">
        <v>633</v>
      </c>
      <c r="B101" s="292" t="s">
        <v>271</v>
      </c>
      <c r="C101" s="293" t="s">
        <v>272</v>
      </c>
      <c r="D101" s="294">
        <v>535539723</v>
      </c>
      <c r="E101" s="295">
        <v>2523492633</v>
      </c>
      <c r="F101" s="293" t="s">
        <v>261</v>
      </c>
      <c r="G101" s="296">
        <v>34384</v>
      </c>
      <c r="H101" s="297" t="str">
        <f t="shared" si="3"/>
        <v>February</v>
      </c>
      <c r="I101" s="298">
        <f t="shared" ca="1" si="4"/>
        <v>22</v>
      </c>
      <c r="J101" s="298" t="s">
        <v>262</v>
      </c>
      <c r="K101" s="299">
        <v>30445</v>
      </c>
      <c r="L101" s="300">
        <v>1</v>
      </c>
      <c r="Q101" s="264" t="s">
        <v>3037</v>
      </c>
      <c r="R101" s="265">
        <v>40931</v>
      </c>
      <c r="S101" s="265">
        <v>41740</v>
      </c>
      <c r="T101" s="39">
        <f t="shared" si="5"/>
        <v>809</v>
      </c>
    </row>
    <row r="102" spans="1:20">
      <c r="A102" s="301" t="s">
        <v>419</v>
      </c>
      <c r="B102" s="302" t="s">
        <v>285</v>
      </c>
      <c r="C102" s="303" t="s">
        <v>312</v>
      </c>
      <c r="D102" s="304">
        <v>252276921</v>
      </c>
      <c r="E102" s="305">
        <v>2525777345</v>
      </c>
      <c r="F102" s="303" t="s">
        <v>256</v>
      </c>
      <c r="G102" s="306">
        <v>38695</v>
      </c>
      <c r="H102" s="307" t="str">
        <f t="shared" si="3"/>
        <v>December</v>
      </c>
      <c r="I102" s="308">
        <f t="shared" ca="1" si="4"/>
        <v>10</v>
      </c>
      <c r="J102" s="308" t="s">
        <v>283</v>
      </c>
      <c r="K102" s="309">
        <v>87280</v>
      </c>
      <c r="L102" s="310">
        <v>4</v>
      </c>
      <c r="Q102" s="264" t="s">
        <v>3036</v>
      </c>
      <c r="R102" s="265">
        <v>41992</v>
      </c>
      <c r="S102" s="265">
        <v>42476</v>
      </c>
      <c r="T102" s="39">
        <f t="shared" si="5"/>
        <v>484</v>
      </c>
    </row>
    <row r="103" spans="1:20">
      <c r="A103" s="291" t="s">
        <v>487</v>
      </c>
      <c r="B103" s="292" t="s">
        <v>245</v>
      </c>
      <c r="C103" s="293" t="s">
        <v>856</v>
      </c>
      <c r="D103" s="294">
        <v>649292883</v>
      </c>
      <c r="E103" s="295">
        <v>9198413896</v>
      </c>
      <c r="F103" s="293" t="s">
        <v>256</v>
      </c>
      <c r="G103" s="296">
        <v>39147</v>
      </c>
      <c r="H103" s="297" t="str">
        <f t="shared" si="3"/>
        <v>March</v>
      </c>
      <c r="I103" s="298">
        <f t="shared" ca="1" si="4"/>
        <v>9</v>
      </c>
      <c r="J103" s="298" t="s">
        <v>283</v>
      </c>
      <c r="K103" s="299">
        <v>31910</v>
      </c>
      <c r="L103" s="300">
        <v>5</v>
      </c>
      <c r="Q103" s="264" t="s">
        <v>3035</v>
      </c>
      <c r="R103" s="265">
        <v>41552</v>
      </c>
      <c r="S103" s="265">
        <v>41667</v>
      </c>
      <c r="T103" s="39">
        <f t="shared" si="5"/>
        <v>115</v>
      </c>
    </row>
    <row r="104" spans="1:20">
      <c r="A104" s="301" t="s">
        <v>488</v>
      </c>
      <c r="B104" s="302" t="s">
        <v>266</v>
      </c>
      <c r="C104" s="303" t="s">
        <v>767</v>
      </c>
      <c r="D104" s="304">
        <v>920265140</v>
      </c>
      <c r="E104" s="305">
        <v>2524078104</v>
      </c>
      <c r="F104" s="303" t="s">
        <v>256</v>
      </c>
      <c r="G104" s="306">
        <v>39700</v>
      </c>
      <c r="H104" s="307" t="str">
        <f t="shared" si="3"/>
        <v>September</v>
      </c>
      <c r="I104" s="308">
        <f t="shared" ca="1" si="4"/>
        <v>8</v>
      </c>
      <c r="J104" s="308" t="s">
        <v>262</v>
      </c>
      <c r="K104" s="309">
        <v>62688</v>
      </c>
      <c r="L104" s="310">
        <v>3</v>
      </c>
      <c r="Q104" s="264" t="s">
        <v>3034</v>
      </c>
      <c r="R104" s="265">
        <v>41586</v>
      </c>
      <c r="S104" s="265">
        <v>42443</v>
      </c>
      <c r="T104" s="39">
        <f t="shared" si="5"/>
        <v>857</v>
      </c>
    </row>
    <row r="105" spans="1:20">
      <c r="A105" s="291" t="s">
        <v>780</v>
      </c>
      <c r="B105" s="292" t="s">
        <v>245</v>
      </c>
      <c r="C105" s="293" t="s">
        <v>272</v>
      </c>
      <c r="D105" s="294">
        <v>297852686</v>
      </c>
      <c r="E105" s="295">
        <v>2525832994</v>
      </c>
      <c r="F105" s="293" t="s">
        <v>256</v>
      </c>
      <c r="G105" s="296">
        <v>40614</v>
      </c>
      <c r="H105" s="297" t="str">
        <f t="shared" si="3"/>
        <v>March</v>
      </c>
      <c r="I105" s="298">
        <f t="shared" ca="1" si="4"/>
        <v>5</v>
      </c>
      <c r="J105" s="298" t="s">
        <v>276</v>
      </c>
      <c r="K105" s="299">
        <v>58290</v>
      </c>
      <c r="L105" s="300">
        <v>5</v>
      </c>
      <c r="Q105" s="264" t="s">
        <v>3033</v>
      </c>
      <c r="R105" s="265">
        <v>42292</v>
      </c>
      <c r="S105" s="265">
        <v>43059</v>
      </c>
      <c r="T105" s="39">
        <f t="shared" si="5"/>
        <v>767</v>
      </c>
    </row>
    <row r="106" spans="1:20">
      <c r="A106" s="301" t="s">
        <v>634</v>
      </c>
      <c r="B106" s="302" t="s">
        <v>271</v>
      </c>
      <c r="C106" s="303" t="s">
        <v>465</v>
      </c>
      <c r="D106" s="304">
        <v>910964196</v>
      </c>
      <c r="E106" s="305">
        <v>9194361873</v>
      </c>
      <c r="F106" s="303" t="s">
        <v>247</v>
      </c>
      <c r="G106" s="306">
        <v>34729</v>
      </c>
      <c r="H106" s="307" t="str">
        <f t="shared" si="3"/>
        <v>January</v>
      </c>
      <c r="I106" s="308">
        <f t="shared" ca="1" si="4"/>
        <v>21</v>
      </c>
      <c r="J106" s="308"/>
      <c r="K106" s="309">
        <v>49530</v>
      </c>
      <c r="L106" s="310">
        <v>2</v>
      </c>
      <c r="Q106" s="264" t="s">
        <v>3032</v>
      </c>
      <c r="R106" s="265">
        <v>41957</v>
      </c>
      <c r="S106" s="265">
        <v>42456</v>
      </c>
      <c r="T106" s="39">
        <f t="shared" si="5"/>
        <v>499</v>
      </c>
    </row>
    <row r="107" spans="1:20">
      <c r="A107" s="291" t="s">
        <v>457</v>
      </c>
      <c r="B107" s="292" t="s">
        <v>285</v>
      </c>
      <c r="C107" s="293" t="s">
        <v>465</v>
      </c>
      <c r="D107" s="294">
        <v>618535019</v>
      </c>
      <c r="E107" s="295">
        <v>9193695179</v>
      </c>
      <c r="F107" s="293" t="s">
        <v>256</v>
      </c>
      <c r="G107" s="296">
        <v>36842</v>
      </c>
      <c r="H107" s="297" t="str">
        <f t="shared" si="3"/>
        <v>November</v>
      </c>
      <c r="I107" s="298">
        <f t="shared" ca="1" si="4"/>
        <v>15</v>
      </c>
      <c r="J107" s="298" t="s">
        <v>283</v>
      </c>
      <c r="K107" s="299">
        <v>89740</v>
      </c>
      <c r="L107" s="300">
        <v>5</v>
      </c>
      <c r="Q107" s="264" t="s">
        <v>3031</v>
      </c>
      <c r="R107" s="265">
        <v>41058</v>
      </c>
      <c r="S107" s="265">
        <v>41303</v>
      </c>
      <c r="T107" s="39">
        <f t="shared" si="5"/>
        <v>245</v>
      </c>
    </row>
    <row r="108" spans="1:20">
      <c r="A108" s="301" t="s">
        <v>781</v>
      </c>
      <c r="B108" s="302" t="s">
        <v>285</v>
      </c>
      <c r="C108" s="303" t="s">
        <v>856</v>
      </c>
      <c r="D108" s="304">
        <v>110726520</v>
      </c>
      <c r="E108" s="305">
        <v>9197963782</v>
      </c>
      <c r="F108" s="303" t="s">
        <v>256</v>
      </c>
      <c r="G108" s="306">
        <v>36407</v>
      </c>
      <c r="H108" s="307" t="str">
        <f t="shared" si="3"/>
        <v>September</v>
      </c>
      <c r="I108" s="308">
        <f t="shared" ca="1" si="4"/>
        <v>17</v>
      </c>
      <c r="J108" s="308" t="s">
        <v>257</v>
      </c>
      <c r="K108" s="309">
        <v>78710</v>
      </c>
      <c r="L108" s="310">
        <v>4</v>
      </c>
      <c r="Q108" s="264" t="s">
        <v>3030</v>
      </c>
      <c r="R108" s="265">
        <v>41601</v>
      </c>
      <c r="S108" s="265">
        <v>42029</v>
      </c>
      <c r="T108" s="39">
        <f t="shared" si="5"/>
        <v>428</v>
      </c>
    </row>
    <row r="109" spans="1:20">
      <c r="A109" s="291" t="s">
        <v>380</v>
      </c>
      <c r="B109" s="292" t="s">
        <v>245</v>
      </c>
      <c r="C109" s="293" t="s">
        <v>930</v>
      </c>
      <c r="D109" s="294">
        <v>741258203</v>
      </c>
      <c r="E109" s="295">
        <v>9195157707</v>
      </c>
      <c r="F109" s="293" t="s">
        <v>247</v>
      </c>
      <c r="G109" s="296">
        <v>34699</v>
      </c>
      <c r="H109" s="297" t="str">
        <f t="shared" si="3"/>
        <v>December</v>
      </c>
      <c r="I109" s="298">
        <f t="shared" ca="1" si="4"/>
        <v>21</v>
      </c>
      <c r="J109" s="298"/>
      <c r="K109" s="299">
        <v>59128</v>
      </c>
      <c r="L109" s="300">
        <v>4</v>
      </c>
      <c r="Q109" s="264" t="s">
        <v>3029</v>
      </c>
      <c r="R109" s="265">
        <v>41575</v>
      </c>
      <c r="S109" s="265">
        <v>42214</v>
      </c>
      <c r="T109" s="39">
        <f t="shared" si="5"/>
        <v>639</v>
      </c>
    </row>
    <row r="110" spans="1:20">
      <c r="A110" s="301" t="s">
        <v>1059</v>
      </c>
      <c r="B110" s="302" t="s">
        <v>245</v>
      </c>
      <c r="C110" s="303" t="s">
        <v>767</v>
      </c>
      <c r="D110" s="304">
        <v>484442635</v>
      </c>
      <c r="E110" s="305">
        <v>2527194901</v>
      </c>
      <c r="F110" s="303" t="s">
        <v>247</v>
      </c>
      <c r="G110" s="306">
        <v>34077</v>
      </c>
      <c r="H110" s="307" t="str">
        <f t="shared" si="3"/>
        <v>April</v>
      </c>
      <c r="I110" s="308">
        <f t="shared" ca="1" si="4"/>
        <v>23</v>
      </c>
      <c r="J110" s="308"/>
      <c r="K110" s="309">
        <v>23020</v>
      </c>
      <c r="L110" s="310">
        <v>4</v>
      </c>
      <c r="Q110" s="264" t="s">
        <v>3028</v>
      </c>
      <c r="R110" s="265">
        <v>41668</v>
      </c>
      <c r="S110" s="265">
        <v>41981</v>
      </c>
      <c r="T110" s="39">
        <f t="shared" si="5"/>
        <v>313</v>
      </c>
    </row>
    <row r="111" spans="1:20">
      <c r="A111" s="291" t="s">
        <v>868</v>
      </c>
      <c r="B111" s="292" t="s">
        <v>251</v>
      </c>
      <c r="C111" s="293" t="s">
        <v>465</v>
      </c>
      <c r="D111" s="294">
        <v>884025623</v>
      </c>
      <c r="E111" s="295">
        <v>2521280865</v>
      </c>
      <c r="F111" s="293" t="s">
        <v>247</v>
      </c>
      <c r="G111" s="296">
        <v>34941</v>
      </c>
      <c r="H111" s="297" t="str">
        <f t="shared" si="3"/>
        <v>August</v>
      </c>
      <c r="I111" s="298">
        <f t="shared" ca="1" si="4"/>
        <v>21</v>
      </c>
      <c r="J111" s="298"/>
      <c r="K111" s="299">
        <v>64430</v>
      </c>
      <c r="L111" s="300">
        <v>4</v>
      </c>
      <c r="Q111" s="264" t="s">
        <v>3027</v>
      </c>
      <c r="R111" s="265">
        <v>41260</v>
      </c>
      <c r="S111" s="265">
        <v>42131</v>
      </c>
      <c r="T111" s="39">
        <f t="shared" si="5"/>
        <v>871</v>
      </c>
    </row>
    <row r="112" spans="1:20">
      <c r="A112" s="301" t="s">
        <v>619</v>
      </c>
      <c r="B112" s="302" t="s">
        <v>285</v>
      </c>
      <c r="C112" s="303" t="s">
        <v>626</v>
      </c>
      <c r="D112" s="304">
        <v>983891302</v>
      </c>
      <c r="E112" s="305">
        <v>9191462245</v>
      </c>
      <c r="F112" s="303" t="s">
        <v>256</v>
      </c>
      <c r="G112" s="306">
        <v>36457</v>
      </c>
      <c r="H112" s="307" t="str">
        <f t="shared" si="3"/>
        <v>October</v>
      </c>
      <c r="I112" s="308">
        <f t="shared" ca="1" si="4"/>
        <v>17</v>
      </c>
      <c r="J112" s="308" t="s">
        <v>257</v>
      </c>
      <c r="K112" s="309">
        <v>81640</v>
      </c>
      <c r="L112" s="310">
        <v>4</v>
      </c>
      <c r="Q112" s="264" t="s">
        <v>3026</v>
      </c>
      <c r="R112" s="265">
        <v>42219</v>
      </c>
      <c r="S112" s="265">
        <v>43055</v>
      </c>
      <c r="T112" s="39">
        <f t="shared" si="5"/>
        <v>836</v>
      </c>
    </row>
    <row r="113" spans="1:20">
      <c r="A113" s="291" t="s">
        <v>489</v>
      </c>
      <c r="B113" s="292" t="s">
        <v>251</v>
      </c>
      <c r="C113" s="293" t="s">
        <v>767</v>
      </c>
      <c r="D113" s="294">
        <v>265323292</v>
      </c>
      <c r="E113" s="295">
        <v>2522939413</v>
      </c>
      <c r="F113" s="293" t="s">
        <v>256</v>
      </c>
      <c r="G113" s="296">
        <v>37046</v>
      </c>
      <c r="H113" s="297" t="str">
        <f t="shared" si="3"/>
        <v>June</v>
      </c>
      <c r="I113" s="298">
        <f t="shared" ca="1" si="4"/>
        <v>15</v>
      </c>
      <c r="J113" s="298" t="s">
        <v>283</v>
      </c>
      <c r="K113" s="299">
        <v>45000</v>
      </c>
      <c r="L113" s="300">
        <v>4</v>
      </c>
      <c r="Q113" s="264" t="s">
        <v>3025</v>
      </c>
      <c r="R113" s="265">
        <v>42116</v>
      </c>
      <c r="S113" s="265">
        <v>42246</v>
      </c>
      <c r="T113" s="39">
        <f t="shared" si="5"/>
        <v>130</v>
      </c>
    </row>
    <row r="114" spans="1:20">
      <c r="A114" s="301" t="s">
        <v>297</v>
      </c>
      <c r="B114" s="302" t="s">
        <v>271</v>
      </c>
      <c r="C114" s="303" t="s">
        <v>856</v>
      </c>
      <c r="D114" s="304">
        <v>304024314</v>
      </c>
      <c r="E114" s="305">
        <v>9192244880</v>
      </c>
      <c r="F114" s="303" t="s">
        <v>247</v>
      </c>
      <c r="G114" s="306">
        <v>34331</v>
      </c>
      <c r="H114" s="307" t="str">
        <f t="shared" si="3"/>
        <v>December</v>
      </c>
      <c r="I114" s="308">
        <f t="shared" ca="1" si="4"/>
        <v>22</v>
      </c>
      <c r="J114" s="308"/>
      <c r="K114" s="309">
        <v>46650</v>
      </c>
      <c r="L114" s="310">
        <v>2</v>
      </c>
      <c r="Q114" s="264" t="s">
        <v>3024</v>
      </c>
      <c r="R114" s="265">
        <v>41467</v>
      </c>
      <c r="S114" s="265">
        <v>42259</v>
      </c>
      <c r="T114" s="39">
        <f t="shared" si="5"/>
        <v>792</v>
      </c>
    </row>
    <row r="115" spans="1:20">
      <c r="A115" s="291" t="s">
        <v>490</v>
      </c>
      <c r="B115" s="292" t="s">
        <v>285</v>
      </c>
      <c r="C115" s="293" t="s">
        <v>930</v>
      </c>
      <c r="D115" s="294">
        <v>763182349</v>
      </c>
      <c r="E115" s="295">
        <v>2527780776</v>
      </c>
      <c r="F115" s="293" t="s">
        <v>247</v>
      </c>
      <c r="G115" s="296">
        <v>35036</v>
      </c>
      <c r="H115" s="297" t="str">
        <f t="shared" si="3"/>
        <v>December</v>
      </c>
      <c r="I115" s="298">
        <f t="shared" ca="1" si="4"/>
        <v>20</v>
      </c>
      <c r="J115" s="298"/>
      <c r="K115" s="299">
        <v>75550</v>
      </c>
      <c r="L115" s="300">
        <v>3</v>
      </c>
      <c r="Q115" s="264" t="s">
        <v>3023</v>
      </c>
      <c r="R115" s="265">
        <v>42193</v>
      </c>
      <c r="S115" s="265">
        <v>42375</v>
      </c>
      <c r="T115" s="39">
        <f t="shared" si="5"/>
        <v>182</v>
      </c>
    </row>
    <row r="116" spans="1:20">
      <c r="A116" s="301" t="s">
        <v>782</v>
      </c>
      <c r="B116" s="302" t="s">
        <v>271</v>
      </c>
      <c r="C116" s="303" t="s">
        <v>372</v>
      </c>
      <c r="D116" s="304">
        <v>759350847</v>
      </c>
      <c r="E116" s="305">
        <v>2527474942</v>
      </c>
      <c r="F116" s="303" t="s">
        <v>256</v>
      </c>
      <c r="G116" s="306">
        <v>39307</v>
      </c>
      <c r="H116" s="307" t="str">
        <f t="shared" si="3"/>
        <v>August</v>
      </c>
      <c r="I116" s="308">
        <f t="shared" ca="1" si="4"/>
        <v>9</v>
      </c>
      <c r="J116" s="308" t="s">
        <v>257</v>
      </c>
      <c r="K116" s="309">
        <v>36630</v>
      </c>
      <c r="L116" s="310">
        <v>4</v>
      </c>
      <c r="Q116" s="264" t="s">
        <v>3022</v>
      </c>
      <c r="R116" s="265">
        <v>41767</v>
      </c>
      <c r="S116" s="265">
        <v>42732</v>
      </c>
      <c r="T116" s="39">
        <f t="shared" si="5"/>
        <v>965</v>
      </c>
    </row>
    <row r="117" spans="1:20">
      <c r="A117" s="291" t="s">
        <v>939</v>
      </c>
      <c r="B117" s="292" t="s">
        <v>245</v>
      </c>
      <c r="C117" s="293" t="s">
        <v>465</v>
      </c>
      <c r="D117" s="294">
        <v>566726453</v>
      </c>
      <c r="E117" s="295">
        <v>9192168237</v>
      </c>
      <c r="F117" s="293" t="s">
        <v>256</v>
      </c>
      <c r="G117" s="296">
        <v>35930</v>
      </c>
      <c r="H117" s="297" t="str">
        <f t="shared" si="3"/>
        <v>May</v>
      </c>
      <c r="I117" s="298">
        <f t="shared" ca="1" si="4"/>
        <v>18</v>
      </c>
      <c r="J117" s="298" t="s">
        <v>262</v>
      </c>
      <c r="K117" s="299">
        <v>38940</v>
      </c>
      <c r="L117" s="300">
        <v>2</v>
      </c>
      <c r="Q117" s="264" t="s">
        <v>3021</v>
      </c>
      <c r="R117" s="265">
        <v>41465</v>
      </c>
      <c r="S117" s="265">
        <v>42159</v>
      </c>
      <c r="T117" s="39">
        <f t="shared" si="5"/>
        <v>694</v>
      </c>
    </row>
    <row r="118" spans="1:20">
      <c r="A118" s="301" t="s">
        <v>783</v>
      </c>
      <c r="B118" s="302" t="s">
        <v>245</v>
      </c>
      <c r="C118" s="303" t="s">
        <v>750</v>
      </c>
      <c r="D118" s="304">
        <v>360904659</v>
      </c>
      <c r="E118" s="305">
        <v>2523766803</v>
      </c>
      <c r="F118" s="303" t="s">
        <v>256</v>
      </c>
      <c r="G118" s="306">
        <v>34498</v>
      </c>
      <c r="H118" s="307" t="str">
        <f t="shared" si="3"/>
        <v>June</v>
      </c>
      <c r="I118" s="308">
        <f t="shared" ca="1" si="4"/>
        <v>22</v>
      </c>
      <c r="J118" s="308" t="s">
        <v>283</v>
      </c>
      <c r="K118" s="309">
        <v>44620</v>
      </c>
      <c r="L118" s="310">
        <v>5</v>
      </c>
      <c r="Q118" s="264" t="s">
        <v>3020</v>
      </c>
      <c r="R118" s="265">
        <v>41781</v>
      </c>
      <c r="S118" s="265">
        <v>42030</v>
      </c>
      <c r="T118" s="39">
        <f t="shared" si="5"/>
        <v>249</v>
      </c>
    </row>
    <row r="119" spans="1:20">
      <c r="A119" s="291" t="s">
        <v>491</v>
      </c>
      <c r="B119" s="292" t="s">
        <v>271</v>
      </c>
      <c r="C119" s="293" t="s">
        <v>930</v>
      </c>
      <c r="D119" s="294">
        <v>671823263</v>
      </c>
      <c r="E119" s="295">
        <v>2526718651</v>
      </c>
      <c r="F119" s="293" t="s">
        <v>256</v>
      </c>
      <c r="G119" s="296">
        <v>41547</v>
      </c>
      <c r="H119" s="297" t="str">
        <f t="shared" si="3"/>
        <v>September</v>
      </c>
      <c r="I119" s="298">
        <f t="shared" ca="1" si="4"/>
        <v>3</v>
      </c>
      <c r="J119" s="298" t="s">
        <v>257</v>
      </c>
      <c r="K119" s="299">
        <v>86640</v>
      </c>
      <c r="L119" s="300">
        <v>3</v>
      </c>
      <c r="Q119" s="264" t="s">
        <v>3019</v>
      </c>
      <c r="R119" s="265">
        <v>41119</v>
      </c>
      <c r="S119" s="265">
        <v>41429</v>
      </c>
      <c r="T119" s="39">
        <f t="shared" si="5"/>
        <v>310</v>
      </c>
    </row>
    <row r="120" spans="1:20">
      <c r="A120" s="301" t="s">
        <v>492</v>
      </c>
      <c r="B120" s="302" t="s">
        <v>271</v>
      </c>
      <c r="C120" s="303" t="s">
        <v>856</v>
      </c>
      <c r="D120" s="304">
        <v>843632637</v>
      </c>
      <c r="E120" s="305">
        <v>9198545681</v>
      </c>
      <c r="F120" s="303" t="s">
        <v>252</v>
      </c>
      <c r="G120" s="306">
        <v>36771</v>
      </c>
      <c r="H120" s="307" t="str">
        <f t="shared" si="3"/>
        <v>September</v>
      </c>
      <c r="I120" s="308">
        <f t="shared" ca="1" si="4"/>
        <v>16</v>
      </c>
      <c r="J120" s="308"/>
      <c r="K120" s="309">
        <v>12836</v>
      </c>
      <c r="L120" s="310">
        <v>5</v>
      </c>
      <c r="Q120" s="264" t="s">
        <v>3018</v>
      </c>
      <c r="R120" s="265">
        <v>41368</v>
      </c>
      <c r="S120" s="265">
        <v>41616</v>
      </c>
      <c r="T120" s="39">
        <f t="shared" si="5"/>
        <v>248</v>
      </c>
    </row>
    <row r="121" spans="1:20">
      <c r="A121" s="291" t="s">
        <v>712</v>
      </c>
      <c r="B121" s="292" t="s">
        <v>285</v>
      </c>
      <c r="C121" s="293" t="s">
        <v>411</v>
      </c>
      <c r="D121" s="294">
        <v>699053064</v>
      </c>
      <c r="E121" s="295">
        <v>9191299076</v>
      </c>
      <c r="F121" s="293" t="s">
        <v>247</v>
      </c>
      <c r="G121" s="296">
        <v>39437</v>
      </c>
      <c r="H121" s="297" t="str">
        <f t="shared" si="3"/>
        <v>December</v>
      </c>
      <c r="I121" s="298">
        <f t="shared" ca="1" si="4"/>
        <v>8</v>
      </c>
      <c r="J121" s="298"/>
      <c r="K121" s="299">
        <v>60060</v>
      </c>
      <c r="L121" s="300">
        <v>2</v>
      </c>
      <c r="Q121" s="264" t="s">
        <v>3017</v>
      </c>
      <c r="R121" s="265">
        <v>41242</v>
      </c>
      <c r="S121" s="265">
        <v>41652</v>
      </c>
      <c r="T121" s="39">
        <f t="shared" si="5"/>
        <v>410</v>
      </c>
    </row>
    <row r="122" spans="1:20">
      <c r="A122" s="301" t="s">
        <v>309</v>
      </c>
      <c r="B122" s="302" t="s">
        <v>266</v>
      </c>
      <c r="C122" s="303" t="s">
        <v>678</v>
      </c>
      <c r="D122" s="304">
        <v>113377726</v>
      </c>
      <c r="E122" s="305">
        <v>9197494648</v>
      </c>
      <c r="F122" s="303" t="s">
        <v>256</v>
      </c>
      <c r="G122" s="306">
        <v>37376</v>
      </c>
      <c r="H122" s="307" t="str">
        <f t="shared" si="3"/>
        <v>April</v>
      </c>
      <c r="I122" s="308">
        <f t="shared" ca="1" si="4"/>
        <v>14</v>
      </c>
      <c r="J122" s="308" t="s">
        <v>283</v>
      </c>
      <c r="K122" s="309">
        <v>68410</v>
      </c>
      <c r="L122" s="310">
        <v>5</v>
      </c>
      <c r="Q122" s="264" t="s">
        <v>3016</v>
      </c>
      <c r="R122" s="265">
        <v>41505</v>
      </c>
      <c r="S122" s="265">
        <v>41759</v>
      </c>
      <c r="T122" s="39">
        <f t="shared" si="5"/>
        <v>254</v>
      </c>
    </row>
    <row r="123" spans="1:20">
      <c r="A123" s="291" t="s">
        <v>784</v>
      </c>
      <c r="B123" s="292" t="s">
        <v>271</v>
      </c>
      <c r="C123" s="293" t="s">
        <v>312</v>
      </c>
      <c r="D123" s="294">
        <v>148899089</v>
      </c>
      <c r="E123" s="295">
        <v>2524734960</v>
      </c>
      <c r="F123" s="293" t="s">
        <v>261</v>
      </c>
      <c r="G123" s="296">
        <v>35076</v>
      </c>
      <c r="H123" s="297" t="str">
        <f t="shared" si="3"/>
        <v>January</v>
      </c>
      <c r="I123" s="298">
        <f t="shared" ca="1" si="4"/>
        <v>20</v>
      </c>
      <c r="J123" s="298" t="s">
        <v>257</v>
      </c>
      <c r="K123" s="299">
        <v>26890</v>
      </c>
      <c r="L123" s="300">
        <v>3</v>
      </c>
      <c r="Q123" s="264" t="s">
        <v>3015</v>
      </c>
      <c r="R123" s="265">
        <v>42102</v>
      </c>
      <c r="S123" s="265">
        <v>42413</v>
      </c>
      <c r="T123" s="39">
        <f t="shared" si="5"/>
        <v>311</v>
      </c>
    </row>
    <row r="124" spans="1:20">
      <c r="A124" s="301" t="s">
        <v>869</v>
      </c>
      <c r="B124" s="302" t="s">
        <v>285</v>
      </c>
      <c r="C124" s="303" t="s">
        <v>626</v>
      </c>
      <c r="D124" s="304">
        <v>751878224</v>
      </c>
      <c r="E124" s="305">
        <v>9194713628</v>
      </c>
      <c r="F124" s="303" t="s">
        <v>256</v>
      </c>
      <c r="G124" s="306">
        <v>34516</v>
      </c>
      <c r="H124" s="307" t="str">
        <f t="shared" si="3"/>
        <v>July</v>
      </c>
      <c r="I124" s="308">
        <f t="shared" ca="1" si="4"/>
        <v>22</v>
      </c>
      <c r="J124" s="308" t="s">
        <v>262</v>
      </c>
      <c r="K124" s="309">
        <v>87120</v>
      </c>
      <c r="L124" s="310">
        <v>3</v>
      </c>
      <c r="Q124" s="264" t="s">
        <v>3014</v>
      </c>
      <c r="R124" s="265">
        <v>41367</v>
      </c>
      <c r="S124" s="265">
        <v>41956</v>
      </c>
      <c r="T124" s="39">
        <f t="shared" si="5"/>
        <v>589</v>
      </c>
    </row>
    <row r="125" spans="1:20">
      <c r="A125" s="291" t="s">
        <v>277</v>
      </c>
      <c r="B125" s="292" t="s">
        <v>245</v>
      </c>
      <c r="C125" s="293" t="s">
        <v>856</v>
      </c>
      <c r="D125" s="294">
        <v>855135948</v>
      </c>
      <c r="E125" s="295">
        <v>9196408497</v>
      </c>
      <c r="F125" s="293" t="s">
        <v>256</v>
      </c>
      <c r="G125" s="296">
        <v>40725</v>
      </c>
      <c r="H125" s="297" t="str">
        <f t="shared" si="3"/>
        <v>July</v>
      </c>
      <c r="I125" s="298">
        <f t="shared" ca="1" si="4"/>
        <v>5</v>
      </c>
      <c r="J125" s="298" t="s">
        <v>283</v>
      </c>
      <c r="K125" s="299">
        <v>72060</v>
      </c>
      <c r="L125" s="300">
        <v>2</v>
      </c>
      <c r="Q125" s="264" t="s">
        <v>3013</v>
      </c>
      <c r="R125" s="265">
        <v>41488</v>
      </c>
      <c r="S125" s="265">
        <v>42325</v>
      </c>
      <c r="T125" s="39">
        <f t="shared" si="5"/>
        <v>837</v>
      </c>
    </row>
    <row r="126" spans="1:20">
      <c r="A126" s="301" t="s">
        <v>635</v>
      </c>
      <c r="B126" s="302" t="s">
        <v>266</v>
      </c>
      <c r="C126" s="303" t="s">
        <v>465</v>
      </c>
      <c r="D126" s="304">
        <v>292993080</v>
      </c>
      <c r="E126" s="305">
        <v>2525085320</v>
      </c>
      <c r="F126" s="303" t="s">
        <v>256</v>
      </c>
      <c r="G126" s="306">
        <v>40365</v>
      </c>
      <c r="H126" s="307" t="str">
        <f t="shared" si="3"/>
        <v>July</v>
      </c>
      <c r="I126" s="308">
        <f t="shared" ca="1" si="4"/>
        <v>6</v>
      </c>
      <c r="J126" s="308" t="s">
        <v>283</v>
      </c>
      <c r="K126" s="309">
        <v>59420</v>
      </c>
      <c r="L126" s="310">
        <v>4</v>
      </c>
      <c r="Q126" s="264" t="s">
        <v>3012</v>
      </c>
      <c r="R126" s="265">
        <v>41395</v>
      </c>
      <c r="S126" s="265">
        <v>41808</v>
      </c>
      <c r="T126" s="39">
        <f t="shared" si="5"/>
        <v>413</v>
      </c>
    </row>
    <row r="127" spans="1:20">
      <c r="A127" s="291" t="s">
        <v>420</v>
      </c>
      <c r="B127" s="292" t="s">
        <v>271</v>
      </c>
      <c r="C127" s="293" t="s">
        <v>705</v>
      </c>
      <c r="D127" s="294">
        <v>816607187</v>
      </c>
      <c r="E127" s="295">
        <v>9195520461</v>
      </c>
      <c r="F127" s="293" t="s">
        <v>252</v>
      </c>
      <c r="G127" s="296">
        <v>41362</v>
      </c>
      <c r="H127" s="297" t="str">
        <f t="shared" si="3"/>
        <v>March</v>
      </c>
      <c r="I127" s="298">
        <f t="shared" ca="1" si="4"/>
        <v>3</v>
      </c>
      <c r="J127" s="298"/>
      <c r="K127" s="299">
        <v>9180</v>
      </c>
      <c r="L127" s="300">
        <v>3</v>
      </c>
      <c r="Q127" s="264" t="s">
        <v>3011</v>
      </c>
      <c r="R127" s="265">
        <v>41555</v>
      </c>
      <c r="S127" s="265">
        <v>42498</v>
      </c>
      <c r="T127" s="39">
        <f t="shared" si="5"/>
        <v>943</v>
      </c>
    </row>
    <row r="128" spans="1:20">
      <c r="A128" s="301" t="s">
        <v>684</v>
      </c>
      <c r="B128" s="302" t="s">
        <v>285</v>
      </c>
      <c r="C128" s="303" t="s">
        <v>465</v>
      </c>
      <c r="D128" s="304">
        <v>475517002</v>
      </c>
      <c r="E128" s="305">
        <v>2523909820</v>
      </c>
      <c r="F128" s="303" t="s">
        <v>256</v>
      </c>
      <c r="G128" s="306">
        <v>37228</v>
      </c>
      <c r="H128" s="307" t="str">
        <f t="shared" si="3"/>
        <v>December</v>
      </c>
      <c r="I128" s="308">
        <f t="shared" ca="1" si="4"/>
        <v>14</v>
      </c>
      <c r="J128" s="308" t="s">
        <v>283</v>
      </c>
      <c r="K128" s="309">
        <v>68750</v>
      </c>
      <c r="L128" s="310">
        <v>1</v>
      </c>
      <c r="Q128" s="264" t="s">
        <v>3010</v>
      </c>
      <c r="R128" s="265">
        <v>42101</v>
      </c>
      <c r="S128" s="265">
        <v>42998</v>
      </c>
      <c r="T128" s="39">
        <f t="shared" si="5"/>
        <v>897</v>
      </c>
    </row>
    <row r="129" spans="1:20">
      <c r="A129" s="291" t="s">
        <v>785</v>
      </c>
      <c r="B129" s="292" t="s">
        <v>266</v>
      </c>
      <c r="C129" s="293" t="s">
        <v>465</v>
      </c>
      <c r="D129" s="294">
        <v>425634540</v>
      </c>
      <c r="E129" s="295">
        <v>9196969994</v>
      </c>
      <c r="F129" s="293" t="s">
        <v>256</v>
      </c>
      <c r="G129" s="296">
        <v>41085</v>
      </c>
      <c r="H129" s="297" t="str">
        <f t="shared" si="3"/>
        <v>June</v>
      </c>
      <c r="I129" s="298">
        <f t="shared" ca="1" si="4"/>
        <v>4</v>
      </c>
      <c r="J129" s="298" t="s">
        <v>267</v>
      </c>
      <c r="K129" s="299">
        <v>34690</v>
      </c>
      <c r="L129" s="300">
        <v>2</v>
      </c>
      <c r="Q129" s="264" t="s">
        <v>3009</v>
      </c>
      <c r="R129" s="265">
        <v>41413</v>
      </c>
      <c r="S129" s="265">
        <v>42274</v>
      </c>
      <c r="T129" s="39">
        <f t="shared" si="5"/>
        <v>861</v>
      </c>
    </row>
    <row r="130" spans="1:20">
      <c r="A130" s="301" t="s">
        <v>870</v>
      </c>
      <c r="B130" s="302" t="s">
        <v>271</v>
      </c>
      <c r="C130" s="303" t="s">
        <v>856</v>
      </c>
      <c r="D130" s="304">
        <v>102159909</v>
      </c>
      <c r="E130" s="305">
        <v>2521868104</v>
      </c>
      <c r="F130" s="303" t="s">
        <v>252</v>
      </c>
      <c r="G130" s="306">
        <v>35255</v>
      </c>
      <c r="H130" s="307" t="str">
        <f t="shared" si="3"/>
        <v>July</v>
      </c>
      <c r="I130" s="308">
        <f t="shared" ca="1" si="4"/>
        <v>20</v>
      </c>
      <c r="J130" s="308"/>
      <c r="K130" s="309">
        <v>36788</v>
      </c>
      <c r="L130" s="310">
        <v>4</v>
      </c>
      <c r="Q130" s="264" t="s">
        <v>3008</v>
      </c>
      <c r="R130" s="265">
        <v>41315</v>
      </c>
      <c r="S130" s="265">
        <v>41529</v>
      </c>
      <c r="T130" s="39">
        <f t="shared" si="5"/>
        <v>214</v>
      </c>
    </row>
    <row r="131" spans="1:20">
      <c r="A131" s="291" t="s">
        <v>421</v>
      </c>
      <c r="B131" s="292" t="s">
        <v>271</v>
      </c>
      <c r="C131" s="293" t="s">
        <v>417</v>
      </c>
      <c r="D131" s="294">
        <v>518690148</v>
      </c>
      <c r="E131" s="295">
        <v>2526500529</v>
      </c>
      <c r="F131" s="293" t="s">
        <v>256</v>
      </c>
      <c r="G131" s="296">
        <v>41309</v>
      </c>
      <c r="H131" s="297" t="str">
        <f t="shared" si="3"/>
        <v>February</v>
      </c>
      <c r="I131" s="298">
        <f t="shared" ca="1" si="4"/>
        <v>3</v>
      </c>
      <c r="J131" s="298" t="s">
        <v>267</v>
      </c>
      <c r="K131" s="299">
        <v>32640</v>
      </c>
      <c r="L131" s="300">
        <v>4</v>
      </c>
      <c r="Q131" s="264" t="s">
        <v>3007</v>
      </c>
      <c r="R131" s="265">
        <v>42248</v>
      </c>
      <c r="S131" s="265">
        <v>42847</v>
      </c>
      <c r="T131" s="39">
        <f t="shared" si="5"/>
        <v>599</v>
      </c>
    </row>
    <row r="132" spans="1:20">
      <c r="A132" s="301" t="s">
        <v>493</v>
      </c>
      <c r="B132" s="302" t="s">
        <v>271</v>
      </c>
      <c r="C132" s="303" t="s">
        <v>767</v>
      </c>
      <c r="D132" s="304">
        <v>558903229</v>
      </c>
      <c r="E132" s="305">
        <v>9195699651</v>
      </c>
      <c r="F132" s="303" t="s">
        <v>256</v>
      </c>
      <c r="G132" s="306">
        <v>34971</v>
      </c>
      <c r="H132" s="307" t="str">
        <f t="shared" si="3"/>
        <v>September</v>
      </c>
      <c r="I132" s="308">
        <f t="shared" ca="1" si="4"/>
        <v>21</v>
      </c>
      <c r="J132" s="308" t="s">
        <v>257</v>
      </c>
      <c r="K132" s="309">
        <v>23320</v>
      </c>
      <c r="L132" s="310">
        <v>4</v>
      </c>
      <c r="Q132" s="264" t="s">
        <v>3006</v>
      </c>
      <c r="R132" s="265">
        <v>41900</v>
      </c>
      <c r="S132" s="265">
        <v>42671</v>
      </c>
      <c r="T132" s="39">
        <f t="shared" si="5"/>
        <v>771</v>
      </c>
    </row>
    <row r="133" spans="1:20">
      <c r="A133" s="291" t="s">
        <v>316</v>
      </c>
      <c r="B133" s="292" t="s">
        <v>271</v>
      </c>
      <c r="C133" s="293" t="s">
        <v>767</v>
      </c>
      <c r="D133" s="294">
        <v>728567428</v>
      </c>
      <c r="E133" s="295">
        <v>2521957923</v>
      </c>
      <c r="F133" s="293" t="s">
        <v>256</v>
      </c>
      <c r="G133" s="296">
        <v>41534</v>
      </c>
      <c r="H133" s="297" t="str">
        <f t="shared" si="3"/>
        <v>September</v>
      </c>
      <c r="I133" s="298">
        <f t="shared" ca="1" si="4"/>
        <v>3</v>
      </c>
      <c r="J133" s="298" t="s">
        <v>276</v>
      </c>
      <c r="K133" s="299">
        <v>86500</v>
      </c>
      <c r="L133" s="300">
        <v>1</v>
      </c>
      <c r="Q133" s="264" t="s">
        <v>3005</v>
      </c>
      <c r="R133" s="265">
        <v>41470</v>
      </c>
      <c r="S133" s="265">
        <v>42077</v>
      </c>
      <c r="T133" s="39">
        <f t="shared" si="5"/>
        <v>607</v>
      </c>
    </row>
    <row r="134" spans="1:20">
      <c r="A134" s="301" t="s">
        <v>713</v>
      </c>
      <c r="B134" s="302" t="s">
        <v>271</v>
      </c>
      <c r="C134" s="303" t="s">
        <v>705</v>
      </c>
      <c r="D134" s="304">
        <v>839899522</v>
      </c>
      <c r="E134" s="305">
        <v>9195512521</v>
      </c>
      <c r="F134" s="303" t="s">
        <v>256</v>
      </c>
      <c r="G134" s="306">
        <v>36879</v>
      </c>
      <c r="H134" s="307" t="str">
        <f t="shared" ref="H134:H197" si="6">CHOOSE(MONTH(G134),"January","February","March","April","May","June","July","August","September","October","November","December")</f>
        <v>December</v>
      </c>
      <c r="I134" s="308">
        <f t="shared" ref="I134:I197" ca="1" si="7">DATEDIF(G134,TODAY(),"Y")</f>
        <v>15</v>
      </c>
      <c r="J134" s="308" t="s">
        <v>257</v>
      </c>
      <c r="K134" s="309">
        <v>74530</v>
      </c>
      <c r="L134" s="310">
        <v>5</v>
      </c>
      <c r="Q134" s="264" t="s">
        <v>3004</v>
      </c>
      <c r="R134" s="265">
        <v>41933</v>
      </c>
      <c r="S134" s="265">
        <v>42725</v>
      </c>
      <c r="T134" s="39">
        <f t="shared" ref="T134:T197" si="8">DATEDIF(R134,S134,"d")</f>
        <v>792</v>
      </c>
    </row>
    <row r="135" spans="1:20">
      <c r="A135" s="291" t="s">
        <v>786</v>
      </c>
      <c r="B135" s="292" t="s">
        <v>251</v>
      </c>
      <c r="C135" s="293" t="s">
        <v>417</v>
      </c>
      <c r="D135" s="294">
        <v>281005046</v>
      </c>
      <c r="E135" s="295">
        <v>2527051004</v>
      </c>
      <c r="F135" s="293" t="s">
        <v>247</v>
      </c>
      <c r="G135" s="296">
        <v>40964</v>
      </c>
      <c r="H135" s="297" t="str">
        <f t="shared" si="6"/>
        <v>February</v>
      </c>
      <c r="I135" s="298">
        <f t="shared" ca="1" si="7"/>
        <v>4</v>
      </c>
      <c r="J135" s="298"/>
      <c r="K135" s="299">
        <v>56920</v>
      </c>
      <c r="L135" s="300">
        <v>4</v>
      </c>
      <c r="Q135" s="264" t="s">
        <v>3003</v>
      </c>
      <c r="R135" s="265">
        <v>41735</v>
      </c>
      <c r="S135" s="265">
        <v>42165</v>
      </c>
      <c r="T135" s="39">
        <f t="shared" si="8"/>
        <v>430</v>
      </c>
    </row>
    <row r="136" spans="1:20">
      <c r="A136" s="301" t="s">
        <v>940</v>
      </c>
      <c r="B136" s="302" t="s">
        <v>266</v>
      </c>
      <c r="C136" s="303" t="s">
        <v>312</v>
      </c>
      <c r="D136" s="304">
        <v>267218084</v>
      </c>
      <c r="E136" s="305">
        <v>9193825834</v>
      </c>
      <c r="F136" s="303" t="s">
        <v>247</v>
      </c>
      <c r="G136" s="306">
        <v>36850</v>
      </c>
      <c r="H136" s="307" t="str">
        <f t="shared" si="6"/>
        <v>November</v>
      </c>
      <c r="I136" s="308">
        <f t="shared" ca="1" si="7"/>
        <v>15</v>
      </c>
      <c r="J136" s="308"/>
      <c r="K136" s="309">
        <v>88000</v>
      </c>
      <c r="L136" s="310">
        <v>5</v>
      </c>
      <c r="Q136" s="264" t="s">
        <v>3002</v>
      </c>
      <c r="R136" s="265">
        <v>41724</v>
      </c>
      <c r="S136" s="265">
        <v>42536</v>
      </c>
      <c r="T136" s="39">
        <f t="shared" si="8"/>
        <v>812</v>
      </c>
    </row>
    <row r="137" spans="1:20">
      <c r="A137" s="291" t="s">
        <v>371</v>
      </c>
      <c r="B137" s="292" t="s">
        <v>251</v>
      </c>
      <c r="C137" s="293" t="s">
        <v>626</v>
      </c>
      <c r="D137" s="294">
        <v>159415552</v>
      </c>
      <c r="E137" s="295">
        <v>9194221208</v>
      </c>
      <c r="F137" s="293" t="s">
        <v>256</v>
      </c>
      <c r="G137" s="296">
        <v>34675</v>
      </c>
      <c r="H137" s="297" t="str">
        <f t="shared" si="6"/>
        <v>December</v>
      </c>
      <c r="I137" s="298">
        <f t="shared" ca="1" si="7"/>
        <v>21</v>
      </c>
      <c r="J137" s="298" t="s">
        <v>262</v>
      </c>
      <c r="K137" s="299">
        <v>73930</v>
      </c>
      <c r="L137" s="300">
        <v>1</v>
      </c>
      <c r="Q137" s="264" t="s">
        <v>3001</v>
      </c>
      <c r="R137" s="265">
        <v>41113</v>
      </c>
      <c r="S137" s="265">
        <v>41502</v>
      </c>
      <c r="T137" s="39">
        <f t="shared" si="8"/>
        <v>389</v>
      </c>
    </row>
    <row r="138" spans="1:20">
      <c r="A138" s="301" t="s">
        <v>494</v>
      </c>
      <c r="B138" s="302" t="s">
        <v>280</v>
      </c>
      <c r="C138" s="303" t="s">
        <v>465</v>
      </c>
      <c r="D138" s="304">
        <v>180095803</v>
      </c>
      <c r="E138" s="305">
        <v>2526503334</v>
      </c>
      <c r="F138" s="303" t="s">
        <v>256</v>
      </c>
      <c r="G138" s="306">
        <v>40882</v>
      </c>
      <c r="H138" s="307" t="str">
        <f t="shared" si="6"/>
        <v>December</v>
      </c>
      <c r="I138" s="308">
        <f t="shared" ca="1" si="7"/>
        <v>4</v>
      </c>
      <c r="J138" s="308" t="s">
        <v>257</v>
      </c>
      <c r="K138" s="309">
        <v>78170</v>
      </c>
      <c r="L138" s="310">
        <v>5</v>
      </c>
      <c r="Q138" s="264" t="s">
        <v>3000</v>
      </c>
      <c r="R138" s="265">
        <v>40940</v>
      </c>
      <c r="S138" s="265">
        <v>41905</v>
      </c>
      <c r="T138" s="39">
        <f t="shared" si="8"/>
        <v>965</v>
      </c>
    </row>
    <row r="139" spans="1:20">
      <c r="A139" s="291" t="s">
        <v>495</v>
      </c>
      <c r="B139" s="292" t="s">
        <v>285</v>
      </c>
      <c r="C139" s="293" t="s">
        <v>930</v>
      </c>
      <c r="D139" s="294">
        <v>324069262</v>
      </c>
      <c r="E139" s="295">
        <v>2525459665</v>
      </c>
      <c r="F139" s="293" t="s">
        <v>247</v>
      </c>
      <c r="G139" s="296">
        <v>35444</v>
      </c>
      <c r="H139" s="297" t="str">
        <f t="shared" si="6"/>
        <v>January</v>
      </c>
      <c r="I139" s="298">
        <f t="shared" ca="1" si="7"/>
        <v>19</v>
      </c>
      <c r="J139" s="298"/>
      <c r="K139" s="299">
        <v>45105</v>
      </c>
      <c r="L139" s="300">
        <v>1</v>
      </c>
      <c r="Q139" s="264" t="s">
        <v>2999</v>
      </c>
      <c r="R139" s="265">
        <v>42210</v>
      </c>
      <c r="S139" s="265">
        <v>42869</v>
      </c>
      <c r="T139" s="39">
        <f t="shared" si="8"/>
        <v>659</v>
      </c>
    </row>
    <row r="140" spans="1:20">
      <c r="A140" s="301" t="s">
        <v>871</v>
      </c>
      <c r="B140" s="302" t="s">
        <v>271</v>
      </c>
      <c r="C140" s="303" t="s">
        <v>312</v>
      </c>
      <c r="D140" s="304">
        <v>459522265</v>
      </c>
      <c r="E140" s="305">
        <v>2524633649</v>
      </c>
      <c r="F140" s="303" t="s">
        <v>256</v>
      </c>
      <c r="G140" s="306">
        <v>34485</v>
      </c>
      <c r="H140" s="307" t="str">
        <f t="shared" si="6"/>
        <v>May</v>
      </c>
      <c r="I140" s="308">
        <f t="shared" ca="1" si="7"/>
        <v>22</v>
      </c>
      <c r="J140" s="308" t="s">
        <v>262</v>
      </c>
      <c r="K140" s="309">
        <v>61400</v>
      </c>
      <c r="L140" s="310">
        <v>5</v>
      </c>
      <c r="Q140" s="264" t="s">
        <v>2998</v>
      </c>
      <c r="R140" s="265">
        <v>41941</v>
      </c>
      <c r="S140" s="265">
        <v>42217</v>
      </c>
      <c r="T140" s="39">
        <f t="shared" si="8"/>
        <v>276</v>
      </c>
    </row>
    <row r="141" spans="1:20">
      <c r="A141" s="291" t="s">
        <v>496</v>
      </c>
      <c r="B141" s="292" t="s">
        <v>271</v>
      </c>
      <c r="C141" s="293" t="s">
        <v>705</v>
      </c>
      <c r="D141" s="294">
        <v>272714784</v>
      </c>
      <c r="E141" s="295">
        <v>9191162663</v>
      </c>
      <c r="F141" s="293" t="s">
        <v>252</v>
      </c>
      <c r="G141" s="296">
        <v>38621</v>
      </c>
      <c r="H141" s="297" t="str">
        <f t="shared" si="6"/>
        <v>September</v>
      </c>
      <c r="I141" s="298">
        <f t="shared" ca="1" si="7"/>
        <v>11</v>
      </c>
      <c r="J141" s="298"/>
      <c r="K141" s="299">
        <v>21648</v>
      </c>
      <c r="L141" s="300">
        <v>2</v>
      </c>
      <c r="Q141" s="264" t="s">
        <v>2997</v>
      </c>
      <c r="R141" s="265">
        <v>41451</v>
      </c>
      <c r="S141" s="265">
        <v>41642</v>
      </c>
      <c r="T141" s="39">
        <f t="shared" si="8"/>
        <v>191</v>
      </c>
    </row>
    <row r="142" spans="1:20">
      <c r="A142" s="301" t="s">
        <v>497</v>
      </c>
      <c r="B142" s="302" t="s">
        <v>285</v>
      </c>
      <c r="C142" s="303" t="s">
        <v>465</v>
      </c>
      <c r="D142" s="304">
        <v>337370590</v>
      </c>
      <c r="E142" s="305">
        <v>9197046530</v>
      </c>
      <c r="F142" s="303" t="s">
        <v>247</v>
      </c>
      <c r="G142" s="306">
        <v>38954</v>
      </c>
      <c r="H142" s="307" t="str">
        <f t="shared" si="6"/>
        <v>August</v>
      </c>
      <c r="I142" s="308">
        <f t="shared" ca="1" si="7"/>
        <v>10</v>
      </c>
      <c r="J142" s="308"/>
      <c r="K142" s="309">
        <v>57410</v>
      </c>
      <c r="L142" s="310">
        <v>2</v>
      </c>
      <c r="Q142" s="264" t="s">
        <v>2996</v>
      </c>
      <c r="R142" s="265">
        <v>41240</v>
      </c>
      <c r="S142" s="265">
        <v>41535</v>
      </c>
      <c r="T142" s="39">
        <f t="shared" si="8"/>
        <v>295</v>
      </c>
    </row>
    <row r="143" spans="1:20">
      <c r="A143" s="291" t="s">
        <v>498</v>
      </c>
      <c r="B143" s="292" t="s">
        <v>280</v>
      </c>
      <c r="C143" s="293" t="s">
        <v>678</v>
      </c>
      <c r="D143" s="294">
        <v>303641529</v>
      </c>
      <c r="E143" s="295">
        <v>9196753698</v>
      </c>
      <c r="F143" s="293" t="s">
        <v>261</v>
      </c>
      <c r="G143" s="296">
        <v>36060</v>
      </c>
      <c r="H143" s="297" t="str">
        <f t="shared" si="6"/>
        <v>September</v>
      </c>
      <c r="I143" s="298">
        <f t="shared" ca="1" si="7"/>
        <v>18</v>
      </c>
      <c r="J143" s="298" t="s">
        <v>257</v>
      </c>
      <c r="K143" s="299">
        <v>49405</v>
      </c>
      <c r="L143" s="300">
        <v>4</v>
      </c>
      <c r="Q143" s="264" t="s">
        <v>2995</v>
      </c>
      <c r="R143" s="265">
        <v>42234</v>
      </c>
      <c r="S143" s="265">
        <v>43010</v>
      </c>
      <c r="T143" s="39">
        <f t="shared" si="8"/>
        <v>776</v>
      </c>
    </row>
    <row r="144" spans="1:20">
      <c r="A144" s="301" t="s">
        <v>499</v>
      </c>
      <c r="B144" s="302" t="s">
        <v>280</v>
      </c>
      <c r="C144" s="303" t="s">
        <v>626</v>
      </c>
      <c r="D144" s="304">
        <v>357081517</v>
      </c>
      <c r="E144" s="305">
        <v>2527660273</v>
      </c>
      <c r="F144" s="303" t="s">
        <v>261</v>
      </c>
      <c r="G144" s="306">
        <v>37281</v>
      </c>
      <c r="H144" s="307" t="str">
        <f t="shared" si="6"/>
        <v>January</v>
      </c>
      <c r="I144" s="308">
        <f t="shared" ca="1" si="7"/>
        <v>14</v>
      </c>
      <c r="J144" s="308" t="s">
        <v>283</v>
      </c>
      <c r="K144" s="309">
        <v>26790</v>
      </c>
      <c r="L144" s="310">
        <v>2</v>
      </c>
      <c r="Q144" s="264" t="s">
        <v>2994</v>
      </c>
      <c r="R144" s="265">
        <v>41380</v>
      </c>
      <c r="S144" s="265">
        <v>41633</v>
      </c>
      <c r="T144" s="39">
        <f t="shared" si="8"/>
        <v>253</v>
      </c>
    </row>
    <row r="145" spans="1:20">
      <c r="A145" s="291" t="s">
        <v>500</v>
      </c>
      <c r="B145" s="292" t="s">
        <v>251</v>
      </c>
      <c r="C145" s="293" t="s">
        <v>465</v>
      </c>
      <c r="D145" s="294">
        <v>720538680</v>
      </c>
      <c r="E145" s="295">
        <v>2522126686</v>
      </c>
      <c r="F145" s="293" t="s">
        <v>256</v>
      </c>
      <c r="G145" s="296">
        <v>35393</v>
      </c>
      <c r="H145" s="297" t="str">
        <f t="shared" si="6"/>
        <v>November</v>
      </c>
      <c r="I145" s="298">
        <f t="shared" ca="1" si="7"/>
        <v>19</v>
      </c>
      <c r="J145" s="298" t="s">
        <v>257</v>
      </c>
      <c r="K145" s="299">
        <v>81010</v>
      </c>
      <c r="L145" s="300">
        <v>4</v>
      </c>
      <c r="Q145" s="264" t="s">
        <v>2993</v>
      </c>
      <c r="R145" s="265">
        <v>41375</v>
      </c>
      <c r="S145" s="265">
        <v>41822</v>
      </c>
      <c r="T145" s="39">
        <f t="shared" si="8"/>
        <v>447</v>
      </c>
    </row>
    <row r="146" spans="1:20">
      <c r="A146" s="301" t="s">
        <v>752</v>
      </c>
      <c r="B146" s="302" t="s">
        <v>245</v>
      </c>
      <c r="C146" s="303" t="s">
        <v>767</v>
      </c>
      <c r="D146" s="304">
        <v>433314045</v>
      </c>
      <c r="E146" s="305">
        <v>2522543210</v>
      </c>
      <c r="F146" s="303" t="s">
        <v>247</v>
      </c>
      <c r="G146" s="306">
        <v>34548</v>
      </c>
      <c r="H146" s="307" t="str">
        <f t="shared" si="6"/>
        <v>August</v>
      </c>
      <c r="I146" s="308">
        <f t="shared" ca="1" si="7"/>
        <v>22</v>
      </c>
      <c r="J146" s="308"/>
      <c r="K146" s="309">
        <v>47590</v>
      </c>
      <c r="L146" s="310">
        <v>3</v>
      </c>
      <c r="Q146" s="264" t="s">
        <v>2992</v>
      </c>
      <c r="R146" s="265">
        <v>41334</v>
      </c>
      <c r="S146" s="265">
        <v>41998</v>
      </c>
      <c r="T146" s="39">
        <f t="shared" si="8"/>
        <v>664</v>
      </c>
    </row>
    <row r="147" spans="1:20">
      <c r="A147" s="291" t="s">
        <v>317</v>
      </c>
      <c r="B147" s="292" t="s">
        <v>285</v>
      </c>
      <c r="C147" s="293" t="s">
        <v>626</v>
      </c>
      <c r="D147" s="294">
        <v>567266382</v>
      </c>
      <c r="E147" s="295">
        <v>2521683770</v>
      </c>
      <c r="F147" s="293" t="s">
        <v>256</v>
      </c>
      <c r="G147" s="296">
        <v>37026</v>
      </c>
      <c r="H147" s="297" t="str">
        <f t="shared" si="6"/>
        <v>May</v>
      </c>
      <c r="I147" s="298">
        <f t="shared" ca="1" si="7"/>
        <v>15</v>
      </c>
      <c r="J147" s="298" t="s">
        <v>276</v>
      </c>
      <c r="K147" s="299">
        <v>49770</v>
      </c>
      <c r="L147" s="300">
        <v>1</v>
      </c>
      <c r="Q147" s="264" t="s">
        <v>2991</v>
      </c>
      <c r="R147" s="265">
        <v>41646</v>
      </c>
      <c r="S147" s="265">
        <v>42037</v>
      </c>
      <c r="T147" s="39">
        <f t="shared" si="8"/>
        <v>391</v>
      </c>
    </row>
    <row r="148" spans="1:20">
      <c r="A148" s="301" t="s">
        <v>941</v>
      </c>
      <c r="B148" s="302" t="s">
        <v>245</v>
      </c>
      <c r="C148" s="303" t="s">
        <v>465</v>
      </c>
      <c r="D148" s="304">
        <v>138607245</v>
      </c>
      <c r="E148" s="305">
        <v>2522140101</v>
      </c>
      <c r="F148" s="303" t="s">
        <v>247</v>
      </c>
      <c r="G148" s="306">
        <v>34963</v>
      </c>
      <c r="H148" s="307" t="str">
        <f t="shared" si="6"/>
        <v>September</v>
      </c>
      <c r="I148" s="308">
        <f t="shared" ca="1" si="7"/>
        <v>21</v>
      </c>
      <c r="J148" s="308"/>
      <c r="K148" s="309">
        <v>79220</v>
      </c>
      <c r="L148" s="310">
        <v>4</v>
      </c>
      <c r="Q148" s="264" t="s">
        <v>2990</v>
      </c>
      <c r="R148" s="265">
        <v>41537</v>
      </c>
      <c r="S148" s="265">
        <v>41927</v>
      </c>
      <c r="T148" s="39">
        <f t="shared" si="8"/>
        <v>390</v>
      </c>
    </row>
    <row r="149" spans="1:20">
      <c r="A149" s="291" t="s">
        <v>872</v>
      </c>
      <c r="B149" s="292" t="s">
        <v>280</v>
      </c>
      <c r="C149" s="293" t="s">
        <v>856</v>
      </c>
      <c r="D149" s="294">
        <v>491830893</v>
      </c>
      <c r="E149" s="295">
        <v>2524713634</v>
      </c>
      <c r="F149" s="293" t="s">
        <v>256</v>
      </c>
      <c r="G149" s="296">
        <v>40988</v>
      </c>
      <c r="H149" s="297" t="str">
        <f t="shared" si="6"/>
        <v>March</v>
      </c>
      <c r="I149" s="298">
        <f t="shared" ca="1" si="7"/>
        <v>4</v>
      </c>
      <c r="J149" s="298" t="s">
        <v>283</v>
      </c>
      <c r="K149" s="299">
        <v>23190</v>
      </c>
      <c r="L149" s="300">
        <v>5</v>
      </c>
      <c r="Q149" s="264" t="s">
        <v>2989</v>
      </c>
      <c r="R149" s="265">
        <v>41938</v>
      </c>
      <c r="S149" s="265">
        <v>42582</v>
      </c>
      <c r="T149" s="39">
        <f t="shared" si="8"/>
        <v>644</v>
      </c>
    </row>
    <row r="150" spans="1:20">
      <c r="A150" s="301" t="s">
        <v>393</v>
      </c>
      <c r="B150" s="302" t="s">
        <v>271</v>
      </c>
      <c r="C150" s="303" t="s">
        <v>456</v>
      </c>
      <c r="D150" s="304">
        <v>861884260</v>
      </c>
      <c r="E150" s="305">
        <v>9196632360</v>
      </c>
      <c r="F150" s="303" t="s">
        <v>256</v>
      </c>
      <c r="G150" s="306">
        <v>34295</v>
      </c>
      <c r="H150" s="307" t="str">
        <f t="shared" si="6"/>
        <v>November</v>
      </c>
      <c r="I150" s="308">
        <f t="shared" ca="1" si="7"/>
        <v>22</v>
      </c>
      <c r="J150" s="308" t="s">
        <v>257</v>
      </c>
      <c r="K150" s="309">
        <v>89140</v>
      </c>
      <c r="L150" s="310">
        <v>1</v>
      </c>
      <c r="Q150" s="264" t="s">
        <v>2988</v>
      </c>
      <c r="R150" s="265">
        <v>40971</v>
      </c>
      <c r="S150" s="265">
        <v>41173</v>
      </c>
      <c r="T150" s="39">
        <f t="shared" si="8"/>
        <v>202</v>
      </c>
    </row>
    <row r="151" spans="1:20">
      <c r="A151" s="291" t="s">
        <v>373</v>
      </c>
      <c r="B151" s="292" t="s">
        <v>271</v>
      </c>
      <c r="C151" s="293" t="s">
        <v>930</v>
      </c>
      <c r="D151" s="294">
        <v>876082195</v>
      </c>
      <c r="E151" s="295">
        <v>2526049607</v>
      </c>
      <c r="F151" s="293" t="s">
        <v>256</v>
      </c>
      <c r="G151" s="296">
        <v>37240</v>
      </c>
      <c r="H151" s="297" t="str">
        <f t="shared" si="6"/>
        <v>December</v>
      </c>
      <c r="I151" s="298">
        <f t="shared" ca="1" si="7"/>
        <v>14</v>
      </c>
      <c r="J151" s="298" t="s">
        <v>276</v>
      </c>
      <c r="K151" s="299">
        <v>61850</v>
      </c>
      <c r="L151" s="300">
        <v>2</v>
      </c>
      <c r="Q151" s="264" t="s">
        <v>2987</v>
      </c>
      <c r="R151" s="265">
        <v>41577</v>
      </c>
      <c r="S151" s="265">
        <v>41866</v>
      </c>
      <c r="T151" s="39">
        <f t="shared" si="8"/>
        <v>289</v>
      </c>
    </row>
    <row r="152" spans="1:20">
      <c r="A152" s="301" t="s">
        <v>501</v>
      </c>
      <c r="B152" s="302" t="s">
        <v>271</v>
      </c>
      <c r="C152" s="303" t="s">
        <v>767</v>
      </c>
      <c r="D152" s="304">
        <v>113252240</v>
      </c>
      <c r="E152" s="305">
        <v>2526712695</v>
      </c>
      <c r="F152" s="303" t="s">
        <v>256</v>
      </c>
      <c r="G152" s="306">
        <v>37446</v>
      </c>
      <c r="H152" s="307" t="str">
        <f t="shared" si="6"/>
        <v>July</v>
      </c>
      <c r="I152" s="308">
        <f t="shared" ca="1" si="7"/>
        <v>14</v>
      </c>
      <c r="J152" s="308" t="s">
        <v>257</v>
      </c>
      <c r="K152" s="309">
        <v>62400</v>
      </c>
      <c r="L152" s="310">
        <v>4</v>
      </c>
      <c r="Q152" s="264" t="s">
        <v>2986</v>
      </c>
      <c r="R152" s="265">
        <v>41880</v>
      </c>
      <c r="S152" s="265">
        <v>42325</v>
      </c>
      <c r="T152" s="39">
        <f t="shared" si="8"/>
        <v>445</v>
      </c>
    </row>
    <row r="153" spans="1:20">
      <c r="A153" s="291" t="s">
        <v>942</v>
      </c>
      <c r="B153" s="292" t="s">
        <v>285</v>
      </c>
      <c r="C153" s="293" t="s">
        <v>930</v>
      </c>
      <c r="D153" s="294">
        <v>483483618</v>
      </c>
      <c r="E153" s="295">
        <v>2526459263</v>
      </c>
      <c r="F153" s="293" t="s">
        <v>256</v>
      </c>
      <c r="G153" s="296">
        <v>36047</v>
      </c>
      <c r="H153" s="297" t="str">
        <f t="shared" si="6"/>
        <v>September</v>
      </c>
      <c r="I153" s="298">
        <f t="shared" ca="1" si="7"/>
        <v>18</v>
      </c>
      <c r="J153" s="298" t="s">
        <v>283</v>
      </c>
      <c r="K153" s="299">
        <v>33590</v>
      </c>
      <c r="L153" s="300">
        <v>5</v>
      </c>
      <c r="Q153" s="264" t="s">
        <v>2985</v>
      </c>
      <c r="R153" s="265">
        <v>41027</v>
      </c>
      <c r="S153" s="265">
        <v>41502</v>
      </c>
      <c r="T153" s="39">
        <f t="shared" si="8"/>
        <v>475</v>
      </c>
    </row>
    <row r="154" spans="1:20">
      <c r="A154" s="301" t="s">
        <v>943</v>
      </c>
      <c r="B154" s="302" t="s">
        <v>285</v>
      </c>
      <c r="C154" s="303" t="s">
        <v>465</v>
      </c>
      <c r="D154" s="304">
        <v>356242235</v>
      </c>
      <c r="E154" s="305">
        <v>2521667727</v>
      </c>
      <c r="F154" s="303" t="s">
        <v>261</v>
      </c>
      <c r="G154" s="306">
        <v>37514</v>
      </c>
      <c r="H154" s="307" t="str">
        <f t="shared" si="6"/>
        <v>September</v>
      </c>
      <c r="I154" s="308">
        <f t="shared" ca="1" si="7"/>
        <v>14</v>
      </c>
      <c r="J154" s="308" t="s">
        <v>283</v>
      </c>
      <c r="K154" s="309">
        <v>46710</v>
      </c>
      <c r="L154" s="310">
        <v>3</v>
      </c>
      <c r="Q154" s="264" t="s">
        <v>2984</v>
      </c>
      <c r="R154" s="265">
        <v>41955</v>
      </c>
      <c r="S154" s="265">
        <v>42778</v>
      </c>
      <c r="T154" s="39">
        <f t="shared" si="8"/>
        <v>823</v>
      </c>
    </row>
    <row r="155" spans="1:20">
      <c r="A155" s="291" t="s">
        <v>753</v>
      </c>
      <c r="B155" s="292" t="s">
        <v>285</v>
      </c>
      <c r="C155" s="293" t="s">
        <v>312</v>
      </c>
      <c r="D155" s="294">
        <v>260815239</v>
      </c>
      <c r="E155" s="295">
        <v>2523040292</v>
      </c>
      <c r="F155" s="293" t="s">
        <v>252</v>
      </c>
      <c r="G155" s="296">
        <v>34530</v>
      </c>
      <c r="H155" s="297" t="str">
        <f t="shared" si="6"/>
        <v>July</v>
      </c>
      <c r="I155" s="298">
        <f t="shared" ca="1" si="7"/>
        <v>22</v>
      </c>
      <c r="J155" s="298"/>
      <c r="K155" s="299">
        <v>14568</v>
      </c>
      <c r="L155" s="300">
        <v>3</v>
      </c>
      <c r="Q155" s="264" t="s">
        <v>2983</v>
      </c>
      <c r="R155" s="265">
        <v>41040</v>
      </c>
      <c r="S155" s="265">
        <v>41803</v>
      </c>
      <c r="T155" s="39">
        <f t="shared" si="8"/>
        <v>763</v>
      </c>
    </row>
    <row r="156" spans="1:20">
      <c r="A156" s="301" t="s">
        <v>944</v>
      </c>
      <c r="B156" s="302" t="s">
        <v>271</v>
      </c>
      <c r="C156" s="303" t="s">
        <v>856</v>
      </c>
      <c r="D156" s="304">
        <v>668708287</v>
      </c>
      <c r="E156" s="305">
        <v>9191952821</v>
      </c>
      <c r="F156" s="303" t="s">
        <v>247</v>
      </c>
      <c r="G156" s="306">
        <v>36716</v>
      </c>
      <c r="H156" s="307" t="str">
        <f t="shared" si="6"/>
        <v>July</v>
      </c>
      <c r="I156" s="308">
        <f t="shared" ca="1" si="7"/>
        <v>16</v>
      </c>
      <c r="J156" s="308"/>
      <c r="K156" s="309">
        <v>86100</v>
      </c>
      <c r="L156" s="310">
        <v>4</v>
      </c>
      <c r="Q156" s="264" t="s">
        <v>2982</v>
      </c>
      <c r="R156" s="265">
        <v>41432</v>
      </c>
      <c r="S156" s="265">
        <v>42029</v>
      </c>
      <c r="T156" s="39">
        <f t="shared" si="8"/>
        <v>597</v>
      </c>
    </row>
    <row r="157" spans="1:20">
      <c r="A157" s="291" t="s">
        <v>422</v>
      </c>
      <c r="B157" s="292" t="s">
        <v>285</v>
      </c>
      <c r="C157" s="293" t="s">
        <v>767</v>
      </c>
      <c r="D157" s="294">
        <v>933883118</v>
      </c>
      <c r="E157" s="295">
        <v>2523294956</v>
      </c>
      <c r="F157" s="293" t="s">
        <v>247</v>
      </c>
      <c r="G157" s="296">
        <v>35568</v>
      </c>
      <c r="H157" s="297" t="str">
        <f t="shared" si="6"/>
        <v>May</v>
      </c>
      <c r="I157" s="298">
        <f t="shared" ca="1" si="7"/>
        <v>19</v>
      </c>
      <c r="J157" s="298"/>
      <c r="K157" s="299">
        <v>85980</v>
      </c>
      <c r="L157" s="300">
        <v>2</v>
      </c>
      <c r="Q157" s="264" t="s">
        <v>2981</v>
      </c>
      <c r="R157" s="265">
        <v>41325</v>
      </c>
      <c r="S157" s="265">
        <v>42108</v>
      </c>
      <c r="T157" s="39">
        <f t="shared" si="8"/>
        <v>783</v>
      </c>
    </row>
    <row r="158" spans="1:20">
      <c r="A158" s="301" t="s">
        <v>318</v>
      </c>
      <c r="B158" s="302" t="s">
        <v>245</v>
      </c>
      <c r="C158" s="303" t="s">
        <v>626</v>
      </c>
      <c r="D158" s="304">
        <v>499124019</v>
      </c>
      <c r="E158" s="305">
        <v>9195978858</v>
      </c>
      <c r="F158" s="303" t="s">
        <v>261</v>
      </c>
      <c r="G158" s="306">
        <v>37031</v>
      </c>
      <c r="H158" s="307" t="str">
        <f t="shared" si="6"/>
        <v>May</v>
      </c>
      <c r="I158" s="308">
        <f t="shared" ca="1" si="7"/>
        <v>15</v>
      </c>
      <c r="J158" s="308" t="s">
        <v>283</v>
      </c>
      <c r="K158" s="309">
        <v>28880</v>
      </c>
      <c r="L158" s="310">
        <v>3</v>
      </c>
      <c r="Q158" s="264" t="s">
        <v>2980</v>
      </c>
      <c r="R158" s="265">
        <v>40914</v>
      </c>
      <c r="S158" s="265">
        <v>41730</v>
      </c>
      <c r="T158" s="39">
        <f t="shared" si="8"/>
        <v>816</v>
      </c>
    </row>
    <row r="159" spans="1:20">
      <c r="A159" s="291" t="s">
        <v>787</v>
      </c>
      <c r="B159" s="292" t="s">
        <v>271</v>
      </c>
      <c r="C159" s="293" t="s">
        <v>626</v>
      </c>
      <c r="D159" s="294">
        <v>393290045</v>
      </c>
      <c r="E159" s="295">
        <v>2525268508</v>
      </c>
      <c r="F159" s="293" t="s">
        <v>261</v>
      </c>
      <c r="G159" s="296">
        <v>38076</v>
      </c>
      <c r="H159" s="297" t="str">
        <f t="shared" si="6"/>
        <v>March</v>
      </c>
      <c r="I159" s="298">
        <f t="shared" ca="1" si="7"/>
        <v>12</v>
      </c>
      <c r="J159" s="298" t="s">
        <v>262</v>
      </c>
      <c r="K159" s="299">
        <v>47295</v>
      </c>
      <c r="L159" s="300">
        <v>4</v>
      </c>
      <c r="Q159" s="264" t="s">
        <v>2979</v>
      </c>
      <c r="R159" s="265">
        <v>41461</v>
      </c>
      <c r="S159" s="265">
        <v>42137</v>
      </c>
      <c r="T159" s="39">
        <f t="shared" si="8"/>
        <v>676</v>
      </c>
    </row>
    <row r="160" spans="1:20">
      <c r="A160" s="301" t="s">
        <v>423</v>
      </c>
      <c r="B160" s="302" t="s">
        <v>245</v>
      </c>
      <c r="C160" s="303" t="s">
        <v>312</v>
      </c>
      <c r="D160" s="304">
        <v>787156286</v>
      </c>
      <c r="E160" s="305">
        <v>2524588703</v>
      </c>
      <c r="F160" s="303" t="s">
        <v>256</v>
      </c>
      <c r="G160" s="306">
        <v>34258</v>
      </c>
      <c r="H160" s="307" t="str">
        <f t="shared" si="6"/>
        <v>October</v>
      </c>
      <c r="I160" s="308">
        <f t="shared" ca="1" si="7"/>
        <v>23</v>
      </c>
      <c r="J160" s="308" t="s">
        <v>276</v>
      </c>
      <c r="K160" s="309">
        <v>49810</v>
      </c>
      <c r="L160" s="310">
        <v>2</v>
      </c>
      <c r="Q160" s="264" t="s">
        <v>2978</v>
      </c>
      <c r="R160" s="265">
        <v>42021</v>
      </c>
      <c r="S160" s="265">
        <v>42642</v>
      </c>
      <c r="T160" s="39">
        <f t="shared" si="8"/>
        <v>621</v>
      </c>
    </row>
    <row r="161" spans="1:20">
      <c r="A161" s="291" t="s">
        <v>1026</v>
      </c>
      <c r="B161" s="292" t="s">
        <v>280</v>
      </c>
      <c r="C161" s="293" t="s">
        <v>678</v>
      </c>
      <c r="D161" s="294">
        <v>478004556</v>
      </c>
      <c r="E161" s="295">
        <v>9193891189</v>
      </c>
      <c r="F161" s="293" t="s">
        <v>256</v>
      </c>
      <c r="G161" s="296">
        <v>41443</v>
      </c>
      <c r="H161" s="297" t="str">
        <f t="shared" si="6"/>
        <v>June</v>
      </c>
      <c r="I161" s="298">
        <f t="shared" ca="1" si="7"/>
        <v>3</v>
      </c>
      <c r="J161" s="298" t="s">
        <v>276</v>
      </c>
      <c r="K161" s="299">
        <v>62180</v>
      </c>
      <c r="L161" s="300">
        <v>2</v>
      </c>
      <c r="Q161" s="264" t="s">
        <v>2977</v>
      </c>
      <c r="R161" s="265">
        <v>41528</v>
      </c>
      <c r="S161" s="265">
        <v>41786</v>
      </c>
      <c r="T161" s="39">
        <f t="shared" si="8"/>
        <v>258</v>
      </c>
    </row>
    <row r="162" spans="1:20">
      <c r="A162" s="301" t="s">
        <v>412</v>
      </c>
      <c r="B162" s="302" t="s">
        <v>251</v>
      </c>
      <c r="C162" s="303" t="s">
        <v>767</v>
      </c>
      <c r="D162" s="304">
        <v>343185481</v>
      </c>
      <c r="E162" s="305">
        <v>9196446519</v>
      </c>
      <c r="F162" s="303" t="s">
        <v>256</v>
      </c>
      <c r="G162" s="306">
        <v>36828</v>
      </c>
      <c r="H162" s="307" t="str">
        <f t="shared" si="6"/>
        <v>October</v>
      </c>
      <c r="I162" s="308">
        <f t="shared" ca="1" si="7"/>
        <v>16</v>
      </c>
      <c r="J162" s="308" t="s">
        <v>262</v>
      </c>
      <c r="K162" s="309">
        <v>73740</v>
      </c>
      <c r="L162" s="310">
        <v>4</v>
      </c>
      <c r="Q162" s="264" t="s">
        <v>2976</v>
      </c>
      <c r="R162" s="265">
        <v>42221</v>
      </c>
      <c r="S162" s="265">
        <v>42448</v>
      </c>
      <c r="T162" s="39">
        <f t="shared" si="8"/>
        <v>227</v>
      </c>
    </row>
    <row r="163" spans="1:20">
      <c r="A163" s="291" t="s">
        <v>945</v>
      </c>
      <c r="B163" s="292" t="s">
        <v>285</v>
      </c>
      <c r="C163" s="293" t="s">
        <v>705</v>
      </c>
      <c r="D163" s="294">
        <v>881242432</v>
      </c>
      <c r="E163" s="295">
        <v>9193957018</v>
      </c>
      <c r="F163" s="293" t="s">
        <v>256</v>
      </c>
      <c r="G163" s="296">
        <v>34838</v>
      </c>
      <c r="H163" s="297" t="str">
        <f t="shared" si="6"/>
        <v>May</v>
      </c>
      <c r="I163" s="298">
        <f t="shared" ca="1" si="7"/>
        <v>21</v>
      </c>
      <c r="J163" s="298" t="s">
        <v>262</v>
      </c>
      <c r="K163" s="299">
        <v>68010</v>
      </c>
      <c r="L163" s="300">
        <v>1</v>
      </c>
      <c r="Q163" s="264" t="s">
        <v>2975</v>
      </c>
      <c r="R163" s="265">
        <v>42180</v>
      </c>
      <c r="S163" s="265">
        <v>43119</v>
      </c>
      <c r="T163" s="39">
        <f t="shared" si="8"/>
        <v>939</v>
      </c>
    </row>
    <row r="164" spans="1:20">
      <c r="A164" s="301" t="s">
        <v>946</v>
      </c>
      <c r="B164" s="302" t="s">
        <v>245</v>
      </c>
      <c r="C164" s="303" t="s">
        <v>312</v>
      </c>
      <c r="D164" s="304">
        <v>415228597</v>
      </c>
      <c r="E164" s="305">
        <v>9196252690</v>
      </c>
      <c r="F164" s="303" t="s">
        <v>256</v>
      </c>
      <c r="G164" s="306">
        <v>36577</v>
      </c>
      <c r="H164" s="307" t="str">
        <f t="shared" si="6"/>
        <v>February</v>
      </c>
      <c r="I164" s="308">
        <f t="shared" ca="1" si="7"/>
        <v>16</v>
      </c>
      <c r="J164" s="308" t="s">
        <v>257</v>
      </c>
      <c r="K164" s="309">
        <v>40920</v>
      </c>
      <c r="L164" s="310">
        <v>4</v>
      </c>
      <c r="Q164" s="264" t="s">
        <v>2974</v>
      </c>
      <c r="R164" s="265">
        <v>42287</v>
      </c>
      <c r="S164" s="265">
        <v>42433</v>
      </c>
      <c r="T164" s="39">
        <f t="shared" si="8"/>
        <v>146</v>
      </c>
    </row>
    <row r="165" spans="1:20">
      <c r="A165" s="291" t="s">
        <v>502</v>
      </c>
      <c r="B165" s="292" t="s">
        <v>266</v>
      </c>
      <c r="C165" s="293" t="s">
        <v>626</v>
      </c>
      <c r="D165" s="294">
        <v>355985853</v>
      </c>
      <c r="E165" s="295">
        <v>2525478716</v>
      </c>
      <c r="F165" s="293" t="s">
        <v>256</v>
      </c>
      <c r="G165" s="296">
        <v>37207</v>
      </c>
      <c r="H165" s="297" t="str">
        <f t="shared" si="6"/>
        <v>November</v>
      </c>
      <c r="I165" s="298">
        <f t="shared" ca="1" si="7"/>
        <v>14</v>
      </c>
      <c r="J165" s="298" t="s">
        <v>257</v>
      </c>
      <c r="K165" s="299">
        <v>46030</v>
      </c>
      <c r="L165" s="300">
        <v>2</v>
      </c>
      <c r="Q165" s="264" t="s">
        <v>2973</v>
      </c>
      <c r="R165" s="265">
        <v>41222</v>
      </c>
      <c r="S165" s="265">
        <v>41609</v>
      </c>
      <c r="T165" s="39">
        <f t="shared" si="8"/>
        <v>387</v>
      </c>
    </row>
    <row r="166" spans="1:20">
      <c r="A166" s="301" t="s">
        <v>947</v>
      </c>
      <c r="B166" s="302" t="s">
        <v>251</v>
      </c>
      <c r="C166" s="303" t="s">
        <v>767</v>
      </c>
      <c r="D166" s="304">
        <v>698472533</v>
      </c>
      <c r="E166" s="305">
        <v>9192917217</v>
      </c>
      <c r="F166" s="303" t="s">
        <v>247</v>
      </c>
      <c r="G166" s="306">
        <v>36609</v>
      </c>
      <c r="H166" s="307" t="str">
        <f t="shared" si="6"/>
        <v>March</v>
      </c>
      <c r="I166" s="308">
        <f t="shared" ca="1" si="7"/>
        <v>16</v>
      </c>
      <c r="J166" s="308"/>
      <c r="K166" s="309">
        <v>36230</v>
      </c>
      <c r="L166" s="310">
        <v>2</v>
      </c>
      <c r="Q166" s="264" t="s">
        <v>2972</v>
      </c>
      <c r="R166" s="265">
        <v>41148</v>
      </c>
      <c r="S166" s="265">
        <v>41431</v>
      </c>
      <c r="T166" s="39">
        <f t="shared" si="8"/>
        <v>283</v>
      </c>
    </row>
    <row r="167" spans="1:20">
      <c r="A167" s="291" t="s">
        <v>244</v>
      </c>
      <c r="B167" s="292" t="s">
        <v>285</v>
      </c>
      <c r="C167" s="293" t="s">
        <v>465</v>
      </c>
      <c r="D167" s="294">
        <v>428024993</v>
      </c>
      <c r="E167" s="295">
        <v>9196410575</v>
      </c>
      <c r="F167" s="293" t="s">
        <v>247</v>
      </c>
      <c r="G167" s="296">
        <v>34684</v>
      </c>
      <c r="H167" s="297" t="str">
        <f t="shared" si="6"/>
        <v>December</v>
      </c>
      <c r="I167" s="298">
        <f t="shared" ca="1" si="7"/>
        <v>21</v>
      </c>
      <c r="J167" s="298"/>
      <c r="K167" s="299">
        <v>32190</v>
      </c>
      <c r="L167" s="300">
        <v>3</v>
      </c>
      <c r="Q167" s="264" t="s">
        <v>2971</v>
      </c>
      <c r="R167" s="265">
        <v>41205</v>
      </c>
      <c r="S167" s="265">
        <v>41485</v>
      </c>
      <c r="T167" s="39">
        <f t="shared" si="8"/>
        <v>280</v>
      </c>
    </row>
    <row r="168" spans="1:20">
      <c r="A168" s="301" t="s">
        <v>503</v>
      </c>
      <c r="B168" s="302" t="s">
        <v>251</v>
      </c>
      <c r="C168" s="303" t="s">
        <v>465</v>
      </c>
      <c r="D168" s="304">
        <v>696435191</v>
      </c>
      <c r="E168" s="305">
        <v>2527710498</v>
      </c>
      <c r="F168" s="303" t="s">
        <v>256</v>
      </c>
      <c r="G168" s="306">
        <v>36501</v>
      </c>
      <c r="H168" s="307" t="str">
        <f t="shared" si="6"/>
        <v>December</v>
      </c>
      <c r="I168" s="308">
        <f t="shared" ca="1" si="7"/>
        <v>16</v>
      </c>
      <c r="J168" s="308" t="s">
        <v>283</v>
      </c>
      <c r="K168" s="309">
        <v>61150</v>
      </c>
      <c r="L168" s="310">
        <v>2</v>
      </c>
      <c r="Q168" s="264" t="s">
        <v>2970</v>
      </c>
      <c r="R168" s="265">
        <v>42059</v>
      </c>
      <c r="S168" s="265">
        <v>42898</v>
      </c>
      <c r="T168" s="39">
        <f t="shared" si="8"/>
        <v>839</v>
      </c>
    </row>
    <row r="169" spans="1:20">
      <c r="A169" s="291" t="s">
        <v>873</v>
      </c>
      <c r="B169" s="292" t="s">
        <v>266</v>
      </c>
      <c r="C169" s="293" t="s">
        <v>626</v>
      </c>
      <c r="D169" s="294">
        <v>466400098</v>
      </c>
      <c r="E169" s="295">
        <v>2524652136</v>
      </c>
      <c r="F169" s="293" t="s">
        <v>247</v>
      </c>
      <c r="G169" s="296">
        <v>34964</v>
      </c>
      <c r="H169" s="297" t="str">
        <f t="shared" si="6"/>
        <v>September</v>
      </c>
      <c r="I169" s="298">
        <f t="shared" ca="1" si="7"/>
        <v>21</v>
      </c>
      <c r="J169" s="298"/>
      <c r="K169" s="299">
        <v>29000</v>
      </c>
      <c r="L169" s="300">
        <v>5</v>
      </c>
      <c r="Q169" s="264" t="s">
        <v>2969</v>
      </c>
      <c r="R169" s="265">
        <v>42253</v>
      </c>
      <c r="S169" s="265">
        <v>43194</v>
      </c>
      <c r="T169" s="39">
        <f t="shared" si="8"/>
        <v>941</v>
      </c>
    </row>
    <row r="170" spans="1:20">
      <c r="A170" s="301" t="s">
        <v>504</v>
      </c>
      <c r="B170" s="302" t="s">
        <v>245</v>
      </c>
      <c r="C170" s="303" t="s">
        <v>296</v>
      </c>
      <c r="D170" s="304">
        <v>278431222</v>
      </c>
      <c r="E170" s="305">
        <v>9196699611</v>
      </c>
      <c r="F170" s="303" t="s">
        <v>256</v>
      </c>
      <c r="G170" s="306">
        <v>37803</v>
      </c>
      <c r="H170" s="307" t="str">
        <f t="shared" si="6"/>
        <v>July</v>
      </c>
      <c r="I170" s="308">
        <f t="shared" ca="1" si="7"/>
        <v>13</v>
      </c>
      <c r="J170" s="308" t="s">
        <v>283</v>
      </c>
      <c r="K170" s="309">
        <v>33640</v>
      </c>
      <c r="L170" s="310">
        <v>3</v>
      </c>
      <c r="Q170" s="264" t="s">
        <v>2968</v>
      </c>
      <c r="R170" s="265">
        <v>42064</v>
      </c>
      <c r="S170" s="265">
        <v>43011</v>
      </c>
      <c r="T170" s="39">
        <f t="shared" si="8"/>
        <v>947</v>
      </c>
    </row>
    <row r="171" spans="1:20">
      <c r="A171" s="291" t="s">
        <v>319</v>
      </c>
      <c r="B171" s="292" t="s">
        <v>285</v>
      </c>
      <c r="C171" s="293" t="s">
        <v>417</v>
      </c>
      <c r="D171" s="294">
        <v>302598687</v>
      </c>
      <c r="E171" s="295">
        <v>9195394899</v>
      </c>
      <c r="F171" s="293" t="s">
        <v>256</v>
      </c>
      <c r="G171" s="296">
        <v>34996</v>
      </c>
      <c r="H171" s="297" t="str">
        <f t="shared" si="6"/>
        <v>October</v>
      </c>
      <c r="I171" s="298">
        <f t="shared" ca="1" si="7"/>
        <v>21</v>
      </c>
      <c r="J171" s="298" t="s">
        <v>257</v>
      </c>
      <c r="K171" s="299">
        <v>31840</v>
      </c>
      <c r="L171" s="300">
        <v>1</v>
      </c>
      <c r="Q171" s="264" t="s">
        <v>2967</v>
      </c>
      <c r="R171" s="265">
        <v>41984</v>
      </c>
      <c r="S171" s="265">
        <v>42522</v>
      </c>
      <c r="T171" s="39">
        <f t="shared" si="8"/>
        <v>538</v>
      </c>
    </row>
    <row r="172" spans="1:20">
      <c r="A172" s="301" t="s">
        <v>788</v>
      </c>
      <c r="B172" s="302" t="s">
        <v>285</v>
      </c>
      <c r="C172" s="303" t="s">
        <v>312</v>
      </c>
      <c r="D172" s="304">
        <v>411058865</v>
      </c>
      <c r="E172" s="305">
        <v>2523883919</v>
      </c>
      <c r="F172" s="303" t="s">
        <v>256</v>
      </c>
      <c r="G172" s="306">
        <v>37918</v>
      </c>
      <c r="H172" s="307" t="str">
        <f t="shared" si="6"/>
        <v>October</v>
      </c>
      <c r="I172" s="308">
        <f t="shared" ca="1" si="7"/>
        <v>13</v>
      </c>
      <c r="J172" s="308" t="s">
        <v>257</v>
      </c>
      <c r="K172" s="309">
        <v>27180</v>
      </c>
      <c r="L172" s="310">
        <v>4</v>
      </c>
      <c r="Q172" s="264" t="s">
        <v>2966</v>
      </c>
      <c r="R172" s="265">
        <v>42116</v>
      </c>
      <c r="S172" s="265">
        <v>42266</v>
      </c>
      <c r="T172" s="39">
        <f t="shared" si="8"/>
        <v>150</v>
      </c>
    </row>
    <row r="173" spans="1:20">
      <c r="A173" s="291" t="s">
        <v>874</v>
      </c>
      <c r="B173" s="292" t="s">
        <v>271</v>
      </c>
      <c r="C173" s="293" t="s">
        <v>930</v>
      </c>
      <c r="D173" s="294">
        <v>595022550</v>
      </c>
      <c r="E173" s="295">
        <v>9195621928</v>
      </c>
      <c r="F173" s="293" t="s">
        <v>256</v>
      </c>
      <c r="G173" s="296">
        <v>34867</v>
      </c>
      <c r="H173" s="297" t="str">
        <f t="shared" si="6"/>
        <v>June</v>
      </c>
      <c r="I173" s="298">
        <f t="shared" ca="1" si="7"/>
        <v>21</v>
      </c>
      <c r="J173" s="298" t="s">
        <v>262</v>
      </c>
      <c r="K173" s="299">
        <v>59490</v>
      </c>
      <c r="L173" s="300">
        <v>3</v>
      </c>
      <c r="Q173" s="264" t="s">
        <v>2965</v>
      </c>
      <c r="R173" s="265">
        <v>42090</v>
      </c>
      <c r="S173" s="265">
        <v>42563</v>
      </c>
      <c r="T173" s="39">
        <f t="shared" si="8"/>
        <v>473</v>
      </c>
    </row>
    <row r="174" spans="1:20">
      <c r="A174" s="301" t="s">
        <v>505</v>
      </c>
      <c r="B174" s="302" t="s">
        <v>271</v>
      </c>
      <c r="C174" s="303" t="s">
        <v>930</v>
      </c>
      <c r="D174" s="304">
        <v>418701946</v>
      </c>
      <c r="E174" s="305">
        <v>2524141191</v>
      </c>
      <c r="F174" s="303" t="s">
        <v>261</v>
      </c>
      <c r="G174" s="306">
        <v>35064</v>
      </c>
      <c r="H174" s="307" t="str">
        <f t="shared" si="6"/>
        <v>December</v>
      </c>
      <c r="I174" s="308">
        <f t="shared" ca="1" si="7"/>
        <v>20</v>
      </c>
      <c r="J174" s="308" t="s">
        <v>257</v>
      </c>
      <c r="K174" s="309">
        <v>49545</v>
      </c>
      <c r="L174" s="310">
        <v>2</v>
      </c>
      <c r="Q174" s="264" t="s">
        <v>2964</v>
      </c>
      <c r="R174" s="265">
        <v>41108</v>
      </c>
      <c r="S174" s="265">
        <v>42063</v>
      </c>
      <c r="T174" s="39">
        <f t="shared" si="8"/>
        <v>955</v>
      </c>
    </row>
    <row r="175" spans="1:20">
      <c r="A175" s="291" t="s">
        <v>506</v>
      </c>
      <c r="B175" s="292" t="s">
        <v>266</v>
      </c>
      <c r="C175" s="293" t="s">
        <v>856</v>
      </c>
      <c r="D175" s="294">
        <v>687623890</v>
      </c>
      <c r="E175" s="295">
        <v>2522447501</v>
      </c>
      <c r="F175" s="293" t="s">
        <v>252</v>
      </c>
      <c r="G175" s="296">
        <v>35944</v>
      </c>
      <c r="H175" s="297" t="str">
        <f t="shared" si="6"/>
        <v>May</v>
      </c>
      <c r="I175" s="298">
        <f t="shared" ca="1" si="7"/>
        <v>18</v>
      </c>
      <c r="J175" s="298"/>
      <c r="K175" s="299">
        <v>23692</v>
      </c>
      <c r="L175" s="300">
        <v>4</v>
      </c>
      <c r="Q175" s="264" t="s">
        <v>2963</v>
      </c>
      <c r="R175" s="265">
        <v>41588</v>
      </c>
      <c r="S175" s="265">
        <v>42154</v>
      </c>
      <c r="T175" s="39">
        <f t="shared" si="8"/>
        <v>566</v>
      </c>
    </row>
    <row r="176" spans="1:20">
      <c r="A176" s="301" t="s">
        <v>507</v>
      </c>
      <c r="B176" s="302" t="s">
        <v>271</v>
      </c>
      <c r="C176" s="303" t="s">
        <v>417</v>
      </c>
      <c r="D176" s="304">
        <v>232896341</v>
      </c>
      <c r="E176" s="305">
        <v>9197288082</v>
      </c>
      <c r="F176" s="303" t="s">
        <v>247</v>
      </c>
      <c r="G176" s="306">
        <v>41146</v>
      </c>
      <c r="H176" s="307" t="str">
        <f t="shared" si="6"/>
        <v>August</v>
      </c>
      <c r="I176" s="308">
        <f t="shared" ca="1" si="7"/>
        <v>4</v>
      </c>
      <c r="J176" s="308"/>
      <c r="K176" s="309">
        <v>45830</v>
      </c>
      <c r="L176" s="310">
        <v>4</v>
      </c>
      <c r="Q176" s="264" t="s">
        <v>2962</v>
      </c>
      <c r="R176" s="265">
        <v>41113</v>
      </c>
      <c r="S176" s="265">
        <v>41779</v>
      </c>
      <c r="T176" s="39">
        <f t="shared" si="8"/>
        <v>666</v>
      </c>
    </row>
    <row r="177" spans="1:20">
      <c r="A177" s="291" t="s">
        <v>754</v>
      </c>
      <c r="B177" s="292" t="s">
        <v>271</v>
      </c>
      <c r="C177" s="293" t="s">
        <v>417</v>
      </c>
      <c r="D177" s="294">
        <v>113699123</v>
      </c>
      <c r="E177" s="295">
        <v>2526563683</v>
      </c>
      <c r="F177" s="293" t="s">
        <v>256</v>
      </c>
      <c r="G177" s="296">
        <v>34027</v>
      </c>
      <c r="H177" s="297" t="str">
        <f t="shared" si="6"/>
        <v>February</v>
      </c>
      <c r="I177" s="298">
        <f t="shared" ca="1" si="7"/>
        <v>23</v>
      </c>
      <c r="J177" s="298" t="s">
        <v>267</v>
      </c>
      <c r="K177" s="299">
        <v>35360</v>
      </c>
      <c r="L177" s="300">
        <v>5</v>
      </c>
      <c r="Q177" s="264" t="s">
        <v>2961</v>
      </c>
      <c r="R177" s="265">
        <v>41260</v>
      </c>
      <c r="S177" s="265">
        <v>41945</v>
      </c>
      <c r="T177" s="39">
        <f t="shared" si="8"/>
        <v>685</v>
      </c>
    </row>
    <row r="178" spans="1:20">
      <c r="A178" s="301" t="s">
        <v>508</v>
      </c>
      <c r="B178" s="302" t="s">
        <v>285</v>
      </c>
      <c r="C178" s="303" t="s">
        <v>767</v>
      </c>
      <c r="D178" s="304">
        <v>828395582</v>
      </c>
      <c r="E178" s="305">
        <v>9198591986</v>
      </c>
      <c r="F178" s="303" t="s">
        <v>256</v>
      </c>
      <c r="G178" s="306">
        <v>34483</v>
      </c>
      <c r="H178" s="307" t="str">
        <f t="shared" si="6"/>
        <v>May</v>
      </c>
      <c r="I178" s="308">
        <f t="shared" ca="1" si="7"/>
        <v>22</v>
      </c>
      <c r="J178" s="308" t="s">
        <v>276</v>
      </c>
      <c r="K178" s="309">
        <v>71680</v>
      </c>
      <c r="L178" s="310">
        <v>4</v>
      </c>
      <c r="Q178" s="264" t="s">
        <v>2960</v>
      </c>
      <c r="R178" s="265">
        <v>41292</v>
      </c>
      <c r="S178" s="265">
        <v>41744</v>
      </c>
      <c r="T178" s="39">
        <f t="shared" si="8"/>
        <v>452</v>
      </c>
    </row>
    <row r="179" spans="1:20">
      <c r="A179" s="291" t="s">
        <v>320</v>
      </c>
      <c r="B179" s="292" t="s">
        <v>251</v>
      </c>
      <c r="C179" s="293" t="s">
        <v>930</v>
      </c>
      <c r="D179" s="294">
        <v>759471070</v>
      </c>
      <c r="E179" s="295">
        <v>2525402828</v>
      </c>
      <c r="F179" s="293" t="s">
        <v>256</v>
      </c>
      <c r="G179" s="296">
        <v>37919</v>
      </c>
      <c r="H179" s="297" t="str">
        <f t="shared" si="6"/>
        <v>October</v>
      </c>
      <c r="I179" s="298">
        <f t="shared" ca="1" si="7"/>
        <v>13</v>
      </c>
      <c r="J179" s="298" t="s">
        <v>283</v>
      </c>
      <c r="K179" s="299">
        <v>78710</v>
      </c>
      <c r="L179" s="300">
        <v>2</v>
      </c>
      <c r="Q179" s="264" t="s">
        <v>2959</v>
      </c>
      <c r="R179" s="265">
        <v>40975</v>
      </c>
      <c r="S179" s="265">
        <v>41563</v>
      </c>
      <c r="T179" s="39">
        <f t="shared" si="8"/>
        <v>588</v>
      </c>
    </row>
    <row r="180" spans="1:20">
      <c r="A180" s="301" t="s">
        <v>458</v>
      </c>
      <c r="B180" s="302" t="s">
        <v>251</v>
      </c>
      <c r="C180" s="303" t="s">
        <v>465</v>
      </c>
      <c r="D180" s="304">
        <v>317844971</v>
      </c>
      <c r="E180" s="305">
        <v>9193557946</v>
      </c>
      <c r="F180" s="303" t="s">
        <v>247</v>
      </c>
      <c r="G180" s="306">
        <v>36837</v>
      </c>
      <c r="H180" s="307" t="str">
        <f t="shared" si="6"/>
        <v>November</v>
      </c>
      <c r="I180" s="308">
        <f t="shared" ca="1" si="7"/>
        <v>16</v>
      </c>
      <c r="J180" s="308"/>
      <c r="K180" s="309">
        <v>76910</v>
      </c>
      <c r="L180" s="310">
        <v>1</v>
      </c>
      <c r="Q180" s="264" t="s">
        <v>2958</v>
      </c>
      <c r="R180" s="265">
        <v>41008</v>
      </c>
      <c r="S180" s="265">
        <v>41354</v>
      </c>
      <c r="T180" s="39">
        <f t="shared" si="8"/>
        <v>346</v>
      </c>
    </row>
    <row r="181" spans="1:20">
      <c r="A181" s="291" t="s">
        <v>789</v>
      </c>
      <c r="B181" s="292" t="s">
        <v>271</v>
      </c>
      <c r="C181" s="293" t="s">
        <v>465</v>
      </c>
      <c r="D181" s="294">
        <v>914326052</v>
      </c>
      <c r="E181" s="295">
        <v>2524249228</v>
      </c>
      <c r="F181" s="293" t="s">
        <v>256</v>
      </c>
      <c r="G181" s="296">
        <v>37445</v>
      </c>
      <c r="H181" s="297" t="str">
        <f t="shared" si="6"/>
        <v>July</v>
      </c>
      <c r="I181" s="298">
        <f t="shared" ca="1" si="7"/>
        <v>14</v>
      </c>
      <c r="J181" s="298" t="s">
        <v>257</v>
      </c>
      <c r="K181" s="299">
        <v>76192</v>
      </c>
      <c r="L181" s="300">
        <v>4</v>
      </c>
      <c r="Q181" s="264" t="s">
        <v>2957</v>
      </c>
      <c r="R181" s="265">
        <v>42347</v>
      </c>
      <c r="S181" s="265">
        <v>42594</v>
      </c>
      <c r="T181" s="39">
        <f t="shared" si="8"/>
        <v>247</v>
      </c>
    </row>
    <row r="182" spans="1:20">
      <c r="A182" s="301" t="s">
        <v>509</v>
      </c>
      <c r="B182" s="302" t="s">
        <v>271</v>
      </c>
      <c r="C182" s="303" t="s">
        <v>465</v>
      </c>
      <c r="D182" s="304">
        <v>854806695</v>
      </c>
      <c r="E182" s="305">
        <v>9192672603</v>
      </c>
      <c r="F182" s="303" t="s">
        <v>256</v>
      </c>
      <c r="G182" s="306">
        <v>34631</v>
      </c>
      <c r="H182" s="307" t="str">
        <f t="shared" si="6"/>
        <v>October</v>
      </c>
      <c r="I182" s="308">
        <f t="shared" ca="1" si="7"/>
        <v>22</v>
      </c>
      <c r="J182" s="308" t="s">
        <v>283</v>
      </c>
      <c r="K182" s="309">
        <v>26190</v>
      </c>
      <c r="L182" s="310">
        <v>5</v>
      </c>
      <c r="Q182" s="264" t="s">
        <v>2956</v>
      </c>
      <c r="R182" s="265">
        <v>42286</v>
      </c>
      <c r="S182" s="265">
        <v>42419</v>
      </c>
      <c r="T182" s="39">
        <f t="shared" si="8"/>
        <v>133</v>
      </c>
    </row>
    <row r="183" spans="1:20">
      <c r="A183" s="291" t="s">
        <v>714</v>
      </c>
      <c r="B183" s="292" t="s">
        <v>266</v>
      </c>
      <c r="C183" s="293" t="s">
        <v>312</v>
      </c>
      <c r="D183" s="294">
        <v>964243524</v>
      </c>
      <c r="E183" s="295">
        <v>2522339143</v>
      </c>
      <c r="F183" s="293" t="s">
        <v>256</v>
      </c>
      <c r="G183" s="296">
        <v>35906</v>
      </c>
      <c r="H183" s="297" t="str">
        <f t="shared" si="6"/>
        <v>April</v>
      </c>
      <c r="I183" s="298">
        <f t="shared" ca="1" si="7"/>
        <v>18</v>
      </c>
      <c r="J183" s="298" t="s">
        <v>257</v>
      </c>
      <c r="K183" s="299">
        <v>67890</v>
      </c>
      <c r="L183" s="300">
        <v>5</v>
      </c>
      <c r="Q183" s="264" t="s">
        <v>2955</v>
      </c>
      <c r="R183" s="265">
        <v>41186</v>
      </c>
      <c r="S183" s="265">
        <v>41485</v>
      </c>
      <c r="T183" s="39">
        <f t="shared" si="8"/>
        <v>299</v>
      </c>
    </row>
    <row r="184" spans="1:20">
      <c r="A184" s="301" t="s">
        <v>875</v>
      </c>
      <c r="B184" s="302" t="s">
        <v>285</v>
      </c>
      <c r="C184" s="303" t="s">
        <v>312</v>
      </c>
      <c r="D184" s="304">
        <v>334574480</v>
      </c>
      <c r="E184" s="305">
        <v>2525165289</v>
      </c>
      <c r="F184" s="303" t="s">
        <v>256</v>
      </c>
      <c r="G184" s="306">
        <v>37416</v>
      </c>
      <c r="H184" s="307" t="str">
        <f t="shared" si="6"/>
        <v>June</v>
      </c>
      <c r="I184" s="308">
        <f t="shared" ca="1" si="7"/>
        <v>14</v>
      </c>
      <c r="J184" s="308" t="s">
        <v>283</v>
      </c>
      <c r="K184" s="309">
        <v>32100</v>
      </c>
      <c r="L184" s="310">
        <v>1</v>
      </c>
      <c r="Q184" s="264" t="s">
        <v>2954</v>
      </c>
      <c r="R184" s="265">
        <v>42351</v>
      </c>
      <c r="S184" s="265">
        <v>42506</v>
      </c>
      <c r="T184" s="39">
        <f t="shared" si="8"/>
        <v>155</v>
      </c>
    </row>
    <row r="185" spans="1:20">
      <c r="A185" s="291" t="s">
        <v>298</v>
      </c>
      <c r="B185" s="292" t="s">
        <v>285</v>
      </c>
      <c r="C185" s="293" t="s">
        <v>750</v>
      </c>
      <c r="D185" s="294">
        <v>852430023</v>
      </c>
      <c r="E185" s="295">
        <v>9195506190</v>
      </c>
      <c r="F185" s="293" t="s">
        <v>261</v>
      </c>
      <c r="G185" s="296">
        <v>34022</v>
      </c>
      <c r="H185" s="297" t="str">
        <f t="shared" si="6"/>
        <v>February</v>
      </c>
      <c r="I185" s="298">
        <f t="shared" ca="1" si="7"/>
        <v>23</v>
      </c>
      <c r="J185" s="298" t="s">
        <v>267</v>
      </c>
      <c r="K185" s="299">
        <v>24815</v>
      </c>
      <c r="L185" s="300">
        <v>1</v>
      </c>
      <c r="Q185" s="264" t="s">
        <v>2953</v>
      </c>
      <c r="R185" s="265">
        <v>41907</v>
      </c>
      <c r="S185" s="265">
        <v>42383</v>
      </c>
      <c r="T185" s="39">
        <f t="shared" si="8"/>
        <v>476</v>
      </c>
    </row>
    <row r="186" spans="1:20">
      <c r="A186" s="301" t="s">
        <v>250</v>
      </c>
      <c r="B186" s="302" t="s">
        <v>251</v>
      </c>
      <c r="C186" s="303" t="s">
        <v>930</v>
      </c>
      <c r="D186" s="304">
        <v>900160539</v>
      </c>
      <c r="E186" s="305">
        <v>2522749909</v>
      </c>
      <c r="F186" s="303" t="s">
        <v>261</v>
      </c>
      <c r="G186" s="306">
        <v>37275</v>
      </c>
      <c r="H186" s="307" t="str">
        <f t="shared" si="6"/>
        <v>January</v>
      </c>
      <c r="I186" s="308">
        <f t="shared" ca="1" si="7"/>
        <v>14</v>
      </c>
      <c r="J186" s="308" t="s">
        <v>267</v>
      </c>
      <c r="K186" s="309">
        <v>19825</v>
      </c>
      <c r="L186" s="310">
        <v>2</v>
      </c>
      <c r="Q186" s="264" t="s">
        <v>2952</v>
      </c>
      <c r="R186" s="265">
        <v>41816</v>
      </c>
      <c r="S186" s="265">
        <v>42287</v>
      </c>
      <c r="T186" s="39">
        <f t="shared" si="8"/>
        <v>471</v>
      </c>
    </row>
    <row r="187" spans="1:20">
      <c r="A187" s="291" t="s">
        <v>394</v>
      </c>
      <c r="B187" s="292" t="s">
        <v>245</v>
      </c>
      <c r="C187" s="293" t="s">
        <v>767</v>
      </c>
      <c r="D187" s="294">
        <v>452255054</v>
      </c>
      <c r="E187" s="295">
        <v>9196114005</v>
      </c>
      <c r="F187" s="293" t="s">
        <v>247</v>
      </c>
      <c r="G187" s="296">
        <v>34488</v>
      </c>
      <c r="H187" s="297" t="str">
        <f t="shared" si="6"/>
        <v>June</v>
      </c>
      <c r="I187" s="298">
        <f t="shared" ca="1" si="7"/>
        <v>22</v>
      </c>
      <c r="J187" s="298"/>
      <c r="K187" s="299">
        <v>50840</v>
      </c>
      <c r="L187" s="300">
        <v>4</v>
      </c>
      <c r="Q187" s="264" t="s">
        <v>2951</v>
      </c>
      <c r="R187" s="265">
        <v>42074</v>
      </c>
      <c r="S187" s="265">
        <v>42696</v>
      </c>
      <c r="T187" s="39">
        <f t="shared" si="8"/>
        <v>622</v>
      </c>
    </row>
    <row r="188" spans="1:20">
      <c r="A188" s="301" t="s">
        <v>876</v>
      </c>
      <c r="B188" s="302" t="s">
        <v>271</v>
      </c>
      <c r="C188" s="303" t="s">
        <v>626</v>
      </c>
      <c r="D188" s="304">
        <v>597641409</v>
      </c>
      <c r="E188" s="305">
        <v>9196201509</v>
      </c>
      <c r="F188" s="303" t="s">
        <v>256</v>
      </c>
      <c r="G188" s="306">
        <v>36767</v>
      </c>
      <c r="H188" s="307" t="str">
        <f t="shared" si="6"/>
        <v>August</v>
      </c>
      <c r="I188" s="308">
        <f t="shared" ca="1" si="7"/>
        <v>16</v>
      </c>
      <c r="J188" s="308" t="s">
        <v>283</v>
      </c>
      <c r="K188" s="309">
        <v>82110</v>
      </c>
      <c r="L188" s="310">
        <v>3</v>
      </c>
      <c r="Q188" s="264" t="s">
        <v>2950</v>
      </c>
      <c r="R188" s="265">
        <v>40969</v>
      </c>
      <c r="S188" s="265">
        <v>41731</v>
      </c>
      <c r="T188" s="39">
        <f t="shared" si="8"/>
        <v>762</v>
      </c>
    </row>
    <row r="189" spans="1:20">
      <c r="A189" s="291" t="s">
        <v>510</v>
      </c>
      <c r="B189" s="292" t="s">
        <v>271</v>
      </c>
      <c r="C189" s="293" t="s">
        <v>705</v>
      </c>
      <c r="D189" s="294">
        <v>150132247</v>
      </c>
      <c r="E189" s="295">
        <v>9198561612</v>
      </c>
      <c r="F189" s="293" t="s">
        <v>256</v>
      </c>
      <c r="G189" s="296">
        <v>34791</v>
      </c>
      <c r="H189" s="297" t="str">
        <f t="shared" si="6"/>
        <v>April</v>
      </c>
      <c r="I189" s="298">
        <f t="shared" ca="1" si="7"/>
        <v>21</v>
      </c>
      <c r="J189" s="298" t="s">
        <v>276</v>
      </c>
      <c r="K189" s="299">
        <v>46910</v>
      </c>
      <c r="L189" s="300">
        <v>3</v>
      </c>
      <c r="Q189" s="264" t="s">
        <v>2949</v>
      </c>
      <c r="R189" s="265">
        <v>41776</v>
      </c>
      <c r="S189" s="265">
        <v>42623</v>
      </c>
      <c r="T189" s="39">
        <f t="shared" si="8"/>
        <v>847</v>
      </c>
    </row>
    <row r="190" spans="1:20">
      <c r="A190" s="301" t="s">
        <v>790</v>
      </c>
      <c r="B190" s="302" t="s">
        <v>285</v>
      </c>
      <c r="C190" s="303" t="s">
        <v>678</v>
      </c>
      <c r="D190" s="304">
        <v>414905182</v>
      </c>
      <c r="E190" s="305">
        <v>9193820411</v>
      </c>
      <c r="F190" s="303" t="s">
        <v>256</v>
      </c>
      <c r="G190" s="306">
        <v>36031</v>
      </c>
      <c r="H190" s="307" t="str">
        <f t="shared" si="6"/>
        <v>August</v>
      </c>
      <c r="I190" s="308">
        <f t="shared" ca="1" si="7"/>
        <v>18</v>
      </c>
      <c r="J190" s="308" t="s">
        <v>283</v>
      </c>
      <c r="K190" s="309">
        <v>22860</v>
      </c>
      <c r="L190" s="310">
        <v>5</v>
      </c>
      <c r="Q190" s="264" t="s">
        <v>2948</v>
      </c>
      <c r="R190" s="265">
        <v>41273</v>
      </c>
      <c r="S190" s="265">
        <v>41965</v>
      </c>
      <c r="T190" s="39">
        <f t="shared" si="8"/>
        <v>692</v>
      </c>
    </row>
    <row r="191" spans="1:20">
      <c r="A191" s="291" t="s">
        <v>511</v>
      </c>
      <c r="B191" s="292" t="s">
        <v>285</v>
      </c>
      <c r="C191" s="293" t="s">
        <v>465</v>
      </c>
      <c r="D191" s="294">
        <v>412611335</v>
      </c>
      <c r="E191" s="295">
        <v>2525998691</v>
      </c>
      <c r="F191" s="293" t="s">
        <v>247</v>
      </c>
      <c r="G191" s="296">
        <v>39417</v>
      </c>
      <c r="H191" s="297" t="str">
        <f t="shared" si="6"/>
        <v>December</v>
      </c>
      <c r="I191" s="298">
        <f t="shared" ca="1" si="7"/>
        <v>8</v>
      </c>
      <c r="J191" s="298"/>
      <c r="K191" s="299">
        <v>40940</v>
      </c>
      <c r="L191" s="300">
        <v>2</v>
      </c>
      <c r="Q191" s="264" t="s">
        <v>2947</v>
      </c>
      <c r="R191" s="265">
        <v>41407</v>
      </c>
      <c r="S191" s="265">
        <v>41726</v>
      </c>
      <c r="T191" s="39">
        <f t="shared" si="8"/>
        <v>319</v>
      </c>
    </row>
    <row r="192" spans="1:20">
      <c r="A192" s="301" t="s">
        <v>715</v>
      </c>
      <c r="B192" s="302" t="s">
        <v>271</v>
      </c>
      <c r="C192" s="303" t="s">
        <v>391</v>
      </c>
      <c r="D192" s="304">
        <v>863161920</v>
      </c>
      <c r="E192" s="305">
        <v>2523748373</v>
      </c>
      <c r="F192" s="303" t="s">
        <v>256</v>
      </c>
      <c r="G192" s="306">
        <v>36987</v>
      </c>
      <c r="H192" s="307" t="str">
        <f t="shared" si="6"/>
        <v>April</v>
      </c>
      <c r="I192" s="308">
        <f t="shared" ca="1" si="7"/>
        <v>15</v>
      </c>
      <c r="J192" s="308" t="s">
        <v>283</v>
      </c>
      <c r="K192" s="309">
        <v>50110</v>
      </c>
      <c r="L192" s="310">
        <v>1</v>
      </c>
      <c r="Q192" s="264" t="s">
        <v>2946</v>
      </c>
      <c r="R192" s="265">
        <v>41074</v>
      </c>
      <c r="S192" s="265">
        <v>41396</v>
      </c>
      <c r="T192" s="39">
        <f t="shared" si="8"/>
        <v>322</v>
      </c>
    </row>
    <row r="193" spans="1:20">
      <c r="A193" s="291" t="s">
        <v>948</v>
      </c>
      <c r="B193" s="292" t="s">
        <v>245</v>
      </c>
      <c r="C193" s="293" t="s">
        <v>465</v>
      </c>
      <c r="D193" s="294">
        <v>159117255</v>
      </c>
      <c r="E193" s="295">
        <v>9198426889</v>
      </c>
      <c r="F193" s="293" t="s">
        <v>247</v>
      </c>
      <c r="G193" s="296">
        <v>40740</v>
      </c>
      <c r="H193" s="297" t="str">
        <f t="shared" si="6"/>
        <v>July</v>
      </c>
      <c r="I193" s="298">
        <f t="shared" ca="1" si="7"/>
        <v>5</v>
      </c>
      <c r="J193" s="298"/>
      <c r="K193" s="299">
        <v>78520</v>
      </c>
      <c r="L193" s="300">
        <v>4</v>
      </c>
      <c r="Q193" s="264" t="s">
        <v>2945</v>
      </c>
      <c r="R193" s="265">
        <v>40917</v>
      </c>
      <c r="S193" s="265">
        <v>41685</v>
      </c>
      <c r="T193" s="39">
        <f t="shared" si="8"/>
        <v>768</v>
      </c>
    </row>
    <row r="194" spans="1:20">
      <c r="A194" s="301" t="s">
        <v>512</v>
      </c>
      <c r="B194" s="302" t="s">
        <v>266</v>
      </c>
      <c r="C194" s="303" t="s">
        <v>1025</v>
      </c>
      <c r="D194" s="304">
        <v>443926890</v>
      </c>
      <c r="E194" s="305">
        <v>2524411859</v>
      </c>
      <c r="F194" s="303" t="s">
        <v>256</v>
      </c>
      <c r="G194" s="306">
        <v>38594</v>
      </c>
      <c r="H194" s="307" t="str">
        <f t="shared" si="6"/>
        <v>August</v>
      </c>
      <c r="I194" s="308">
        <f t="shared" ca="1" si="7"/>
        <v>11</v>
      </c>
      <c r="J194" s="308" t="s">
        <v>283</v>
      </c>
      <c r="K194" s="309">
        <v>42800</v>
      </c>
      <c r="L194" s="310">
        <v>5</v>
      </c>
      <c r="Q194" s="264" t="s">
        <v>2944</v>
      </c>
      <c r="R194" s="265">
        <v>41549</v>
      </c>
      <c r="S194" s="265">
        <v>42266</v>
      </c>
      <c r="T194" s="39">
        <f t="shared" si="8"/>
        <v>717</v>
      </c>
    </row>
    <row r="195" spans="1:20">
      <c r="A195" s="291" t="s">
        <v>949</v>
      </c>
      <c r="B195" s="292" t="s">
        <v>285</v>
      </c>
      <c r="C195" s="293" t="s">
        <v>856</v>
      </c>
      <c r="D195" s="294">
        <v>744830329</v>
      </c>
      <c r="E195" s="295">
        <v>9196098293</v>
      </c>
      <c r="F195" s="293" t="s">
        <v>256</v>
      </c>
      <c r="G195" s="296">
        <v>35710</v>
      </c>
      <c r="H195" s="297" t="str">
        <f t="shared" si="6"/>
        <v>October</v>
      </c>
      <c r="I195" s="298">
        <f t="shared" ca="1" si="7"/>
        <v>19</v>
      </c>
      <c r="J195" s="298" t="s">
        <v>262</v>
      </c>
      <c r="K195" s="299">
        <v>82700</v>
      </c>
      <c r="L195" s="300">
        <v>3</v>
      </c>
      <c r="Q195" s="264" t="s">
        <v>2943</v>
      </c>
      <c r="R195" s="265">
        <v>41971</v>
      </c>
      <c r="S195" s="265">
        <v>42124</v>
      </c>
      <c r="T195" s="39">
        <f t="shared" si="8"/>
        <v>153</v>
      </c>
    </row>
    <row r="196" spans="1:20">
      <c r="A196" s="301" t="s">
        <v>791</v>
      </c>
      <c r="B196" s="302" t="s">
        <v>271</v>
      </c>
      <c r="C196" s="303" t="s">
        <v>465</v>
      </c>
      <c r="D196" s="304">
        <v>820244290</v>
      </c>
      <c r="E196" s="305">
        <v>9194944596</v>
      </c>
      <c r="F196" s="303" t="s">
        <v>247</v>
      </c>
      <c r="G196" s="306">
        <v>34889</v>
      </c>
      <c r="H196" s="307" t="str">
        <f t="shared" si="6"/>
        <v>July</v>
      </c>
      <c r="I196" s="308">
        <f t="shared" ca="1" si="7"/>
        <v>21</v>
      </c>
      <c r="J196" s="308"/>
      <c r="K196" s="309">
        <v>73990</v>
      </c>
      <c r="L196" s="310">
        <v>3</v>
      </c>
      <c r="Q196" s="264" t="s">
        <v>2942</v>
      </c>
      <c r="R196" s="265">
        <v>42120</v>
      </c>
      <c r="S196" s="265">
        <v>43050</v>
      </c>
      <c r="T196" s="39">
        <f t="shared" si="8"/>
        <v>930</v>
      </c>
    </row>
    <row r="197" spans="1:20">
      <c r="A197" s="291" t="s">
        <v>755</v>
      </c>
      <c r="B197" s="292" t="s">
        <v>285</v>
      </c>
      <c r="C197" s="293" t="s">
        <v>750</v>
      </c>
      <c r="D197" s="294">
        <v>198564686</v>
      </c>
      <c r="E197" s="295">
        <v>2523355100</v>
      </c>
      <c r="F197" s="293" t="s">
        <v>256</v>
      </c>
      <c r="G197" s="296">
        <v>34156</v>
      </c>
      <c r="H197" s="297" t="str">
        <f t="shared" si="6"/>
        <v>July</v>
      </c>
      <c r="I197" s="298">
        <f t="shared" ca="1" si="7"/>
        <v>23</v>
      </c>
      <c r="J197" s="298" t="s">
        <v>257</v>
      </c>
      <c r="K197" s="299">
        <v>71730</v>
      </c>
      <c r="L197" s="300">
        <v>1</v>
      </c>
      <c r="Q197" s="264" t="s">
        <v>2941</v>
      </c>
      <c r="R197" s="265">
        <v>41654</v>
      </c>
      <c r="S197" s="265">
        <v>42052</v>
      </c>
      <c r="T197" s="39">
        <f t="shared" si="8"/>
        <v>398</v>
      </c>
    </row>
    <row r="198" spans="1:20">
      <c r="A198" s="301" t="s">
        <v>424</v>
      </c>
      <c r="B198" s="302" t="s">
        <v>285</v>
      </c>
      <c r="C198" s="303" t="s">
        <v>465</v>
      </c>
      <c r="D198" s="304">
        <v>722630791</v>
      </c>
      <c r="E198" s="305">
        <v>2522263363</v>
      </c>
      <c r="F198" s="303" t="s">
        <v>252</v>
      </c>
      <c r="G198" s="306">
        <v>36892</v>
      </c>
      <c r="H198" s="307" t="str">
        <f t="shared" ref="H198:H261" si="9">CHOOSE(MONTH(G198),"January","February","March","April","May","June","July","August","September","October","November","December")</f>
        <v>January</v>
      </c>
      <c r="I198" s="308">
        <f t="shared" ref="I198:I261" ca="1" si="10">DATEDIF(G198,TODAY(),"Y")</f>
        <v>15</v>
      </c>
      <c r="J198" s="308"/>
      <c r="K198" s="309">
        <v>8904</v>
      </c>
      <c r="L198" s="310">
        <v>3</v>
      </c>
      <c r="Q198" s="264" t="s">
        <v>2940</v>
      </c>
      <c r="R198" s="265">
        <v>41113</v>
      </c>
      <c r="S198" s="265">
        <v>41942</v>
      </c>
      <c r="T198" s="39">
        <f t="shared" ref="T198:T261" si="11">DATEDIF(R198,S198,"d")</f>
        <v>829</v>
      </c>
    </row>
    <row r="199" spans="1:20">
      <c r="A199" s="291" t="s">
        <v>425</v>
      </c>
      <c r="B199" s="292" t="s">
        <v>285</v>
      </c>
      <c r="C199" s="293" t="s">
        <v>465</v>
      </c>
      <c r="D199" s="294">
        <v>167058119</v>
      </c>
      <c r="E199" s="295">
        <v>2527237007</v>
      </c>
      <c r="F199" s="293" t="s">
        <v>252</v>
      </c>
      <c r="G199" s="296">
        <v>38640</v>
      </c>
      <c r="H199" s="297" t="str">
        <f t="shared" si="9"/>
        <v>October</v>
      </c>
      <c r="I199" s="298">
        <f t="shared" ca="1" si="10"/>
        <v>11</v>
      </c>
      <c r="J199" s="298"/>
      <c r="K199" s="299">
        <v>8892</v>
      </c>
      <c r="L199" s="300">
        <v>1</v>
      </c>
      <c r="Q199" s="264" t="s">
        <v>2939</v>
      </c>
      <c r="R199" s="265">
        <v>40941</v>
      </c>
      <c r="S199" s="265">
        <v>41275</v>
      </c>
      <c r="T199" s="39">
        <f t="shared" si="11"/>
        <v>334</v>
      </c>
    </row>
    <row r="200" spans="1:20">
      <c r="A200" s="301" t="s">
        <v>636</v>
      </c>
      <c r="B200" s="302" t="s">
        <v>285</v>
      </c>
      <c r="C200" s="303" t="s">
        <v>307</v>
      </c>
      <c r="D200" s="304">
        <v>534034571</v>
      </c>
      <c r="E200" s="305">
        <v>2526169135</v>
      </c>
      <c r="F200" s="303" t="s">
        <v>261</v>
      </c>
      <c r="G200" s="306">
        <v>40327</v>
      </c>
      <c r="H200" s="307" t="str">
        <f t="shared" si="9"/>
        <v>May</v>
      </c>
      <c r="I200" s="308">
        <f t="shared" ca="1" si="10"/>
        <v>6</v>
      </c>
      <c r="J200" s="308" t="s">
        <v>267</v>
      </c>
      <c r="K200" s="309">
        <v>46095</v>
      </c>
      <c r="L200" s="310">
        <v>3</v>
      </c>
      <c r="Q200" s="264" t="s">
        <v>2938</v>
      </c>
      <c r="R200" s="265">
        <v>41173</v>
      </c>
      <c r="S200" s="265">
        <v>41918</v>
      </c>
      <c r="T200" s="39">
        <f t="shared" si="11"/>
        <v>745</v>
      </c>
    </row>
    <row r="201" spans="1:20">
      <c r="A201" s="291" t="s">
        <v>792</v>
      </c>
      <c r="B201" s="292" t="s">
        <v>271</v>
      </c>
      <c r="C201" s="293" t="s">
        <v>465</v>
      </c>
      <c r="D201" s="294">
        <v>775217609</v>
      </c>
      <c r="E201" s="295">
        <v>9191591006</v>
      </c>
      <c r="F201" s="293" t="s">
        <v>256</v>
      </c>
      <c r="G201" s="296">
        <v>35314</v>
      </c>
      <c r="H201" s="297" t="str">
        <f t="shared" si="9"/>
        <v>September</v>
      </c>
      <c r="I201" s="298">
        <f t="shared" ca="1" si="10"/>
        <v>20</v>
      </c>
      <c r="J201" s="298" t="s">
        <v>283</v>
      </c>
      <c r="K201" s="299">
        <v>24710</v>
      </c>
      <c r="L201" s="300">
        <v>2</v>
      </c>
      <c r="Q201" s="264" t="s">
        <v>2937</v>
      </c>
      <c r="R201" s="265">
        <v>41824</v>
      </c>
      <c r="S201" s="265">
        <v>42758</v>
      </c>
      <c r="T201" s="39">
        <f t="shared" si="11"/>
        <v>934</v>
      </c>
    </row>
    <row r="202" spans="1:20">
      <c r="A202" s="301" t="s">
        <v>321</v>
      </c>
      <c r="B202" s="302" t="s">
        <v>285</v>
      </c>
      <c r="C202" s="303" t="s">
        <v>930</v>
      </c>
      <c r="D202" s="304">
        <v>277423593</v>
      </c>
      <c r="E202" s="305">
        <v>9195790921</v>
      </c>
      <c r="F202" s="303" t="s">
        <v>261</v>
      </c>
      <c r="G202" s="306">
        <v>34301</v>
      </c>
      <c r="H202" s="307" t="str">
        <f t="shared" si="9"/>
        <v>November</v>
      </c>
      <c r="I202" s="308">
        <f t="shared" ca="1" si="10"/>
        <v>22</v>
      </c>
      <c r="J202" s="308" t="s">
        <v>283</v>
      </c>
      <c r="K202" s="309">
        <v>13455</v>
      </c>
      <c r="L202" s="310">
        <v>2</v>
      </c>
      <c r="Q202" s="264" t="s">
        <v>2936</v>
      </c>
      <c r="R202" s="265">
        <v>41307</v>
      </c>
      <c r="S202" s="265">
        <v>41955</v>
      </c>
      <c r="T202" s="39">
        <f t="shared" si="11"/>
        <v>648</v>
      </c>
    </row>
    <row r="203" spans="1:20">
      <c r="A203" s="291" t="s">
        <v>877</v>
      </c>
      <c r="B203" s="292" t="s">
        <v>285</v>
      </c>
      <c r="C203" s="293" t="s">
        <v>930</v>
      </c>
      <c r="D203" s="294">
        <v>101829876</v>
      </c>
      <c r="E203" s="295">
        <v>2522552565</v>
      </c>
      <c r="F203" s="293" t="s">
        <v>252</v>
      </c>
      <c r="G203" s="296">
        <v>36157</v>
      </c>
      <c r="H203" s="297" t="str">
        <f t="shared" si="9"/>
        <v>December</v>
      </c>
      <c r="I203" s="298">
        <f t="shared" ca="1" si="10"/>
        <v>17</v>
      </c>
      <c r="J203" s="298"/>
      <c r="K203" s="299">
        <v>33752</v>
      </c>
      <c r="L203" s="300">
        <v>3</v>
      </c>
      <c r="Q203" s="264" t="s">
        <v>2935</v>
      </c>
      <c r="R203" s="265">
        <v>42338</v>
      </c>
      <c r="S203" s="265">
        <v>42792</v>
      </c>
      <c r="T203" s="39">
        <f t="shared" si="11"/>
        <v>454</v>
      </c>
    </row>
    <row r="204" spans="1:20">
      <c r="A204" s="301" t="s">
        <v>513</v>
      </c>
      <c r="B204" s="302" t="s">
        <v>271</v>
      </c>
      <c r="C204" s="303" t="s">
        <v>767</v>
      </c>
      <c r="D204" s="304">
        <v>924942231</v>
      </c>
      <c r="E204" s="305">
        <v>9193279828</v>
      </c>
      <c r="F204" s="303" t="s">
        <v>261</v>
      </c>
      <c r="G204" s="306">
        <v>41076</v>
      </c>
      <c r="H204" s="307" t="str">
        <f t="shared" si="9"/>
        <v>June</v>
      </c>
      <c r="I204" s="308">
        <f t="shared" ca="1" si="10"/>
        <v>4</v>
      </c>
      <c r="J204" s="308" t="s">
        <v>276</v>
      </c>
      <c r="K204" s="309">
        <v>25245</v>
      </c>
      <c r="L204" s="310">
        <v>5</v>
      </c>
      <c r="Q204" s="264" t="s">
        <v>2934</v>
      </c>
      <c r="R204" s="265">
        <v>41842</v>
      </c>
      <c r="S204" s="265">
        <v>42385</v>
      </c>
      <c r="T204" s="39">
        <f t="shared" si="11"/>
        <v>543</v>
      </c>
    </row>
    <row r="205" spans="1:20">
      <c r="A205" s="291" t="s">
        <v>514</v>
      </c>
      <c r="B205" s="292" t="s">
        <v>271</v>
      </c>
      <c r="C205" s="293" t="s">
        <v>705</v>
      </c>
      <c r="D205" s="294">
        <v>803776506</v>
      </c>
      <c r="E205" s="295">
        <v>2526920236</v>
      </c>
      <c r="F205" s="293" t="s">
        <v>256</v>
      </c>
      <c r="G205" s="296">
        <v>36322</v>
      </c>
      <c r="H205" s="297" t="str">
        <f t="shared" si="9"/>
        <v>June</v>
      </c>
      <c r="I205" s="298">
        <f t="shared" ca="1" si="10"/>
        <v>17</v>
      </c>
      <c r="J205" s="298" t="s">
        <v>262</v>
      </c>
      <c r="K205" s="299">
        <v>77950</v>
      </c>
      <c r="L205" s="300">
        <v>4</v>
      </c>
      <c r="Q205" s="264" t="s">
        <v>2933</v>
      </c>
      <c r="R205" s="265">
        <v>41979</v>
      </c>
      <c r="S205" s="265">
        <v>42496</v>
      </c>
      <c r="T205" s="39">
        <f t="shared" si="11"/>
        <v>517</v>
      </c>
    </row>
    <row r="206" spans="1:20">
      <c r="A206" s="301" t="s">
        <v>395</v>
      </c>
      <c r="B206" s="302" t="s">
        <v>271</v>
      </c>
      <c r="C206" s="303" t="s">
        <v>312</v>
      </c>
      <c r="D206" s="304">
        <v>873100939</v>
      </c>
      <c r="E206" s="305">
        <v>9191259179</v>
      </c>
      <c r="F206" s="303" t="s">
        <v>256</v>
      </c>
      <c r="G206" s="306">
        <v>40995</v>
      </c>
      <c r="H206" s="307" t="str">
        <f t="shared" si="9"/>
        <v>March</v>
      </c>
      <c r="I206" s="308">
        <f t="shared" ca="1" si="10"/>
        <v>4</v>
      </c>
      <c r="J206" s="308" t="s">
        <v>257</v>
      </c>
      <c r="K206" s="309">
        <v>41490</v>
      </c>
      <c r="L206" s="310">
        <v>5</v>
      </c>
      <c r="Q206" s="264" t="s">
        <v>2932</v>
      </c>
      <c r="R206" s="265">
        <v>41581</v>
      </c>
      <c r="S206" s="265">
        <v>42417</v>
      </c>
      <c r="T206" s="39">
        <f t="shared" si="11"/>
        <v>836</v>
      </c>
    </row>
    <row r="207" spans="1:20">
      <c r="A207" s="291" t="s">
        <v>515</v>
      </c>
      <c r="B207" s="292" t="s">
        <v>271</v>
      </c>
      <c r="C207" s="293" t="s">
        <v>750</v>
      </c>
      <c r="D207" s="294">
        <v>444159297</v>
      </c>
      <c r="E207" s="295">
        <v>2522456406</v>
      </c>
      <c r="F207" s="293" t="s">
        <v>256</v>
      </c>
      <c r="G207" s="296">
        <v>34446</v>
      </c>
      <c r="H207" s="297" t="str">
        <f t="shared" si="9"/>
        <v>April</v>
      </c>
      <c r="I207" s="298">
        <f t="shared" ca="1" si="10"/>
        <v>22</v>
      </c>
      <c r="J207" s="298" t="s">
        <v>257</v>
      </c>
      <c r="K207" s="299">
        <v>81530</v>
      </c>
      <c r="L207" s="300">
        <v>5</v>
      </c>
      <c r="Q207" s="264" t="s">
        <v>2931</v>
      </c>
      <c r="R207" s="265">
        <v>41939</v>
      </c>
      <c r="S207" s="265">
        <v>42216</v>
      </c>
      <c r="T207" s="39">
        <f t="shared" si="11"/>
        <v>277</v>
      </c>
    </row>
    <row r="208" spans="1:20">
      <c r="A208" s="301" t="s">
        <v>637</v>
      </c>
      <c r="B208" s="302" t="s">
        <v>285</v>
      </c>
      <c r="C208" s="303" t="s">
        <v>391</v>
      </c>
      <c r="D208" s="304">
        <v>195245117</v>
      </c>
      <c r="E208" s="305">
        <v>9193451072</v>
      </c>
      <c r="F208" s="303" t="s">
        <v>252</v>
      </c>
      <c r="G208" s="306">
        <v>36583</v>
      </c>
      <c r="H208" s="307" t="str">
        <f t="shared" si="9"/>
        <v>February</v>
      </c>
      <c r="I208" s="308">
        <f t="shared" ca="1" si="10"/>
        <v>16</v>
      </c>
      <c r="J208" s="308"/>
      <c r="K208" s="309">
        <v>12676</v>
      </c>
      <c r="L208" s="310">
        <v>2</v>
      </c>
      <c r="Q208" s="264" t="s">
        <v>2930</v>
      </c>
      <c r="R208" s="265">
        <v>41327</v>
      </c>
      <c r="S208" s="265">
        <v>42244</v>
      </c>
      <c r="T208" s="39">
        <f t="shared" si="11"/>
        <v>917</v>
      </c>
    </row>
    <row r="209" spans="1:20">
      <c r="A209" s="291" t="s">
        <v>878</v>
      </c>
      <c r="B209" s="292" t="s">
        <v>245</v>
      </c>
      <c r="C209" s="293" t="s">
        <v>767</v>
      </c>
      <c r="D209" s="294">
        <v>106686151</v>
      </c>
      <c r="E209" s="295">
        <v>2521246633</v>
      </c>
      <c r="F209" s="293" t="s">
        <v>247</v>
      </c>
      <c r="G209" s="296">
        <v>36996</v>
      </c>
      <c r="H209" s="297" t="str">
        <f t="shared" si="9"/>
        <v>April</v>
      </c>
      <c r="I209" s="298">
        <f t="shared" ca="1" si="10"/>
        <v>15</v>
      </c>
      <c r="J209" s="298"/>
      <c r="K209" s="299">
        <v>47520</v>
      </c>
      <c r="L209" s="300">
        <v>1</v>
      </c>
      <c r="Q209" s="264" t="s">
        <v>2929</v>
      </c>
      <c r="R209" s="265">
        <v>41267</v>
      </c>
      <c r="S209" s="265">
        <v>41938</v>
      </c>
      <c r="T209" s="39">
        <f t="shared" si="11"/>
        <v>671</v>
      </c>
    </row>
    <row r="210" spans="1:20">
      <c r="A210" s="301" t="s">
        <v>793</v>
      </c>
      <c r="B210" s="302" t="s">
        <v>271</v>
      </c>
      <c r="C210" s="303" t="s">
        <v>705</v>
      </c>
      <c r="D210" s="304">
        <v>290385638</v>
      </c>
      <c r="E210" s="305">
        <v>9194518022</v>
      </c>
      <c r="F210" s="303" t="s">
        <v>261</v>
      </c>
      <c r="G210" s="306">
        <v>34412</v>
      </c>
      <c r="H210" s="307" t="str">
        <f t="shared" si="9"/>
        <v>March</v>
      </c>
      <c r="I210" s="308">
        <f t="shared" ca="1" si="10"/>
        <v>22</v>
      </c>
      <c r="J210" s="308" t="s">
        <v>262</v>
      </c>
      <c r="K210" s="309">
        <v>35045</v>
      </c>
      <c r="L210" s="310">
        <v>4</v>
      </c>
      <c r="Q210" s="264" t="s">
        <v>2928</v>
      </c>
      <c r="R210" s="265">
        <v>41825</v>
      </c>
      <c r="S210" s="265">
        <v>42545</v>
      </c>
      <c r="T210" s="39">
        <f t="shared" si="11"/>
        <v>720</v>
      </c>
    </row>
    <row r="211" spans="1:20">
      <c r="A211" s="291" t="s">
        <v>299</v>
      </c>
      <c r="B211" s="292" t="s">
        <v>251</v>
      </c>
      <c r="C211" s="293" t="s">
        <v>246</v>
      </c>
      <c r="D211" s="294">
        <v>411526157</v>
      </c>
      <c r="E211" s="295">
        <v>9195818082</v>
      </c>
      <c r="F211" s="293" t="s">
        <v>252</v>
      </c>
      <c r="G211" s="296">
        <v>34756</v>
      </c>
      <c r="H211" s="297" t="str">
        <f t="shared" si="9"/>
        <v>February</v>
      </c>
      <c r="I211" s="298">
        <f t="shared" ca="1" si="10"/>
        <v>21</v>
      </c>
      <c r="J211" s="298"/>
      <c r="K211" s="299">
        <v>35680</v>
      </c>
      <c r="L211" s="300">
        <v>2</v>
      </c>
      <c r="Q211" s="264" t="s">
        <v>2927</v>
      </c>
      <c r="R211" s="265">
        <v>42311</v>
      </c>
      <c r="S211" s="265">
        <v>42961</v>
      </c>
      <c r="T211" s="39">
        <f t="shared" si="11"/>
        <v>650</v>
      </c>
    </row>
    <row r="212" spans="1:20">
      <c r="A212" s="301" t="s">
        <v>322</v>
      </c>
      <c r="B212" s="302" t="s">
        <v>285</v>
      </c>
      <c r="C212" s="303" t="s">
        <v>465</v>
      </c>
      <c r="D212" s="304">
        <v>130619578</v>
      </c>
      <c r="E212" s="305">
        <v>9195057530</v>
      </c>
      <c r="F212" s="303" t="s">
        <v>247</v>
      </c>
      <c r="G212" s="306">
        <v>37628</v>
      </c>
      <c r="H212" s="307" t="str">
        <f t="shared" si="9"/>
        <v>January</v>
      </c>
      <c r="I212" s="308">
        <f t="shared" ca="1" si="10"/>
        <v>13</v>
      </c>
      <c r="J212" s="308"/>
      <c r="K212" s="309">
        <v>89520</v>
      </c>
      <c r="L212" s="310">
        <v>5</v>
      </c>
      <c r="Q212" s="264" t="s">
        <v>2926</v>
      </c>
      <c r="R212" s="265">
        <v>41755</v>
      </c>
      <c r="S212" s="265">
        <v>42469</v>
      </c>
      <c r="T212" s="39">
        <f t="shared" si="11"/>
        <v>714</v>
      </c>
    </row>
    <row r="213" spans="1:20">
      <c r="A213" s="291" t="s">
        <v>516</v>
      </c>
      <c r="B213" s="292" t="s">
        <v>285</v>
      </c>
      <c r="C213" s="293" t="s">
        <v>930</v>
      </c>
      <c r="D213" s="294">
        <v>296641985</v>
      </c>
      <c r="E213" s="295">
        <v>2528217409</v>
      </c>
      <c r="F213" s="293" t="s">
        <v>256</v>
      </c>
      <c r="G213" s="296">
        <v>36537</v>
      </c>
      <c r="H213" s="297" t="str">
        <f t="shared" si="9"/>
        <v>January</v>
      </c>
      <c r="I213" s="298">
        <f t="shared" ca="1" si="10"/>
        <v>16</v>
      </c>
      <c r="J213" s="298" t="s">
        <v>283</v>
      </c>
      <c r="K213" s="299">
        <v>41380</v>
      </c>
      <c r="L213" s="300">
        <v>2</v>
      </c>
      <c r="Q213" s="264" t="s">
        <v>2925</v>
      </c>
      <c r="R213" s="265">
        <v>41498</v>
      </c>
      <c r="S213" s="265">
        <v>42172</v>
      </c>
      <c r="T213" s="39">
        <f t="shared" si="11"/>
        <v>674</v>
      </c>
    </row>
    <row r="214" spans="1:20">
      <c r="A214" s="301" t="s">
        <v>323</v>
      </c>
      <c r="B214" s="302" t="s">
        <v>266</v>
      </c>
      <c r="C214" s="303" t="s">
        <v>465</v>
      </c>
      <c r="D214" s="304">
        <v>881975933</v>
      </c>
      <c r="E214" s="305">
        <v>9192354572</v>
      </c>
      <c r="F214" s="303" t="s">
        <v>256</v>
      </c>
      <c r="G214" s="306">
        <v>36740</v>
      </c>
      <c r="H214" s="307" t="str">
        <f t="shared" si="9"/>
        <v>August</v>
      </c>
      <c r="I214" s="308">
        <f t="shared" ca="1" si="10"/>
        <v>16</v>
      </c>
      <c r="J214" s="308" t="s">
        <v>267</v>
      </c>
      <c r="K214" s="309">
        <v>35460</v>
      </c>
      <c r="L214" s="310">
        <v>5</v>
      </c>
      <c r="Q214" s="264" t="s">
        <v>2924</v>
      </c>
      <c r="R214" s="265">
        <v>41135</v>
      </c>
      <c r="S214" s="265">
        <v>41291</v>
      </c>
      <c r="T214" s="39">
        <f t="shared" si="11"/>
        <v>156</v>
      </c>
    </row>
    <row r="215" spans="1:20">
      <c r="A215" s="291" t="s">
        <v>716</v>
      </c>
      <c r="B215" s="292" t="s">
        <v>245</v>
      </c>
      <c r="C215" s="293" t="s">
        <v>626</v>
      </c>
      <c r="D215" s="294">
        <v>422929693</v>
      </c>
      <c r="E215" s="295">
        <v>9191487375</v>
      </c>
      <c r="F215" s="293" t="s">
        <v>256</v>
      </c>
      <c r="G215" s="296">
        <v>37572</v>
      </c>
      <c r="H215" s="297" t="str">
        <f t="shared" si="9"/>
        <v>November</v>
      </c>
      <c r="I215" s="298">
        <f t="shared" ca="1" si="10"/>
        <v>13</v>
      </c>
      <c r="J215" s="298" t="s">
        <v>283</v>
      </c>
      <c r="K215" s="299">
        <v>52490</v>
      </c>
      <c r="L215" s="300">
        <v>4</v>
      </c>
      <c r="Q215" s="264" t="s">
        <v>2923</v>
      </c>
      <c r="R215" s="265">
        <v>42058</v>
      </c>
      <c r="S215" s="265">
        <v>42623</v>
      </c>
      <c r="T215" s="39">
        <f t="shared" si="11"/>
        <v>565</v>
      </c>
    </row>
    <row r="216" spans="1:20">
      <c r="A216" s="301" t="s">
        <v>1032</v>
      </c>
      <c r="B216" s="302" t="s">
        <v>245</v>
      </c>
      <c r="C216" s="303" t="s">
        <v>246</v>
      </c>
      <c r="D216" s="304">
        <v>914428485</v>
      </c>
      <c r="E216" s="305">
        <v>2521774590</v>
      </c>
      <c r="F216" s="303" t="s">
        <v>261</v>
      </c>
      <c r="G216" s="306">
        <v>34200</v>
      </c>
      <c r="H216" s="307" t="str">
        <f t="shared" si="9"/>
        <v>August</v>
      </c>
      <c r="I216" s="308">
        <f t="shared" ca="1" si="10"/>
        <v>23</v>
      </c>
      <c r="J216" s="308" t="s">
        <v>262</v>
      </c>
      <c r="K216" s="309">
        <v>26795</v>
      </c>
      <c r="L216" s="310">
        <v>4</v>
      </c>
      <c r="Q216" s="264" t="s">
        <v>2922</v>
      </c>
      <c r="R216" s="265">
        <v>42127</v>
      </c>
      <c r="S216" s="265">
        <v>42343</v>
      </c>
      <c r="T216" s="39">
        <f t="shared" si="11"/>
        <v>216</v>
      </c>
    </row>
    <row r="217" spans="1:20">
      <c r="A217" s="291" t="s">
        <v>382</v>
      </c>
      <c r="B217" s="292" t="s">
        <v>285</v>
      </c>
      <c r="C217" s="293" t="s">
        <v>767</v>
      </c>
      <c r="D217" s="294">
        <v>945160038</v>
      </c>
      <c r="E217" s="295">
        <v>2527909707</v>
      </c>
      <c r="F217" s="293" t="s">
        <v>256</v>
      </c>
      <c r="G217" s="296">
        <v>38611</v>
      </c>
      <c r="H217" s="297" t="str">
        <f t="shared" si="9"/>
        <v>September</v>
      </c>
      <c r="I217" s="298">
        <f t="shared" ca="1" si="10"/>
        <v>11</v>
      </c>
      <c r="J217" s="298" t="s">
        <v>262</v>
      </c>
      <c r="K217" s="299">
        <v>23560</v>
      </c>
      <c r="L217" s="300">
        <v>3</v>
      </c>
      <c r="Q217" s="264" t="s">
        <v>2921</v>
      </c>
      <c r="R217" s="265">
        <v>41966</v>
      </c>
      <c r="S217" s="265">
        <v>42133</v>
      </c>
      <c r="T217" s="39">
        <f t="shared" si="11"/>
        <v>167</v>
      </c>
    </row>
    <row r="218" spans="1:20">
      <c r="A218" s="301" t="s">
        <v>794</v>
      </c>
      <c r="B218" s="302" t="s">
        <v>285</v>
      </c>
      <c r="C218" s="303" t="s">
        <v>465</v>
      </c>
      <c r="D218" s="304">
        <v>561737107</v>
      </c>
      <c r="E218" s="305">
        <v>9198294156</v>
      </c>
      <c r="F218" s="303" t="s">
        <v>256</v>
      </c>
      <c r="G218" s="306">
        <v>35934</v>
      </c>
      <c r="H218" s="307" t="str">
        <f t="shared" si="9"/>
        <v>May</v>
      </c>
      <c r="I218" s="308">
        <f t="shared" ca="1" si="10"/>
        <v>18</v>
      </c>
      <c r="J218" s="308" t="s">
        <v>283</v>
      </c>
      <c r="K218" s="309">
        <v>73072</v>
      </c>
      <c r="L218" s="310">
        <v>5</v>
      </c>
      <c r="Q218" s="264" t="s">
        <v>2920</v>
      </c>
      <c r="R218" s="265">
        <v>41840</v>
      </c>
      <c r="S218" s="265">
        <v>42762</v>
      </c>
      <c r="T218" s="39">
        <f t="shared" si="11"/>
        <v>922</v>
      </c>
    </row>
    <row r="219" spans="1:20">
      <c r="A219" s="291" t="s">
        <v>879</v>
      </c>
      <c r="B219" s="292" t="s">
        <v>285</v>
      </c>
      <c r="C219" s="293" t="s">
        <v>465</v>
      </c>
      <c r="D219" s="294">
        <v>482927373</v>
      </c>
      <c r="E219" s="295">
        <v>9198413271</v>
      </c>
      <c r="F219" s="293" t="s">
        <v>256</v>
      </c>
      <c r="G219" s="296">
        <v>36436</v>
      </c>
      <c r="H219" s="297" t="str">
        <f t="shared" si="9"/>
        <v>October</v>
      </c>
      <c r="I219" s="298">
        <f t="shared" ca="1" si="10"/>
        <v>17</v>
      </c>
      <c r="J219" s="298" t="s">
        <v>283</v>
      </c>
      <c r="K219" s="299">
        <v>32390</v>
      </c>
      <c r="L219" s="300">
        <v>2</v>
      </c>
      <c r="Q219" s="264" t="s">
        <v>2919</v>
      </c>
      <c r="R219" s="265">
        <v>40948</v>
      </c>
      <c r="S219" s="265">
        <v>41833</v>
      </c>
      <c r="T219" s="39">
        <f t="shared" si="11"/>
        <v>885</v>
      </c>
    </row>
    <row r="220" spans="1:20">
      <c r="A220" s="301" t="s">
        <v>717</v>
      </c>
      <c r="B220" s="302" t="s">
        <v>251</v>
      </c>
      <c r="C220" s="303" t="s">
        <v>705</v>
      </c>
      <c r="D220" s="304">
        <v>711445298</v>
      </c>
      <c r="E220" s="305">
        <v>2528359862</v>
      </c>
      <c r="F220" s="303" t="s">
        <v>247</v>
      </c>
      <c r="G220" s="306">
        <v>41530</v>
      </c>
      <c r="H220" s="307" t="str">
        <f t="shared" si="9"/>
        <v>September</v>
      </c>
      <c r="I220" s="308">
        <f t="shared" ca="1" si="10"/>
        <v>3</v>
      </c>
      <c r="J220" s="308"/>
      <c r="K220" s="309">
        <v>84300</v>
      </c>
      <c r="L220" s="310">
        <v>1</v>
      </c>
      <c r="Q220" s="264" t="s">
        <v>2918</v>
      </c>
      <c r="R220" s="265">
        <v>41582</v>
      </c>
      <c r="S220" s="265">
        <v>41731</v>
      </c>
      <c r="T220" s="39">
        <f t="shared" si="11"/>
        <v>149</v>
      </c>
    </row>
    <row r="221" spans="1:20">
      <c r="A221" s="291" t="s">
        <v>795</v>
      </c>
      <c r="B221" s="292" t="s">
        <v>245</v>
      </c>
      <c r="C221" s="293" t="s">
        <v>465</v>
      </c>
      <c r="D221" s="294">
        <v>353414196</v>
      </c>
      <c r="E221" s="295">
        <v>2528159919</v>
      </c>
      <c r="F221" s="293" t="s">
        <v>256</v>
      </c>
      <c r="G221" s="296">
        <v>37608</v>
      </c>
      <c r="H221" s="297" t="str">
        <f t="shared" si="9"/>
        <v>December</v>
      </c>
      <c r="I221" s="298">
        <f t="shared" ca="1" si="10"/>
        <v>13</v>
      </c>
      <c r="J221" s="298" t="s">
        <v>267</v>
      </c>
      <c r="K221" s="299">
        <v>23650</v>
      </c>
      <c r="L221" s="300">
        <v>1</v>
      </c>
      <c r="Q221" s="264" t="s">
        <v>2917</v>
      </c>
      <c r="R221" s="265">
        <v>41436</v>
      </c>
      <c r="S221" s="265">
        <v>41674</v>
      </c>
      <c r="T221" s="39">
        <f t="shared" si="11"/>
        <v>238</v>
      </c>
    </row>
    <row r="222" spans="1:20">
      <c r="A222" s="301" t="s">
        <v>517</v>
      </c>
      <c r="B222" s="302" t="s">
        <v>245</v>
      </c>
      <c r="C222" s="303" t="s">
        <v>272</v>
      </c>
      <c r="D222" s="304">
        <v>767961463</v>
      </c>
      <c r="E222" s="305">
        <v>2523646601</v>
      </c>
      <c r="F222" s="303" t="s">
        <v>247</v>
      </c>
      <c r="G222" s="306">
        <v>37687</v>
      </c>
      <c r="H222" s="307" t="str">
        <f t="shared" si="9"/>
        <v>March</v>
      </c>
      <c r="I222" s="308">
        <f t="shared" ca="1" si="10"/>
        <v>13</v>
      </c>
      <c r="J222" s="308"/>
      <c r="K222" s="309">
        <v>76690</v>
      </c>
      <c r="L222" s="310">
        <v>3</v>
      </c>
      <c r="Q222" s="264" t="s">
        <v>2916</v>
      </c>
      <c r="R222" s="265">
        <v>40915</v>
      </c>
      <c r="S222" s="265">
        <v>41038</v>
      </c>
      <c r="T222" s="39">
        <f t="shared" si="11"/>
        <v>123</v>
      </c>
    </row>
    <row r="223" spans="1:20">
      <c r="A223" s="291" t="s">
        <v>796</v>
      </c>
      <c r="B223" s="292" t="s">
        <v>285</v>
      </c>
      <c r="C223" s="293" t="s">
        <v>465</v>
      </c>
      <c r="D223" s="294">
        <v>564908088</v>
      </c>
      <c r="E223" s="295">
        <v>9193386758</v>
      </c>
      <c r="F223" s="293" t="s">
        <v>256</v>
      </c>
      <c r="G223" s="296">
        <v>39287</v>
      </c>
      <c r="H223" s="297" t="str">
        <f t="shared" si="9"/>
        <v>July</v>
      </c>
      <c r="I223" s="298">
        <f t="shared" ca="1" si="10"/>
        <v>9</v>
      </c>
      <c r="J223" s="298" t="s">
        <v>257</v>
      </c>
      <c r="K223" s="299">
        <v>87760</v>
      </c>
      <c r="L223" s="300">
        <v>1</v>
      </c>
      <c r="Q223" s="264" t="s">
        <v>2915</v>
      </c>
      <c r="R223" s="265">
        <v>41797</v>
      </c>
      <c r="S223" s="265">
        <v>41988</v>
      </c>
      <c r="T223" s="39">
        <f t="shared" si="11"/>
        <v>191</v>
      </c>
    </row>
    <row r="224" spans="1:20">
      <c r="A224" s="301" t="s">
        <v>685</v>
      </c>
      <c r="B224" s="302" t="s">
        <v>245</v>
      </c>
      <c r="C224" s="303" t="s">
        <v>750</v>
      </c>
      <c r="D224" s="304">
        <v>671360508</v>
      </c>
      <c r="E224" s="305">
        <v>2528385730</v>
      </c>
      <c r="F224" s="303" t="s">
        <v>261</v>
      </c>
      <c r="G224" s="306">
        <v>34070</v>
      </c>
      <c r="H224" s="307" t="str">
        <f t="shared" si="9"/>
        <v>April</v>
      </c>
      <c r="I224" s="308">
        <f t="shared" ca="1" si="10"/>
        <v>23</v>
      </c>
      <c r="J224" s="308" t="s">
        <v>262</v>
      </c>
      <c r="K224" s="309">
        <v>39620</v>
      </c>
      <c r="L224" s="310">
        <v>5</v>
      </c>
      <c r="Q224" s="264" t="s">
        <v>2914</v>
      </c>
      <c r="R224" s="265">
        <v>42113</v>
      </c>
      <c r="S224" s="265">
        <v>42573</v>
      </c>
      <c r="T224" s="39">
        <f t="shared" si="11"/>
        <v>460</v>
      </c>
    </row>
    <row r="225" spans="1:20">
      <c r="A225" s="291" t="s">
        <v>518</v>
      </c>
      <c r="B225" s="292" t="s">
        <v>271</v>
      </c>
      <c r="C225" s="293" t="s">
        <v>626</v>
      </c>
      <c r="D225" s="294">
        <v>999156829</v>
      </c>
      <c r="E225" s="295">
        <v>2521401774</v>
      </c>
      <c r="F225" s="293" t="s">
        <v>256</v>
      </c>
      <c r="G225" s="296">
        <v>41357</v>
      </c>
      <c r="H225" s="297" t="str">
        <f t="shared" si="9"/>
        <v>March</v>
      </c>
      <c r="I225" s="298">
        <f t="shared" ca="1" si="10"/>
        <v>3</v>
      </c>
      <c r="J225" s="298" t="s">
        <v>257</v>
      </c>
      <c r="K225" s="299">
        <v>33970</v>
      </c>
      <c r="L225" s="300">
        <v>4</v>
      </c>
      <c r="Q225" s="264" t="s">
        <v>2913</v>
      </c>
      <c r="R225" s="265">
        <v>41013</v>
      </c>
      <c r="S225" s="265">
        <v>41431</v>
      </c>
      <c r="T225" s="39">
        <f t="shared" si="11"/>
        <v>418</v>
      </c>
    </row>
    <row r="226" spans="1:20">
      <c r="A226" s="301" t="s">
        <v>797</v>
      </c>
      <c r="B226" s="302" t="s">
        <v>271</v>
      </c>
      <c r="C226" s="303" t="s">
        <v>411</v>
      </c>
      <c r="D226" s="304">
        <v>999789446</v>
      </c>
      <c r="E226" s="305">
        <v>2521696804</v>
      </c>
      <c r="F226" s="303" t="s">
        <v>256</v>
      </c>
      <c r="G226" s="306">
        <v>36239</v>
      </c>
      <c r="H226" s="307" t="str">
        <f t="shared" si="9"/>
        <v>March</v>
      </c>
      <c r="I226" s="308">
        <f t="shared" ca="1" si="10"/>
        <v>17</v>
      </c>
      <c r="J226" s="308" t="s">
        <v>257</v>
      </c>
      <c r="K226" s="309">
        <v>66740</v>
      </c>
      <c r="L226" s="310">
        <v>2</v>
      </c>
      <c r="Q226" s="264" t="s">
        <v>2912</v>
      </c>
      <c r="R226" s="265">
        <v>41121</v>
      </c>
      <c r="S226" s="265">
        <v>41919</v>
      </c>
      <c r="T226" s="39">
        <f t="shared" si="11"/>
        <v>798</v>
      </c>
    </row>
    <row r="227" spans="1:20">
      <c r="A227" s="291" t="s">
        <v>798</v>
      </c>
      <c r="B227" s="292" t="s">
        <v>266</v>
      </c>
      <c r="C227" s="293" t="s">
        <v>465</v>
      </c>
      <c r="D227" s="294">
        <v>484217278</v>
      </c>
      <c r="E227" s="295">
        <v>9195627374</v>
      </c>
      <c r="F227" s="293" t="s">
        <v>252</v>
      </c>
      <c r="G227" s="296">
        <v>40657</v>
      </c>
      <c r="H227" s="297" t="str">
        <f t="shared" si="9"/>
        <v>April</v>
      </c>
      <c r="I227" s="298">
        <f t="shared" ca="1" si="10"/>
        <v>5</v>
      </c>
      <c r="J227" s="298"/>
      <c r="K227" s="299">
        <v>10572</v>
      </c>
      <c r="L227" s="300">
        <v>4</v>
      </c>
      <c r="Q227" s="264" t="s">
        <v>2911</v>
      </c>
      <c r="R227" s="265">
        <v>41416</v>
      </c>
      <c r="S227" s="265">
        <v>41982</v>
      </c>
      <c r="T227" s="39">
        <f t="shared" si="11"/>
        <v>566</v>
      </c>
    </row>
    <row r="228" spans="1:20">
      <c r="A228" s="301" t="s">
        <v>799</v>
      </c>
      <c r="B228" s="302" t="s">
        <v>271</v>
      </c>
      <c r="C228" s="303" t="s">
        <v>767</v>
      </c>
      <c r="D228" s="304">
        <v>548283920</v>
      </c>
      <c r="E228" s="305">
        <v>2524160215</v>
      </c>
      <c r="F228" s="303" t="s">
        <v>247</v>
      </c>
      <c r="G228" s="306">
        <v>37207</v>
      </c>
      <c r="H228" s="307" t="str">
        <f t="shared" si="9"/>
        <v>November</v>
      </c>
      <c r="I228" s="308">
        <f t="shared" ca="1" si="10"/>
        <v>14</v>
      </c>
      <c r="J228" s="308"/>
      <c r="K228" s="309">
        <v>57990</v>
      </c>
      <c r="L228" s="310">
        <v>5</v>
      </c>
      <c r="Q228" s="264" t="s">
        <v>2910</v>
      </c>
      <c r="R228" s="265">
        <v>41851</v>
      </c>
      <c r="S228" s="265">
        <v>42232</v>
      </c>
      <c r="T228" s="39">
        <f t="shared" si="11"/>
        <v>381</v>
      </c>
    </row>
    <row r="229" spans="1:20">
      <c r="A229" s="291" t="s">
        <v>519</v>
      </c>
      <c r="B229" s="292" t="s">
        <v>271</v>
      </c>
      <c r="C229" s="293" t="s">
        <v>856</v>
      </c>
      <c r="D229" s="294">
        <v>863736129</v>
      </c>
      <c r="E229" s="295">
        <v>2522778445</v>
      </c>
      <c r="F229" s="293" t="s">
        <v>261</v>
      </c>
      <c r="G229" s="296">
        <v>36598</v>
      </c>
      <c r="H229" s="297" t="str">
        <f t="shared" si="9"/>
        <v>March</v>
      </c>
      <c r="I229" s="298">
        <f t="shared" ca="1" si="10"/>
        <v>16</v>
      </c>
      <c r="J229" s="298" t="s">
        <v>283</v>
      </c>
      <c r="K229" s="299">
        <v>42740</v>
      </c>
      <c r="L229" s="300">
        <v>2</v>
      </c>
      <c r="Q229" s="264" t="s">
        <v>2909</v>
      </c>
      <c r="R229" s="265">
        <v>41689</v>
      </c>
      <c r="S229" s="265">
        <v>42416</v>
      </c>
      <c r="T229" s="39">
        <f t="shared" si="11"/>
        <v>727</v>
      </c>
    </row>
    <row r="230" spans="1:20">
      <c r="A230" s="301" t="s">
        <v>880</v>
      </c>
      <c r="B230" s="302" t="s">
        <v>245</v>
      </c>
      <c r="C230" s="303" t="s">
        <v>417</v>
      </c>
      <c r="D230" s="304">
        <v>304068732</v>
      </c>
      <c r="E230" s="305">
        <v>2523919445</v>
      </c>
      <c r="F230" s="303" t="s">
        <v>261</v>
      </c>
      <c r="G230" s="306">
        <v>34619</v>
      </c>
      <c r="H230" s="307" t="str">
        <f t="shared" si="9"/>
        <v>October</v>
      </c>
      <c r="I230" s="308">
        <f t="shared" ca="1" si="10"/>
        <v>22</v>
      </c>
      <c r="J230" s="308" t="s">
        <v>257</v>
      </c>
      <c r="K230" s="309">
        <v>34110</v>
      </c>
      <c r="L230" s="310">
        <v>4</v>
      </c>
      <c r="Q230" s="264" t="s">
        <v>2908</v>
      </c>
      <c r="R230" s="265">
        <v>41699</v>
      </c>
      <c r="S230" s="265">
        <v>41999</v>
      </c>
      <c r="T230" s="39">
        <f t="shared" si="11"/>
        <v>300</v>
      </c>
    </row>
    <row r="231" spans="1:20">
      <c r="A231" s="291" t="s">
        <v>278</v>
      </c>
      <c r="B231" s="292" t="s">
        <v>271</v>
      </c>
      <c r="C231" s="293" t="s">
        <v>767</v>
      </c>
      <c r="D231" s="294">
        <v>313358310</v>
      </c>
      <c r="E231" s="295">
        <v>9195442791</v>
      </c>
      <c r="F231" s="293" t="s">
        <v>256</v>
      </c>
      <c r="G231" s="296">
        <v>35132</v>
      </c>
      <c r="H231" s="297" t="str">
        <f t="shared" si="9"/>
        <v>March</v>
      </c>
      <c r="I231" s="298">
        <f t="shared" ca="1" si="10"/>
        <v>20</v>
      </c>
      <c r="J231" s="298" t="s">
        <v>257</v>
      </c>
      <c r="K231" s="299">
        <v>62688</v>
      </c>
      <c r="L231" s="300">
        <v>2</v>
      </c>
      <c r="Q231" s="264" t="s">
        <v>2907</v>
      </c>
      <c r="R231" s="265">
        <v>41238</v>
      </c>
      <c r="S231" s="265">
        <v>42121</v>
      </c>
      <c r="T231" s="39">
        <f t="shared" si="11"/>
        <v>883</v>
      </c>
    </row>
    <row r="232" spans="1:20">
      <c r="A232" s="301" t="s">
        <v>426</v>
      </c>
      <c r="B232" s="302" t="s">
        <v>245</v>
      </c>
      <c r="C232" s="303" t="s">
        <v>272</v>
      </c>
      <c r="D232" s="304">
        <v>771277493</v>
      </c>
      <c r="E232" s="305">
        <v>2522872439</v>
      </c>
      <c r="F232" s="303" t="s">
        <v>252</v>
      </c>
      <c r="G232" s="306">
        <v>41036</v>
      </c>
      <c r="H232" s="307" t="str">
        <f t="shared" si="9"/>
        <v>May</v>
      </c>
      <c r="I232" s="308">
        <f t="shared" ca="1" si="10"/>
        <v>4</v>
      </c>
      <c r="J232" s="308"/>
      <c r="K232" s="309">
        <v>10636</v>
      </c>
      <c r="L232" s="310">
        <v>4</v>
      </c>
      <c r="Q232" s="264" t="s">
        <v>2906</v>
      </c>
      <c r="R232" s="265">
        <v>40919</v>
      </c>
      <c r="S232" s="265">
        <v>41719</v>
      </c>
      <c r="T232" s="39">
        <f t="shared" si="11"/>
        <v>800</v>
      </c>
    </row>
    <row r="233" spans="1:20">
      <c r="A233" s="291" t="s">
        <v>950</v>
      </c>
      <c r="B233" s="292" t="s">
        <v>271</v>
      </c>
      <c r="C233" s="293" t="s">
        <v>626</v>
      </c>
      <c r="D233" s="294">
        <v>168791562</v>
      </c>
      <c r="E233" s="295">
        <v>9194161772</v>
      </c>
      <c r="F233" s="293" t="s">
        <v>256</v>
      </c>
      <c r="G233" s="296">
        <v>41271</v>
      </c>
      <c r="H233" s="297" t="str">
        <f t="shared" si="9"/>
        <v>December</v>
      </c>
      <c r="I233" s="298">
        <f t="shared" ca="1" si="10"/>
        <v>3</v>
      </c>
      <c r="J233" s="298" t="s">
        <v>267</v>
      </c>
      <c r="K233" s="299">
        <v>75780</v>
      </c>
      <c r="L233" s="300">
        <v>2</v>
      </c>
      <c r="Q233" s="264" t="s">
        <v>2905</v>
      </c>
      <c r="R233" s="265">
        <v>40948</v>
      </c>
      <c r="S233" s="265">
        <v>41182</v>
      </c>
      <c r="T233" s="39">
        <f t="shared" si="11"/>
        <v>234</v>
      </c>
    </row>
    <row r="234" spans="1:20">
      <c r="A234" s="301" t="s">
        <v>324</v>
      </c>
      <c r="B234" s="302" t="s">
        <v>266</v>
      </c>
      <c r="C234" s="303" t="s">
        <v>930</v>
      </c>
      <c r="D234" s="304">
        <v>147683641</v>
      </c>
      <c r="E234" s="305">
        <v>9191657646</v>
      </c>
      <c r="F234" s="303" t="s">
        <v>247</v>
      </c>
      <c r="G234" s="306">
        <v>41244</v>
      </c>
      <c r="H234" s="307" t="str">
        <f t="shared" si="9"/>
        <v>December</v>
      </c>
      <c r="I234" s="308">
        <f t="shared" ca="1" si="10"/>
        <v>3</v>
      </c>
      <c r="J234" s="308"/>
      <c r="K234" s="309">
        <v>47280</v>
      </c>
      <c r="L234" s="310">
        <v>1</v>
      </c>
      <c r="Q234" s="264" t="s">
        <v>2904</v>
      </c>
      <c r="R234" s="265">
        <v>41198</v>
      </c>
      <c r="S234" s="265">
        <v>41838</v>
      </c>
      <c r="T234" s="39">
        <f t="shared" si="11"/>
        <v>640</v>
      </c>
    </row>
    <row r="235" spans="1:20">
      <c r="A235" s="291" t="s">
        <v>396</v>
      </c>
      <c r="B235" s="292" t="s">
        <v>271</v>
      </c>
      <c r="C235" s="293" t="s">
        <v>465</v>
      </c>
      <c r="D235" s="294">
        <v>995858336</v>
      </c>
      <c r="E235" s="295">
        <v>2525035104</v>
      </c>
      <c r="F235" s="293" t="s">
        <v>247</v>
      </c>
      <c r="G235" s="296">
        <v>41380</v>
      </c>
      <c r="H235" s="297" t="str">
        <f t="shared" si="9"/>
        <v>April</v>
      </c>
      <c r="I235" s="298">
        <f t="shared" ca="1" si="10"/>
        <v>3</v>
      </c>
      <c r="J235" s="298"/>
      <c r="K235" s="299">
        <v>37840</v>
      </c>
      <c r="L235" s="300">
        <v>1</v>
      </c>
      <c r="Q235" s="264" t="s">
        <v>2903</v>
      </c>
      <c r="R235" s="265">
        <v>41751</v>
      </c>
      <c r="S235" s="265">
        <v>42345</v>
      </c>
      <c r="T235" s="39">
        <f t="shared" si="11"/>
        <v>594</v>
      </c>
    </row>
    <row r="236" spans="1:20">
      <c r="A236" s="301" t="s">
        <v>951</v>
      </c>
      <c r="B236" s="302" t="s">
        <v>285</v>
      </c>
      <c r="C236" s="303" t="s">
        <v>626</v>
      </c>
      <c r="D236" s="304">
        <v>479081328</v>
      </c>
      <c r="E236" s="305">
        <v>2525368383</v>
      </c>
      <c r="F236" s="303" t="s">
        <v>247</v>
      </c>
      <c r="G236" s="306">
        <v>36592</v>
      </c>
      <c r="H236" s="307" t="str">
        <f t="shared" si="9"/>
        <v>March</v>
      </c>
      <c r="I236" s="308">
        <f t="shared" ca="1" si="10"/>
        <v>16</v>
      </c>
      <c r="J236" s="308"/>
      <c r="K236" s="309">
        <v>63850</v>
      </c>
      <c r="L236" s="310">
        <v>2</v>
      </c>
      <c r="Q236" s="264" t="s">
        <v>2902</v>
      </c>
      <c r="R236" s="265">
        <v>41817</v>
      </c>
      <c r="S236" s="265">
        <v>42520</v>
      </c>
      <c r="T236" s="39">
        <f t="shared" si="11"/>
        <v>703</v>
      </c>
    </row>
    <row r="237" spans="1:20">
      <c r="A237" s="291" t="s">
        <v>718</v>
      </c>
      <c r="B237" s="292" t="s">
        <v>271</v>
      </c>
      <c r="C237" s="293" t="s">
        <v>417</v>
      </c>
      <c r="D237" s="294">
        <v>282972141</v>
      </c>
      <c r="E237" s="295">
        <v>2527135797</v>
      </c>
      <c r="F237" s="293" t="s">
        <v>247</v>
      </c>
      <c r="G237" s="296">
        <v>36849</v>
      </c>
      <c r="H237" s="297" t="str">
        <f t="shared" si="9"/>
        <v>November</v>
      </c>
      <c r="I237" s="298">
        <f t="shared" ca="1" si="10"/>
        <v>15</v>
      </c>
      <c r="J237" s="298"/>
      <c r="K237" s="299">
        <v>25120</v>
      </c>
      <c r="L237" s="300">
        <v>5</v>
      </c>
      <c r="Q237" s="264" t="s">
        <v>2901</v>
      </c>
      <c r="R237" s="265">
        <v>41892</v>
      </c>
      <c r="S237" s="265">
        <v>42837</v>
      </c>
      <c r="T237" s="39">
        <f t="shared" si="11"/>
        <v>945</v>
      </c>
    </row>
    <row r="238" spans="1:20">
      <c r="A238" s="301" t="s">
        <v>756</v>
      </c>
      <c r="B238" s="302" t="s">
        <v>285</v>
      </c>
      <c r="C238" s="303" t="s">
        <v>465</v>
      </c>
      <c r="D238" s="304">
        <v>589649495</v>
      </c>
      <c r="E238" s="305">
        <v>2524248455</v>
      </c>
      <c r="F238" s="303" t="s">
        <v>256</v>
      </c>
      <c r="G238" s="306">
        <v>37617</v>
      </c>
      <c r="H238" s="307" t="str">
        <f t="shared" si="9"/>
        <v>December</v>
      </c>
      <c r="I238" s="308">
        <f t="shared" ca="1" si="10"/>
        <v>13</v>
      </c>
      <c r="J238" s="308" t="s">
        <v>276</v>
      </c>
      <c r="K238" s="309">
        <v>38870</v>
      </c>
      <c r="L238" s="310">
        <v>2</v>
      </c>
      <c r="Q238" s="264" t="s">
        <v>2900</v>
      </c>
      <c r="R238" s="265">
        <v>41075</v>
      </c>
      <c r="S238" s="265">
        <v>41986</v>
      </c>
      <c r="T238" s="39">
        <f t="shared" si="11"/>
        <v>911</v>
      </c>
    </row>
    <row r="239" spans="1:20">
      <c r="A239" s="291" t="s">
        <v>427</v>
      </c>
      <c r="B239" s="292" t="s">
        <v>280</v>
      </c>
      <c r="C239" s="293" t="s">
        <v>417</v>
      </c>
      <c r="D239" s="294">
        <v>525507320</v>
      </c>
      <c r="E239" s="295">
        <v>2523938131</v>
      </c>
      <c r="F239" s="293" t="s">
        <v>256</v>
      </c>
      <c r="G239" s="296">
        <v>37324</v>
      </c>
      <c r="H239" s="297" t="str">
        <f t="shared" si="9"/>
        <v>March</v>
      </c>
      <c r="I239" s="298">
        <f t="shared" ca="1" si="10"/>
        <v>14</v>
      </c>
      <c r="J239" s="298" t="s">
        <v>276</v>
      </c>
      <c r="K239" s="299">
        <v>39680</v>
      </c>
      <c r="L239" s="300">
        <v>5</v>
      </c>
      <c r="Q239" s="264" t="s">
        <v>2899</v>
      </c>
      <c r="R239" s="265">
        <v>41908</v>
      </c>
      <c r="S239" s="265">
        <v>42273</v>
      </c>
      <c r="T239" s="39">
        <f t="shared" si="11"/>
        <v>365</v>
      </c>
    </row>
    <row r="240" spans="1:20">
      <c r="A240" s="301" t="s">
        <v>757</v>
      </c>
      <c r="B240" s="302" t="s">
        <v>280</v>
      </c>
      <c r="C240" s="303" t="s">
        <v>417</v>
      </c>
      <c r="D240" s="304">
        <v>279591317</v>
      </c>
      <c r="E240" s="305">
        <v>2522381391</v>
      </c>
      <c r="F240" s="303" t="s">
        <v>252</v>
      </c>
      <c r="G240" s="306">
        <v>37173</v>
      </c>
      <c r="H240" s="307" t="str">
        <f t="shared" si="9"/>
        <v>October</v>
      </c>
      <c r="I240" s="308">
        <f t="shared" ca="1" si="10"/>
        <v>15</v>
      </c>
      <c r="J240" s="308"/>
      <c r="K240" s="309">
        <v>38768</v>
      </c>
      <c r="L240" s="310">
        <v>4</v>
      </c>
      <c r="Q240" s="264" t="s">
        <v>2898</v>
      </c>
      <c r="R240" s="265">
        <v>40935</v>
      </c>
      <c r="S240" s="265">
        <v>41222</v>
      </c>
      <c r="T240" s="39">
        <f t="shared" si="11"/>
        <v>287</v>
      </c>
    </row>
    <row r="241" spans="1:20">
      <c r="A241" s="291" t="s">
        <v>952</v>
      </c>
      <c r="B241" s="292" t="s">
        <v>280</v>
      </c>
      <c r="C241" s="293" t="s">
        <v>705</v>
      </c>
      <c r="D241" s="294">
        <v>213741822</v>
      </c>
      <c r="E241" s="295">
        <v>2521780498</v>
      </c>
      <c r="F241" s="293" t="s">
        <v>247</v>
      </c>
      <c r="G241" s="296">
        <v>36831</v>
      </c>
      <c r="H241" s="297" t="str">
        <f t="shared" si="9"/>
        <v>November</v>
      </c>
      <c r="I241" s="298">
        <f t="shared" ca="1" si="10"/>
        <v>16</v>
      </c>
      <c r="J241" s="298"/>
      <c r="K241" s="299">
        <v>63330</v>
      </c>
      <c r="L241" s="300">
        <v>4</v>
      </c>
      <c r="Q241" s="264" t="s">
        <v>2897</v>
      </c>
      <c r="R241" s="265">
        <v>41636</v>
      </c>
      <c r="S241" s="265">
        <v>42532</v>
      </c>
      <c r="T241" s="39">
        <f t="shared" si="11"/>
        <v>896</v>
      </c>
    </row>
    <row r="242" spans="1:20">
      <c r="A242" s="301" t="s">
        <v>520</v>
      </c>
      <c r="B242" s="302" t="s">
        <v>285</v>
      </c>
      <c r="C242" s="303" t="s">
        <v>417</v>
      </c>
      <c r="D242" s="304">
        <v>927043360</v>
      </c>
      <c r="E242" s="305">
        <v>2526053287</v>
      </c>
      <c r="F242" s="303" t="s">
        <v>247</v>
      </c>
      <c r="G242" s="306">
        <v>34334</v>
      </c>
      <c r="H242" s="307" t="str">
        <f t="shared" si="9"/>
        <v>December</v>
      </c>
      <c r="I242" s="308">
        <f t="shared" ca="1" si="10"/>
        <v>22</v>
      </c>
      <c r="J242" s="308"/>
      <c r="K242" s="309">
        <v>22320</v>
      </c>
      <c r="L242" s="310">
        <v>2</v>
      </c>
      <c r="Q242" s="264" t="s">
        <v>2896</v>
      </c>
      <c r="R242" s="265">
        <v>41971</v>
      </c>
      <c r="S242" s="265">
        <v>42908</v>
      </c>
      <c r="T242" s="39">
        <f t="shared" si="11"/>
        <v>937</v>
      </c>
    </row>
    <row r="243" spans="1:20">
      <c r="A243" s="291" t="s">
        <v>953</v>
      </c>
      <c r="B243" s="292" t="s">
        <v>285</v>
      </c>
      <c r="C243" s="293" t="s">
        <v>705</v>
      </c>
      <c r="D243" s="294">
        <v>619465100</v>
      </c>
      <c r="E243" s="295">
        <v>9194629606</v>
      </c>
      <c r="F243" s="293" t="s">
        <v>256</v>
      </c>
      <c r="G243" s="296">
        <v>39826</v>
      </c>
      <c r="H243" s="297" t="str">
        <f t="shared" si="9"/>
        <v>January</v>
      </c>
      <c r="I243" s="298">
        <f t="shared" ca="1" si="10"/>
        <v>7</v>
      </c>
      <c r="J243" s="298" t="s">
        <v>262</v>
      </c>
      <c r="K243" s="299">
        <v>27560</v>
      </c>
      <c r="L243" s="300">
        <v>2</v>
      </c>
      <c r="Q243" s="264" t="s">
        <v>2895</v>
      </c>
      <c r="R243" s="265">
        <v>41759</v>
      </c>
      <c r="S243" s="265">
        <v>42189</v>
      </c>
      <c r="T243" s="39">
        <f t="shared" si="11"/>
        <v>430</v>
      </c>
    </row>
    <row r="244" spans="1:20">
      <c r="A244" s="301" t="s">
        <v>800</v>
      </c>
      <c r="B244" s="302" t="s">
        <v>251</v>
      </c>
      <c r="C244" s="303" t="s">
        <v>465</v>
      </c>
      <c r="D244" s="304">
        <v>682907379</v>
      </c>
      <c r="E244" s="305">
        <v>2521854525</v>
      </c>
      <c r="F244" s="303" t="s">
        <v>256</v>
      </c>
      <c r="G244" s="306">
        <v>36221</v>
      </c>
      <c r="H244" s="307" t="str">
        <f t="shared" si="9"/>
        <v>March</v>
      </c>
      <c r="I244" s="308">
        <f t="shared" ca="1" si="10"/>
        <v>17</v>
      </c>
      <c r="J244" s="308" t="s">
        <v>267</v>
      </c>
      <c r="K244" s="309">
        <v>39520</v>
      </c>
      <c r="L244" s="310">
        <v>5</v>
      </c>
      <c r="Q244" s="264" t="s">
        <v>2894</v>
      </c>
      <c r="R244" s="265">
        <v>41466</v>
      </c>
      <c r="S244" s="265">
        <v>42194</v>
      </c>
      <c r="T244" s="39">
        <f t="shared" si="11"/>
        <v>728</v>
      </c>
    </row>
    <row r="245" spans="1:20">
      <c r="A245" s="291" t="s">
        <v>954</v>
      </c>
      <c r="B245" s="292" t="s">
        <v>271</v>
      </c>
      <c r="C245" s="293" t="s">
        <v>465</v>
      </c>
      <c r="D245" s="294">
        <v>259573806</v>
      </c>
      <c r="E245" s="295">
        <v>9193302808</v>
      </c>
      <c r="F245" s="293" t="s">
        <v>256</v>
      </c>
      <c r="G245" s="296">
        <v>34558</v>
      </c>
      <c r="H245" s="297" t="str">
        <f t="shared" si="9"/>
        <v>August</v>
      </c>
      <c r="I245" s="298">
        <f t="shared" ca="1" si="10"/>
        <v>22</v>
      </c>
      <c r="J245" s="298" t="s">
        <v>276</v>
      </c>
      <c r="K245" s="299">
        <v>60380</v>
      </c>
      <c r="L245" s="300">
        <v>4</v>
      </c>
      <c r="Q245" s="264" t="s">
        <v>2893</v>
      </c>
      <c r="R245" s="265">
        <v>41524</v>
      </c>
      <c r="S245" s="265">
        <v>41922</v>
      </c>
      <c r="T245" s="39">
        <f t="shared" si="11"/>
        <v>398</v>
      </c>
    </row>
    <row r="246" spans="1:20">
      <c r="A246" s="301" t="s">
        <v>638</v>
      </c>
      <c r="B246" s="302" t="s">
        <v>280</v>
      </c>
      <c r="C246" s="303" t="s">
        <v>767</v>
      </c>
      <c r="D246" s="304">
        <v>369210573</v>
      </c>
      <c r="E246" s="305">
        <v>2526555049</v>
      </c>
      <c r="F246" s="303" t="s">
        <v>261</v>
      </c>
      <c r="G246" s="306">
        <v>37127</v>
      </c>
      <c r="H246" s="307" t="str">
        <f t="shared" si="9"/>
        <v>August</v>
      </c>
      <c r="I246" s="308">
        <f t="shared" ca="1" si="10"/>
        <v>15</v>
      </c>
      <c r="J246" s="308" t="s">
        <v>283</v>
      </c>
      <c r="K246" s="309">
        <v>22475</v>
      </c>
      <c r="L246" s="310">
        <v>4</v>
      </c>
      <c r="Q246" s="264" t="s">
        <v>2892</v>
      </c>
      <c r="R246" s="265">
        <v>41511</v>
      </c>
      <c r="S246" s="265">
        <v>42217</v>
      </c>
      <c r="T246" s="39">
        <f t="shared" si="11"/>
        <v>706</v>
      </c>
    </row>
    <row r="247" spans="1:20">
      <c r="A247" s="291" t="s">
        <v>459</v>
      </c>
      <c r="B247" s="292" t="s">
        <v>266</v>
      </c>
      <c r="C247" s="293" t="s">
        <v>465</v>
      </c>
      <c r="D247" s="294">
        <v>523758324</v>
      </c>
      <c r="E247" s="295">
        <v>9191308831</v>
      </c>
      <c r="F247" s="293" t="s">
        <v>256</v>
      </c>
      <c r="G247" s="296">
        <v>36271</v>
      </c>
      <c r="H247" s="297" t="str">
        <f t="shared" si="9"/>
        <v>April</v>
      </c>
      <c r="I247" s="298">
        <f t="shared" ca="1" si="10"/>
        <v>17</v>
      </c>
      <c r="J247" s="298" t="s">
        <v>257</v>
      </c>
      <c r="K247" s="299">
        <v>59320</v>
      </c>
      <c r="L247" s="300">
        <v>4</v>
      </c>
      <c r="Q247" s="264" t="s">
        <v>2891</v>
      </c>
      <c r="R247" s="265">
        <v>42141</v>
      </c>
      <c r="S247" s="265">
        <v>42272</v>
      </c>
      <c r="T247" s="39">
        <f t="shared" si="11"/>
        <v>131</v>
      </c>
    </row>
    <row r="248" spans="1:20">
      <c r="A248" s="301" t="s">
        <v>801</v>
      </c>
      <c r="B248" s="302" t="s">
        <v>271</v>
      </c>
      <c r="C248" s="303" t="s">
        <v>465</v>
      </c>
      <c r="D248" s="304">
        <v>332289257</v>
      </c>
      <c r="E248" s="305">
        <v>9198367725</v>
      </c>
      <c r="F248" s="303" t="s">
        <v>247</v>
      </c>
      <c r="G248" s="306">
        <v>36902</v>
      </c>
      <c r="H248" s="307" t="str">
        <f t="shared" si="9"/>
        <v>January</v>
      </c>
      <c r="I248" s="308">
        <f t="shared" ca="1" si="10"/>
        <v>15</v>
      </c>
      <c r="J248" s="308"/>
      <c r="K248" s="309">
        <v>68260</v>
      </c>
      <c r="L248" s="310">
        <v>5</v>
      </c>
      <c r="Q248" s="264" t="s">
        <v>2890</v>
      </c>
      <c r="R248" s="265">
        <v>41359</v>
      </c>
      <c r="S248" s="265">
        <v>41971</v>
      </c>
      <c r="T248" s="39">
        <f t="shared" si="11"/>
        <v>612</v>
      </c>
    </row>
    <row r="249" spans="1:20">
      <c r="A249" s="291" t="s">
        <v>881</v>
      </c>
      <c r="B249" s="292" t="s">
        <v>285</v>
      </c>
      <c r="C249" s="293" t="s">
        <v>465</v>
      </c>
      <c r="D249" s="294">
        <v>798466688</v>
      </c>
      <c r="E249" s="295">
        <v>9192232339</v>
      </c>
      <c r="F249" s="293" t="s">
        <v>256</v>
      </c>
      <c r="G249" s="296">
        <v>41113</v>
      </c>
      <c r="H249" s="297" t="str">
        <f t="shared" si="9"/>
        <v>July</v>
      </c>
      <c r="I249" s="298">
        <f t="shared" ca="1" si="10"/>
        <v>4</v>
      </c>
      <c r="J249" s="298" t="s">
        <v>257</v>
      </c>
      <c r="K249" s="299">
        <v>35600</v>
      </c>
      <c r="L249" s="300">
        <v>5</v>
      </c>
      <c r="Q249" s="264" t="s">
        <v>2889</v>
      </c>
      <c r="R249" s="265">
        <v>41741</v>
      </c>
      <c r="S249" s="265">
        <v>42141</v>
      </c>
      <c r="T249" s="39">
        <f t="shared" si="11"/>
        <v>400</v>
      </c>
    </row>
    <row r="250" spans="1:20">
      <c r="A250" s="301" t="s">
        <v>521</v>
      </c>
      <c r="B250" s="302" t="s">
        <v>245</v>
      </c>
      <c r="C250" s="303" t="s">
        <v>705</v>
      </c>
      <c r="D250" s="304">
        <v>623823805</v>
      </c>
      <c r="E250" s="305">
        <v>9192602559</v>
      </c>
      <c r="F250" s="303" t="s">
        <v>252</v>
      </c>
      <c r="G250" s="306">
        <v>41313</v>
      </c>
      <c r="H250" s="307" t="str">
        <f t="shared" si="9"/>
        <v>February</v>
      </c>
      <c r="I250" s="308">
        <f t="shared" ca="1" si="10"/>
        <v>3</v>
      </c>
      <c r="J250" s="308"/>
      <c r="K250" s="309">
        <v>15056</v>
      </c>
      <c r="L250" s="310">
        <v>5</v>
      </c>
      <c r="Q250" s="264" t="s">
        <v>2888</v>
      </c>
      <c r="R250" s="265">
        <v>41226</v>
      </c>
      <c r="S250" s="265">
        <v>41865</v>
      </c>
      <c r="T250" s="39">
        <f t="shared" si="11"/>
        <v>639</v>
      </c>
    </row>
    <row r="251" spans="1:20">
      <c r="A251" s="291" t="s">
        <v>522</v>
      </c>
      <c r="B251" s="292" t="s">
        <v>245</v>
      </c>
      <c r="C251" s="293" t="s">
        <v>705</v>
      </c>
      <c r="D251" s="294">
        <v>724193735</v>
      </c>
      <c r="E251" s="295">
        <v>2528627048</v>
      </c>
      <c r="F251" s="293" t="s">
        <v>256</v>
      </c>
      <c r="G251" s="296">
        <v>34530</v>
      </c>
      <c r="H251" s="297" t="str">
        <f t="shared" si="9"/>
        <v>July</v>
      </c>
      <c r="I251" s="298">
        <f t="shared" ca="1" si="10"/>
        <v>22</v>
      </c>
      <c r="J251" s="298" t="s">
        <v>283</v>
      </c>
      <c r="K251" s="299">
        <v>43190</v>
      </c>
      <c r="L251" s="300">
        <v>2</v>
      </c>
      <c r="Q251" s="264" t="s">
        <v>2887</v>
      </c>
      <c r="R251" s="265">
        <v>41902</v>
      </c>
      <c r="S251" s="265">
        <v>42457</v>
      </c>
      <c r="T251" s="39">
        <f t="shared" si="11"/>
        <v>555</v>
      </c>
    </row>
    <row r="252" spans="1:20">
      <c r="A252" s="301" t="s">
        <v>383</v>
      </c>
      <c r="B252" s="302" t="s">
        <v>280</v>
      </c>
      <c r="C252" s="303" t="s">
        <v>930</v>
      </c>
      <c r="D252" s="304">
        <v>749768847</v>
      </c>
      <c r="E252" s="305">
        <v>2528552110</v>
      </c>
      <c r="F252" s="303" t="s">
        <v>247</v>
      </c>
      <c r="G252" s="306">
        <v>36190</v>
      </c>
      <c r="H252" s="307" t="str">
        <f t="shared" si="9"/>
        <v>January</v>
      </c>
      <c r="I252" s="308">
        <f t="shared" ca="1" si="10"/>
        <v>17</v>
      </c>
      <c r="J252" s="308"/>
      <c r="K252" s="309">
        <v>41770</v>
      </c>
      <c r="L252" s="310">
        <v>5</v>
      </c>
      <c r="Q252" s="264" t="s">
        <v>2886</v>
      </c>
      <c r="R252" s="265">
        <v>42126</v>
      </c>
      <c r="S252" s="265">
        <v>42552</v>
      </c>
      <c r="T252" s="39">
        <f t="shared" si="11"/>
        <v>426</v>
      </c>
    </row>
    <row r="253" spans="1:20">
      <c r="A253" s="291" t="s">
        <v>639</v>
      </c>
      <c r="B253" s="292" t="s">
        <v>251</v>
      </c>
      <c r="C253" s="293" t="s">
        <v>930</v>
      </c>
      <c r="D253" s="294">
        <v>688769770</v>
      </c>
      <c r="E253" s="295">
        <v>9192416398</v>
      </c>
      <c r="F253" s="293" t="s">
        <v>256</v>
      </c>
      <c r="G253" s="296">
        <v>39536</v>
      </c>
      <c r="H253" s="297" t="str">
        <f t="shared" si="9"/>
        <v>March</v>
      </c>
      <c r="I253" s="298">
        <f t="shared" ca="1" si="10"/>
        <v>8</v>
      </c>
      <c r="J253" s="298" t="s">
        <v>257</v>
      </c>
      <c r="K253" s="299">
        <v>44530</v>
      </c>
      <c r="L253" s="300">
        <v>2</v>
      </c>
      <c r="Q253" s="264" t="s">
        <v>2885</v>
      </c>
      <c r="R253" s="265">
        <v>41300</v>
      </c>
      <c r="S253" s="265">
        <v>42009</v>
      </c>
      <c r="T253" s="39">
        <f t="shared" si="11"/>
        <v>709</v>
      </c>
    </row>
    <row r="254" spans="1:20">
      <c r="A254" s="301" t="s">
        <v>955</v>
      </c>
      <c r="B254" s="302" t="s">
        <v>285</v>
      </c>
      <c r="C254" s="303" t="s">
        <v>856</v>
      </c>
      <c r="D254" s="304">
        <v>489667166</v>
      </c>
      <c r="E254" s="305">
        <v>2522238881</v>
      </c>
      <c r="F254" s="303" t="s">
        <v>256</v>
      </c>
      <c r="G254" s="306">
        <v>37317</v>
      </c>
      <c r="H254" s="307" t="str">
        <f t="shared" si="9"/>
        <v>March</v>
      </c>
      <c r="I254" s="308">
        <f t="shared" ca="1" si="10"/>
        <v>14</v>
      </c>
      <c r="J254" s="308" t="s">
        <v>262</v>
      </c>
      <c r="K254" s="309">
        <v>45880</v>
      </c>
      <c r="L254" s="310">
        <v>5</v>
      </c>
      <c r="Q254" s="264" t="s">
        <v>2884</v>
      </c>
      <c r="R254" s="265">
        <v>41236</v>
      </c>
      <c r="S254" s="265">
        <v>41968</v>
      </c>
      <c r="T254" s="39">
        <f t="shared" si="11"/>
        <v>732</v>
      </c>
    </row>
    <row r="255" spans="1:20">
      <c r="A255" s="291" t="s">
        <v>325</v>
      </c>
      <c r="B255" s="292" t="s">
        <v>285</v>
      </c>
      <c r="C255" s="293" t="s">
        <v>856</v>
      </c>
      <c r="D255" s="294">
        <v>135633006</v>
      </c>
      <c r="E255" s="295">
        <v>2526732103</v>
      </c>
      <c r="F255" s="293" t="s">
        <v>247</v>
      </c>
      <c r="G255" s="296">
        <v>37389</v>
      </c>
      <c r="H255" s="297" t="str">
        <f t="shared" si="9"/>
        <v>May</v>
      </c>
      <c r="I255" s="298">
        <f t="shared" ca="1" si="10"/>
        <v>14</v>
      </c>
      <c r="J255" s="298"/>
      <c r="K255" s="299">
        <v>54840</v>
      </c>
      <c r="L255" s="300">
        <v>4</v>
      </c>
      <c r="Q255" s="264" t="s">
        <v>2883</v>
      </c>
      <c r="R255" s="265">
        <v>40974</v>
      </c>
      <c r="S255" s="265">
        <v>41591</v>
      </c>
      <c r="T255" s="39">
        <f t="shared" si="11"/>
        <v>617</v>
      </c>
    </row>
    <row r="256" spans="1:20">
      <c r="A256" s="301" t="s">
        <v>956</v>
      </c>
      <c r="B256" s="302" t="s">
        <v>251</v>
      </c>
      <c r="C256" s="303" t="s">
        <v>705</v>
      </c>
      <c r="D256" s="304">
        <v>551132018</v>
      </c>
      <c r="E256" s="305">
        <v>2525796953</v>
      </c>
      <c r="F256" s="303" t="s">
        <v>256</v>
      </c>
      <c r="G256" s="306">
        <v>41280</v>
      </c>
      <c r="H256" s="307" t="str">
        <f t="shared" si="9"/>
        <v>January</v>
      </c>
      <c r="I256" s="308">
        <f t="shared" ca="1" si="10"/>
        <v>3</v>
      </c>
      <c r="J256" s="308" t="s">
        <v>257</v>
      </c>
      <c r="K256" s="309">
        <v>66840</v>
      </c>
      <c r="L256" s="310">
        <v>4</v>
      </c>
      <c r="Q256" s="264" t="s">
        <v>2882</v>
      </c>
      <c r="R256" s="265">
        <v>40965</v>
      </c>
      <c r="S256" s="265">
        <v>41892</v>
      </c>
      <c r="T256" s="39">
        <f t="shared" si="11"/>
        <v>927</v>
      </c>
    </row>
    <row r="257" spans="1:20">
      <c r="A257" s="291" t="s">
        <v>802</v>
      </c>
      <c r="B257" s="292" t="s">
        <v>285</v>
      </c>
      <c r="C257" s="293" t="s">
        <v>767</v>
      </c>
      <c r="D257" s="294">
        <v>592519945</v>
      </c>
      <c r="E257" s="295">
        <v>9195990200</v>
      </c>
      <c r="F257" s="293" t="s">
        <v>256</v>
      </c>
      <c r="G257" s="296">
        <v>40356</v>
      </c>
      <c r="H257" s="297" t="str">
        <f t="shared" si="9"/>
        <v>June</v>
      </c>
      <c r="I257" s="298">
        <f t="shared" ca="1" si="10"/>
        <v>6</v>
      </c>
      <c r="J257" s="298" t="s">
        <v>257</v>
      </c>
      <c r="K257" s="299">
        <v>44650</v>
      </c>
      <c r="L257" s="300">
        <v>1</v>
      </c>
      <c r="Q257" s="264" t="s">
        <v>2881</v>
      </c>
      <c r="R257" s="265">
        <v>42216</v>
      </c>
      <c r="S257" s="265">
        <v>42469</v>
      </c>
      <c r="T257" s="39">
        <f t="shared" si="11"/>
        <v>253</v>
      </c>
    </row>
    <row r="258" spans="1:20">
      <c r="A258" s="301" t="s">
        <v>957</v>
      </c>
      <c r="B258" s="302" t="s">
        <v>251</v>
      </c>
      <c r="C258" s="303" t="s">
        <v>678</v>
      </c>
      <c r="D258" s="304">
        <v>859204644</v>
      </c>
      <c r="E258" s="305">
        <v>9191617913</v>
      </c>
      <c r="F258" s="303" t="s">
        <v>247</v>
      </c>
      <c r="G258" s="306">
        <v>36634</v>
      </c>
      <c r="H258" s="307" t="str">
        <f t="shared" si="9"/>
        <v>April</v>
      </c>
      <c r="I258" s="308">
        <f t="shared" ca="1" si="10"/>
        <v>16</v>
      </c>
      <c r="J258" s="308"/>
      <c r="K258" s="309">
        <v>86470</v>
      </c>
      <c r="L258" s="310">
        <v>4</v>
      </c>
      <c r="Q258" s="264" t="s">
        <v>2880</v>
      </c>
      <c r="R258" s="265">
        <v>41527</v>
      </c>
      <c r="S258" s="265">
        <v>42069</v>
      </c>
      <c r="T258" s="39">
        <f t="shared" si="11"/>
        <v>542</v>
      </c>
    </row>
    <row r="259" spans="1:20">
      <c r="A259" s="291" t="s">
        <v>803</v>
      </c>
      <c r="B259" s="292" t="s">
        <v>245</v>
      </c>
      <c r="C259" s="293" t="s">
        <v>465</v>
      </c>
      <c r="D259" s="294">
        <v>772163640</v>
      </c>
      <c r="E259" s="295">
        <v>9192474315</v>
      </c>
      <c r="F259" s="293" t="s">
        <v>256</v>
      </c>
      <c r="G259" s="296">
        <v>37354</v>
      </c>
      <c r="H259" s="297" t="str">
        <f t="shared" si="9"/>
        <v>April</v>
      </c>
      <c r="I259" s="298">
        <f t="shared" ca="1" si="10"/>
        <v>14</v>
      </c>
      <c r="J259" s="298" t="s">
        <v>257</v>
      </c>
      <c r="K259" s="299">
        <v>67280</v>
      </c>
      <c r="L259" s="300">
        <v>3</v>
      </c>
      <c r="Q259" s="264" t="s">
        <v>2879</v>
      </c>
      <c r="R259" s="265">
        <v>41320</v>
      </c>
      <c r="S259" s="265">
        <v>42181</v>
      </c>
      <c r="T259" s="39">
        <f t="shared" si="11"/>
        <v>861</v>
      </c>
    </row>
    <row r="260" spans="1:20">
      <c r="A260" s="301" t="s">
        <v>958</v>
      </c>
      <c r="B260" s="302" t="s">
        <v>266</v>
      </c>
      <c r="C260" s="303" t="s">
        <v>705</v>
      </c>
      <c r="D260" s="304">
        <v>297806507</v>
      </c>
      <c r="E260" s="305">
        <v>9197312659</v>
      </c>
      <c r="F260" s="303" t="s">
        <v>256</v>
      </c>
      <c r="G260" s="306">
        <v>35650</v>
      </c>
      <c r="H260" s="307" t="str">
        <f t="shared" si="9"/>
        <v>August</v>
      </c>
      <c r="I260" s="308">
        <f t="shared" ca="1" si="10"/>
        <v>19</v>
      </c>
      <c r="J260" s="308" t="s">
        <v>267</v>
      </c>
      <c r="K260" s="309">
        <v>77840</v>
      </c>
      <c r="L260" s="310">
        <v>2</v>
      </c>
      <c r="Q260" s="264" t="s">
        <v>2878</v>
      </c>
      <c r="R260" s="265">
        <v>41803</v>
      </c>
      <c r="S260" s="265">
        <v>42300</v>
      </c>
      <c r="T260" s="39">
        <f t="shared" si="11"/>
        <v>497</v>
      </c>
    </row>
    <row r="261" spans="1:20">
      <c r="A261" s="291" t="s">
        <v>959</v>
      </c>
      <c r="B261" s="292" t="s">
        <v>285</v>
      </c>
      <c r="C261" s="293" t="s">
        <v>767</v>
      </c>
      <c r="D261" s="294">
        <v>475671127</v>
      </c>
      <c r="E261" s="295">
        <v>9196650531</v>
      </c>
      <c r="F261" s="293" t="s">
        <v>256</v>
      </c>
      <c r="G261" s="296">
        <v>36868</v>
      </c>
      <c r="H261" s="297" t="str">
        <f t="shared" si="9"/>
        <v>December</v>
      </c>
      <c r="I261" s="298">
        <f t="shared" ca="1" si="10"/>
        <v>15</v>
      </c>
      <c r="J261" s="298" t="s">
        <v>283</v>
      </c>
      <c r="K261" s="299">
        <v>61420</v>
      </c>
      <c r="L261" s="300">
        <v>4</v>
      </c>
      <c r="Q261" s="264" t="s">
        <v>2877</v>
      </c>
      <c r="R261" s="265">
        <v>42177</v>
      </c>
      <c r="S261" s="265">
        <v>42637</v>
      </c>
      <c r="T261" s="39">
        <f t="shared" si="11"/>
        <v>460</v>
      </c>
    </row>
    <row r="262" spans="1:20">
      <c r="A262" s="301" t="s">
        <v>1033</v>
      </c>
      <c r="B262" s="302" t="s">
        <v>266</v>
      </c>
      <c r="C262" s="303" t="s">
        <v>930</v>
      </c>
      <c r="D262" s="304">
        <v>758001890</v>
      </c>
      <c r="E262" s="305">
        <v>2521202348</v>
      </c>
      <c r="F262" s="303" t="s">
        <v>261</v>
      </c>
      <c r="G262" s="306">
        <v>36207</v>
      </c>
      <c r="H262" s="307" t="str">
        <f t="shared" ref="H262:H325" si="12">CHOOSE(MONTH(G262),"January","February","March","April","May","June","July","August","September","October","November","December")</f>
        <v>February</v>
      </c>
      <c r="I262" s="308">
        <f t="shared" ref="I262:I325" ca="1" si="13">DATEDIF(G262,TODAY(),"Y")</f>
        <v>17</v>
      </c>
      <c r="J262" s="308" t="s">
        <v>283</v>
      </c>
      <c r="K262" s="309">
        <v>38105</v>
      </c>
      <c r="L262" s="310">
        <v>2</v>
      </c>
      <c r="Q262" s="264" t="s">
        <v>2876</v>
      </c>
      <c r="R262" s="265">
        <v>41189</v>
      </c>
      <c r="S262" s="265">
        <v>41938</v>
      </c>
      <c r="T262" s="39">
        <f t="shared" ref="T262:T325" si="14">DATEDIF(R262,S262,"d")</f>
        <v>749</v>
      </c>
    </row>
    <row r="263" spans="1:20">
      <c r="A263" s="291" t="s">
        <v>523</v>
      </c>
      <c r="B263" s="292" t="s">
        <v>271</v>
      </c>
      <c r="C263" s="293" t="s">
        <v>1025</v>
      </c>
      <c r="D263" s="294">
        <v>106099892</v>
      </c>
      <c r="E263" s="295">
        <v>9194436681</v>
      </c>
      <c r="F263" s="293" t="s">
        <v>247</v>
      </c>
      <c r="G263" s="296">
        <v>41629</v>
      </c>
      <c r="H263" s="297" t="str">
        <f t="shared" si="12"/>
        <v>December</v>
      </c>
      <c r="I263" s="298">
        <f t="shared" ca="1" si="13"/>
        <v>2</v>
      </c>
      <c r="J263" s="298"/>
      <c r="K263" s="299">
        <v>66132</v>
      </c>
      <c r="L263" s="300">
        <v>4</v>
      </c>
      <c r="Q263" s="264" t="s">
        <v>2875</v>
      </c>
      <c r="R263" s="265">
        <v>42088</v>
      </c>
      <c r="S263" s="265">
        <v>42558</v>
      </c>
      <c r="T263" s="39">
        <f t="shared" si="14"/>
        <v>470</v>
      </c>
    </row>
    <row r="264" spans="1:20">
      <c r="A264" s="301" t="s">
        <v>719</v>
      </c>
      <c r="B264" s="302" t="s">
        <v>266</v>
      </c>
      <c r="C264" s="303" t="s">
        <v>391</v>
      </c>
      <c r="D264" s="304">
        <v>434927073</v>
      </c>
      <c r="E264" s="305">
        <v>2528440900</v>
      </c>
      <c r="F264" s="303" t="s">
        <v>256</v>
      </c>
      <c r="G264" s="306">
        <v>38522</v>
      </c>
      <c r="H264" s="307" t="str">
        <f t="shared" si="12"/>
        <v>June</v>
      </c>
      <c r="I264" s="308">
        <f t="shared" ca="1" si="13"/>
        <v>11</v>
      </c>
      <c r="J264" s="308" t="s">
        <v>267</v>
      </c>
      <c r="K264" s="309">
        <v>39740</v>
      </c>
      <c r="L264" s="310">
        <v>1</v>
      </c>
      <c r="Q264" s="264" t="s">
        <v>2874</v>
      </c>
      <c r="R264" s="265">
        <v>41864</v>
      </c>
      <c r="S264" s="265">
        <v>42363</v>
      </c>
      <c r="T264" s="39">
        <f t="shared" si="14"/>
        <v>499</v>
      </c>
    </row>
    <row r="265" spans="1:20">
      <c r="A265" s="291" t="s">
        <v>413</v>
      </c>
      <c r="B265" s="292" t="s">
        <v>271</v>
      </c>
      <c r="C265" s="293" t="s">
        <v>856</v>
      </c>
      <c r="D265" s="294">
        <v>404589373</v>
      </c>
      <c r="E265" s="295">
        <v>9198407416</v>
      </c>
      <c r="F265" s="293" t="s">
        <v>256</v>
      </c>
      <c r="G265" s="296">
        <v>34938</v>
      </c>
      <c r="H265" s="297" t="str">
        <f t="shared" si="12"/>
        <v>August</v>
      </c>
      <c r="I265" s="298">
        <f t="shared" ca="1" si="13"/>
        <v>21</v>
      </c>
      <c r="J265" s="298" t="s">
        <v>283</v>
      </c>
      <c r="K265" s="299">
        <v>66824</v>
      </c>
      <c r="L265" s="300">
        <v>2</v>
      </c>
      <c r="Q265" s="264" t="s">
        <v>2873</v>
      </c>
      <c r="R265" s="265">
        <v>41982</v>
      </c>
      <c r="S265" s="265">
        <v>42198</v>
      </c>
      <c r="T265" s="39">
        <f t="shared" si="14"/>
        <v>216</v>
      </c>
    </row>
    <row r="266" spans="1:20">
      <c r="A266" s="301" t="s">
        <v>640</v>
      </c>
      <c r="B266" s="302" t="s">
        <v>245</v>
      </c>
      <c r="C266" s="303" t="s">
        <v>465</v>
      </c>
      <c r="D266" s="304">
        <v>467030396</v>
      </c>
      <c r="E266" s="305">
        <v>2526213620</v>
      </c>
      <c r="F266" s="303" t="s">
        <v>256</v>
      </c>
      <c r="G266" s="306">
        <v>34630</v>
      </c>
      <c r="H266" s="307" t="str">
        <f t="shared" si="12"/>
        <v>October</v>
      </c>
      <c r="I266" s="308">
        <f t="shared" ca="1" si="13"/>
        <v>22</v>
      </c>
      <c r="J266" s="308" t="s">
        <v>283</v>
      </c>
      <c r="K266" s="309">
        <v>58910</v>
      </c>
      <c r="L266" s="310">
        <v>1</v>
      </c>
      <c r="Q266" s="264" t="s">
        <v>2872</v>
      </c>
      <c r="R266" s="265">
        <v>42180</v>
      </c>
      <c r="S266" s="265">
        <v>42767</v>
      </c>
      <c r="T266" s="39">
        <f t="shared" si="14"/>
        <v>587</v>
      </c>
    </row>
    <row r="267" spans="1:20">
      <c r="A267" s="291" t="s">
        <v>326</v>
      </c>
      <c r="B267" s="292" t="s">
        <v>245</v>
      </c>
      <c r="C267" s="293" t="s">
        <v>700</v>
      </c>
      <c r="D267" s="294">
        <v>252582122</v>
      </c>
      <c r="E267" s="295">
        <v>9197764351</v>
      </c>
      <c r="F267" s="293" t="s">
        <v>247</v>
      </c>
      <c r="G267" s="296">
        <v>36361</v>
      </c>
      <c r="H267" s="297" t="str">
        <f t="shared" si="12"/>
        <v>July</v>
      </c>
      <c r="I267" s="298">
        <f t="shared" ca="1" si="13"/>
        <v>17</v>
      </c>
      <c r="J267" s="298"/>
      <c r="K267" s="299">
        <v>25120</v>
      </c>
      <c r="L267" s="300">
        <v>2</v>
      </c>
      <c r="Q267" s="264" t="s">
        <v>2871</v>
      </c>
      <c r="R267" s="265">
        <v>41551</v>
      </c>
      <c r="S267" s="265">
        <v>42109</v>
      </c>
      <c r="T267" s="39">
        <f t="shared" si="14"/>
        <v>558</v>
      </c>
    </row>
    <row r="268" spans="1:20">
      <c r="A268" s="301" t="s">
        <v>960</v>
      </c>
      <c r="B268" s="302" t="s">
        <v>285</v>
      </c>
      <c r="C268" s="303" t="s">
        <v>930</v>
      </c>
      <c r="D268" s="304">
        <v>904497673</v>
      </c>
      <c r="E268" s="305">
        <v>2521277028</v>
      </c>
      <c r="F268" s="303" t="s">
        <v>247</v>
      </c>
      <c r="G268" s="306">
        <v>34054</v>
      </c>
      <c r="H268" s="307" t="str">
        <f t="shared" si="12"/>
        <v>March</v>
      </c>
      <c r="I268" s="308">
        <f t="shared" ca="1" si="13"/>
        <v>23</v>
      </c>
      <c r="J268" s="308"/>
      <c r="K268" s="309">
        <v>23340</v>
      </c>
      <c r="L268" s="310">
        <v>4</v>
      </c>
      <c r="Q268" s="264" t="s">
        <v>2870</v>
      </c>
      <c r="R268" s="265">
        <v>41880</v>
      </c>
      <c r="S268" s="265">
        <v>42594</v>
      </c>
      <c r="T268" s="39">
        <f t="shared" si="14"/>
        <v>714</v>
      </c>
    </row>
    <row r="269" spans="1:20">
      <c r="A269" s="291" t="s">
        <v>428</v>
      </c>
      <c r="B269" s="292" t="s">
        <v>251</v>
      </c>
      <c r="C269" s="293" t="s">
        <v>391</v>
      </c>
      <c r="D269" s="294">
        <v>843875501</v>
      </c>
      <c r="E269" s="295">
        <v>2522715355</v>
      </c>
      <c r="F269" s="293" t="s">
        <v>247</v>
      </c>
      <c r="G269" s="296">
        <v>37086</v>
      </c>
      <c r="H269" s="297" t="str">
        <f t="shared" si="12"/>
        <v>July</v>
      </c>
      <c r="I269" s="298">
        <f t="shared" ca="1" si="13"/>
        <v>15</v>
      </c>
      <c r="J269" s="298"/>
      <c r="K269" s="299">
        <v>32940</v>
      </c>
      <c r="L269" s="300">
        <v>5</v>
      </c>
      <c r="Q269" s="264" t="s">
        <v>2869</v>
      </c>
      <c r="R269" s="265">
        <v>41617</v>
      </c>
      <c r="S269" s="265">
        <v>41790</v>
      </c>
      <c r="T269" s="39">
        <f t="shared" si="14"/>
        <v>173</v>
      </c>
    </row>
    <row r="270" spans="1:20">
      <c r="A270" s="301" t="s">
        <v>720</v>
      </c>
      <c r="B270" s="302" t="s">
        <v>266</v>
      </c>
      <c r="C270" s="303" t="s">
        <v>767</v>
      </c>
      <c r="D270" s="304">
        <v>546159785</v>
      </c>
      <c r="E270" s="305">
        <v>2522924678</v>
      </c>
      <c r="F270" s="303" t="s">
        <v>256</v>
      </c>
      <c r="G270" s="306">
        <v>39333</v>
      </c>
      <c r="H270" s="307" t="str">
        <f t="shared" si="12"/>
        <v>September</v>
      </c>
      <c r="I270" s="308">
        <f t="shared" ca="1" si="13"/>
        <v>9</v>
      </c>
      <c r="J270" s="308" t="s">
        <v>276</v>
      </c>
      <c r="K270" s="309">
        <v>61330</v>
      </c>
      <c r="L270" s="310">
        <v>2</v>
      </c>
      <c r="Q270" s="264" t="s">
        <v>2868</v>
      </c>
      <c r="R270" s="265">
        <v>41139</v>
      </c>
      <c r="S270" s="265">
        <v>41804</v>
      </c>
      <c r="T270" s="39">
        <f t="shared" si="14"/>
        <v>665</v>
      </c>
    </row>
    <row r="271" spans="1:20">
      <c r="A271" s="291" t="s">
        <v>721</v>
      </c>
      <c r="B271" s="292" t="s">
        <v>280</v>
      </c>
      <c r="C271" s="293" t="s">
        <v>312</v>
      </c>
      <c r="D271" s="294">
        <v>683222853</v>
      </c>
      <c r="E271" s="295">
        <v>9196224056</v>
      </c>
      <c r="F271" s="293" t="s">
        <v>247</v>
      </c>
      <c r="G271" s="296">
        <v>40832</v>
      </c>
      <c r="H271" s="297" t="str">
        <f t="shared" si="12"/>
        <v>October</v>
      </c>
      <c r="I271" s="298">
        <f t="shared" ca="1" si="13"/>
        <v>5</v>
      </c>
      <c r="J271" s="298"/>
      <c r="K271" s="299">
        <v>25790</v>
      </c>
      <c r="L271" s="300">
        <v>3</v>
      </c>
      <c r="Q271" s="264" t="s">
        <v>2867</v>
      </c>
      <c r="R271" s="265">
        <v>41680</v>
      </c>
      <c r="S271" s="265">
        <v>42624</v>
      </c>
      <c r="T271" s="39">
        <f t="shared" si="14"/>
        <v>944</v>
      </c>
    </row>
    <row r="272" spans="1:20">
      <c r="A272" s="301" t="s">
        <v>804</v>
      </c>
      <c r="B272" s="302" t="s">
        <v>285</v>
      </c>
      <c r="C272" s="303" t="s">
        <v>856</v>
      </c>
      <c r="D272" s="304">
        <v>337411408</v>
      </c>
      <c r="E272" s="305">
        <v>9194729409</v>
      </c>
      <c r="F272" s="303" t="s">
        <v>256</v>
      </c>
      <c r="G272" s="306">
        <v>37436</v>
      </c>
      <c r="H272" s="307" t="str">
        <f t="shared" si="12"/>
        <v>June</v>
      </c>
      <c r="I272" s="308">
        <f t="shared" ca="1" si="13"/>
        <v>14</v>
      </c>
      <c r="J272" s="308" t="s">
        <v>257</v>
      </c>
      <c r="K272" s="309">
        <v>29260</v>
      </c>
      <c r="L272" s="310">
        <v>4</v>
      </c>
      <c r="Q272" s="264" t="s">
        <v>2866</v>
      </c>
      <c r="R272" s="265">
        <v>41228</v>
      </c>
      <c r="S272" s="265">
        <v>42201</v>
      </c>
      <c r="T272" s="39">
        <f t="shared" si="14"/>
        <v>973</v>
      </c>
    </row>
    <row r="273" spans="1:20">
      <c r="A273" s="291" t="s">
        <v>882</v>
      </c>
      <c r="B273" s="292" t="s">
        <v>271</v>
      </c>
      <c r="C273" s="293" t="s">
        <v>767</v>
      </c>
      <c r="D273" s="294">
        <v>330879921</v>
      </c>
      <c r="E273" s="295">
        <v>9195691314</v>
      </c>
      <c r="F273" s="293" t="s">
        <v>256</v>
      </c>
      <c r="G273" s="296">
        <v>36998</v>
      </c>
      <c r="H273" s="297" t="str">
        <f t="shared" si="12"/>
        <v>April</v>
      </c>
      <c r="I273" s="298">
        <f t="shared" ca="1" si="13"/>
        <v>15</v>
      </c>
      <c r="J273" s="298" t="s">
        <v>267</v>
      </c>
      <c r="K273" s="299">
        <v>54580</v>
      </c>
      <c r="L273" s="300">
        <v>4</v>
      </c>
      <c r="Q273" s="264" t="s">
        <v>2865</v>
      </c>
      <c r="R273" s="265">
        <v>41692</v>
      </c>
      <c r="S273" s="265">
        <v>42661</v>
      </c>
      <c r="T273" s="39">
        <f t="shared" si="14"/>
        <v>969</v>
      </c>
    </row>
    <row r="274" spans="1:20">
      <c r="A274" s="301" t="s">
        <v>429</v>
      </c>
      <c r="B274" s="302" t="s">
        <v>285</v>
      </c>
      <c r="C274" s="303" t="s">
        <v>465</v>
      </c>
      <c r="D274" s="304">
        <v>377194926</v>
      </c>
      <c r="E274" s="305">
        <v>9197362525</v>
      </c>
      <c r="F274" s="303" t="s">
        <v>256</v>
      </c>
      <c r="G274" s="306">
        <v>41513</v>
      </c>
      <c r="H274" s="307" t="str">
        <f t="shared" si="12"/>
        <v>August</v>
      </c>
      <c r="I274" s="308">
        <f t="shared" ca="1" si="13"/>
        <v>3</v>
      </c>
      <c r="J274" s="308" t="s">
        <v>267</v>
      </c>
      <c r="K274" s="309">
        <v>44260</v>
      </c>
      <c r="L274" s="310">
        <v>1</v>
      </c>
      <c r="Q274" s="264" t="s">
        <v>2864</v>
      </c>
      <c r="R274" s="265">
        <v>41776</v>
      </c>
      <c r="S274" s="265">
        <v>42100</v>
      </c>
      <c r="T274" s="39">
        <f t="shared" si="14"/>
        <v>324</v>
      </c>
    </row>
    <row r="275" spans="1:20">
      <c r="A275" s="291" t="s">
        <v>961</v>
      </c>
      <c r="B275" s="292" t="s">
        <v>285</v>
      </c>
      <c r="C275" s="293" t="s">
        <v>930</v>
      </c>
      <c r="D275" s="294">
        <v>794814501</v>
      </c>
      <c r="E275" s="295">
        <v>2525604891</v>
      </c>
      <c r="F275" s="293" t="s">
        <v>247</v>
      </c>
      <c r="G275" s="296">
        <v>41145</v>
      </c>
      <c r="H275" s="297" t="str">
        <f t="shared" si="12"/>
        <v>August</v>
      </c>
      <c r="I275" s="298">
        <f t="shared" ca="1" si="13"/>
        <v>4</v>
      </c>
      <c r="J275" s="298"/>
      <c r="K275" s="299">
        <v>80729</v>
      </c>
      <c r="L275" s="300">
        <v>3</v>
      </c>
      <c r="Q275" s="264" t="s">
        <v>2863</v>
      </c>
      <c r="R275" s="265">
        <v>42084</v>
      </c>
      <c r="S275" s="265">
        <v>42974</v>
      </c>
      <c r="T275" s="39">
        <f t="shared" si="14"/>
        <v>890</v>
      </c>
    </row>
    <row r="276" spans="1:20">
      <c r="A276" s="301" t="s">
        <v>641</v>
      </c>
      <c r="B276" s="302" t="s">
        <v>285</v>
      </c>
      <c r="C276" s="303" t="s">
        <v>856</v>
      </c>
      <c r="D276" s="304">
        <v>826508763</v>
      </c>
      <c r="E276" s="305">
        <v>2526801348</v>
      </c>
      <c r="F276" s="303" t="s">
        <v>256</v>
      </c>
      <c r="G276" s="306">
        <v>40655</v>
      </c>
      <c r="H276" s="307" t="str">
        <f t="shared" si="12"/>
        <v>April</v>
      </c>
      <c r="I276" s="308">
        <f t="shared" ca="1" si="13"/>
        <v>5</v>
      </c>
      <c r="J276" s="308" t="s">
        <v>283</v>
      </c>
      <c r="K276" s="309">
        <v>29330</v>
      </c>
      <c r="L276" s="310">
        <v>5</v>
      </c>
      <c r="Q276" s="264" t="s">
        <v>2862</v>
      </c>
      <c r="R276" s="265">
        <v>41250</v>
      </c>
      <c r="S276" s="265">
        <v>41374</v>
      </c>
      <c r="T276" s="39">
        <f t="shared" si="14"/>
        <v>124</v>
      </c>
    </row>
    <row r="277" spans="1:20">
      <c r="A277" s="291" t="s">
        <v>327</v>
      </c>
      <c r="B277" s="292" t="s">
        <v>285</v>
      </c>
      <c r="C277" s="293" t="s">
        <v>767</v>
      </c>
      <c r="D277" s="294">
        <v>528258211</v>
      </c>
      <c r="E277" s="295">
        <v>9194727385</v>
      </c>
      <c r="F277" s="293" t="s">
        <v>256</v>
      </c>
      <c r="G277" s="296">
        <v>34038</v>
      </c>
      <c r="H277" s="297" t="str">
        <f t="shared" si="12"/>
        <v>March</v>
      </c>
      <c r="I277" s="298">
        <f t="shared" ca="1" si="13"/>
        <v>23</v>
      </c>
      <c r="J277" s="298" t="s">
        <v>267</v>
      </c>
      <c r="K277" s="299">
        <v>46110</v>
      </c>
      <c r="L277" s="300">
        <v>4</v>
      </c>
      <c r="Q277" s="264" t="s">
        <v>2861</v>
      </c>
      <c r="R277" s="265">
        <v>41086</v>
      </c>
      <c r="S277" s="265">
        <v>41920</v>
      </c>
      <c r="T277" s="39">
        <f t="shared" si="14"/>
        <v>834</v>
      </c>
    </row>
    <row r="278" spans="1:20">
      <c r="A278" s="301" t="s">
        <v>524</v>
      </c>
      <c r="B278" s="302" t="s">
        <v>271</v>
      </c>
      <c r="C278" s="303" t="s">
        <v>307</v>
      </c>
      <c r="D278" s="304">
        <v>601942708</v>
      </c>
      <c r="E278" s="305">
        <v>9198085402</v>
      </c>
      <c r="F278" s="303" t="s">
        <v>261</v>
      </c>
      <c r="G278" s="306">
        <v>41062</v>
      </c>
      <c r="H278" s="307" t="str">
        <f t="shared" si="12"/>
        <v>June</v>
      </c>
      <c r="I278" s="308">
        <f t="shared" ca="1" si="13"/>
        <v>4</v>
      </c>
      <c r="J278" s="308" t="s">
        <v>283</v>
      </c>
      <c r="K278" s="309">
        <v>28680</v>
      </c>
      <c r="L278" s="310">
        <v>1</v>
      </c>
      <c r="Q278" s="264" t="s">
        <v>2860</v>
      </c>
      <c r="R278" s="265">
        <v>42097</v>
      </c>
      <c r="S278" s="265">
        <v>42728</v>
      </c>
      <c r="T278" s="39">
        <f t="shared" si="14"/>
        <v>631</v>
      </c>
    </row>
    <row r="279" spans="1:20">
      <c r="A279" s="291" t="s">
        <v>722</v>
      </c>
      <c r="B279" s="292" t="s">
        <v>285</v>
      </c>
      <c r="C279" s="293" t="s">
        <v>626</v>
      </c>
      <c r="D279" s="294">
        <v>254201611</v>
      </c>
      <c r="E279" s="295">
        <v>9197803578</v>
      </c>
      <c r="F279" s="293" t="s">
        <v>256</v>
      </c>
      <c r="G279" s="296">
        <v>34944</v>
      </c>
      <c r="H279" s="297" t="str">
        <f t="shared" si="12"/>
        <v>September</v>
      </c>
      <c r="I279" s="298">
        <f t="shared" ca="1" si="13"/>
        <v>21</v>
      </c>
      <c r="J279" s="298" t="s">
        <v>267</v>
      </c>
      <c r="K279" s="299">
        <v>45180</v>
      </c>
      <c r="L279" s="300">
        <v>5</v>
      </c>
      <c r="Q279" s="264" t="s">
        <v>2859</v>
      </c>
      <c r="R279" s="265">
        <v>41424</v>
      </c>
      <c r="S279" s="265">
        <v>41541</v>
      </c>
      <c r="T279" s="39">
        <f t="shared" si="14"/>
        <v>117</v>
      </c>
    </row>
    <row r="280" spans="1:20">
      <c r="A280" s="301" t="s">
        <v>962</v>
      </c>
      <c r="B280" s="302" t="s">
        <v>285</v>
      </c>
      <c r="C280" s="303" t="s">
        <v>767</v>
      </c>
      <c r="D280" s="304">
        <v>569882669</v>
      </c>
      <c r="E280" s="305">
        <v>2523122083</v>
      </c>
      <c r="F280" s="303" t="s">
        <v>256</v>
      </c>
      <c r="G280" s="306">
        <v>38478</v>
      </c>
      <c r="H280" s="307" t="str">
        <f t="shared" si="12"/>
        <v>May</v>
      </c>
      <c r="I280" s="308">
        <f t="shared" ca="1" si="13"/>
        <v>11</v>
      </c>
      <c r="J280" s="308" t="s">
        <v>262</v>
      </c>
      <c r="K280" s="309">
        <v>45100</v>
      </c>
      <c r="L280" s="310">
        <v>2</v>
      </c>
      <c r="Q280" s="264" t="s">
        <v>2858</v>
      </c>
      <c r="R280" s="265">
        <v>41689</v>
      </c>
      <c r="S280" s="265">
        <v>42350</v>
      </c>
      <c r="T280" s="39">
        <f t="shared" si="14"/>
        <v>661</v>
      </c>
    </row>
    <row r="281" spans="1:20">
      <c r="A281" s="291" t="s">
        <v>620</v>
      </c>
      <c r="B281" s="292" t="s">
        <v>271</v>
      </c>
      <c r="C281" s="293" t="s">
        <v>750</v>
      </c>
      <c r="D281" s="294">
        <v>904790184</v>
      </c>
      <c r="E281" s="295">
        <v>9191876990</v>
      </c>
      <c r="F281" s="293" t="s">
        <v>256</v>
      </c>
      <c r="G281" s="296">
        <v>34370</v>
      </c>
      <c r="H281" s="297" t="str">
        <f t="shared" si="12"/>
        <v>February</v>
      </c>
      <c r="I281" s="298">
        <f t="shared" ca="1" si="13"/>
        <v>22</v>
      </c>
      <c r="J281" s="298" t="s">
        <v>283</v>
      </c>
      <c r="K281" s="299">
        <v>77720</v>
      </c>
      <c r="L281" s="300">
        <v>3</v>
      </c>
      <c r="Q281" s="264" t="s">
        <v>2857</v>
      </c>
      <c r="R281" s="265">
        <v>41475</v>
      </c>
      <c r="S281" s="265">
        <v>41723</v>
      </c>
      <c r="T281" s="39">
        <f t="shared" si="14"/>
        <v>248</v>
      </c>
    </row>
    <row r="282" spans="1:20">
      <c r="A282" s="301" t="s">
        <v>374</v>
      </c>
      <c r="B282" s="302" t="s">
        <v>245</v>
      </c>
      <c r="C282" s="303" t="s">
        <v>767</v>
      </c>
      <c r="D282" s="304">
        <v>808012612</v>
      </c>
      <c r="E282" s="305">
        <v>9193717553</v>
      </c>
      <c r="F282" s="303" t="s">
        <v>247</v>
      </c>
      <c r="G282" s="306">
        <v>34568</v>
      </c>
      <c r="H282" s="307" t="str">
        <f t="shared" si="12"/>
        <v>August</v>
      </c>
      <c r="I282" s="308">
        <f t="shared" ca="1" si="13"/>
        <v>22</v>
      </c>
      <c r="J282" s="308"/>
      <c r="K282" s="309">
        <v>60550</v>
      </c>
      <c r="L282" s="310">
        <v>2</v>
      </c>
      <c r="Q282" s="264" t="s">
        <v>2856</v>
      </c>
      <c r="R282" s="265">
        <v>41261</v>
      </c>
      <c r="S282" s="265">
        <v>41935</v>
      </c>
      <c r="T282" s="39">
        <f t="shared" si="14"/>
        <v>674</v>
      </c>
    </row>
    <row r="283" spans="1:20">
      <c r="A283" s="291" t="s">
        <v>328</v>
      </c>
      <c r="B283" s="292" t="s">
        <v>245</v>
      </c>
      <c r="C283" s="293" t="s">
        <v>465</v>
      </c>
      <c r="D283" s="294">
        <v>405396173</v>
      </c>
      <c r="E283" s="295">
        <v>2521777060</v>
      </c>
      <c r="F283" s="293" t="s">
        <v>256</v>
      </c>
      <c r="G283" s="296">
        <v>39643</v>
      </c>
      <c r="H283" s="297" t="str">
        <f t="shared" si="12"/>
        <v>July</v>
      </c>
      <c r="I283" s="298">
        <f t="shared" ca="1" si="13"/>
        <v>8</v>
      </c>
      <c r="J283" s="298" t="s">
        <v>276</v>
      </c>
      <c r="K283" s="299">
        <v>68710</v>
      </c>
      <c r="L283" s="300">
        <v>4</v>
      </c>
      <c r="Q283" s="264" t="s">
        <v>2855</v>
      </c>
      <c r="R283" s="265">
        <v>41511</v>
      </c>
      <c r="S283" s="265">
        <v>41930</v>
      </c>
      <c r="T283" s="39">
        <f t="shared" si="14"/>
        <v>419</v>
      </c>
    </row>
    <row r="284" spans="1:20">
      <c r="A284" s="301" t="s">
        <v>430</v>
      </c>
      <c r="B284" s="302" t="s">
        <v>245</v>
      </c>
      <c r="C284" s="303" t="s">
        <v>856</v>
      </c>
      <c r="D284" s="304">
        <v>352371400</v>
      </c>
      <c r="E284" s="305">
        <v>2525441252</v>
      </c>
      <c r="F284" s="303" t="s">
        <v>252</v>
      </c>
      <c r="G284" s="306">
        <v>34166</v>
      </c>
      <c r="H284" s="307" t="str">
        <f t="shared" si="12"/>
        <v>July</v>
      </c>
      <c r="I284" s="308">
        <f t="shared" ca="1" si="13"/>
        <v>23</v>
      </c>
      <c r="J284" s="308"/>
      <c r="K284" s="309">
        <v>30468</v>
      </c>
      <c r="L284" s="310">
        <v>2</v>
      </c>
      <c r="Q284" s="264" t="s">
        <v>2854</v>
      </c>
      <c r="R284" s="265">
        <v>41929</v>
      </c>
      <c r="S284" s="265">
        <v>42265</v>
      </c>
      <c r="T284" s="39">
        <f t="shared" si="14"/>
        <v>336</v>
      </c>
    </row>
    <row r="285" spans="1:20">
      <c r="A285" s="291" t="s">
        <v>329</v>
      </c>
      <c r="B285" s="292" t="s">
        <v>245</v>
      </c>
      <c r="C285" s="293" t="s">
        <v>705</v>
      </c>
      <c r="D285" s="294">
        <v>847051774</v>
      </c>
      <c r="E285" s="295">
        <v>2522881600</v>
      </c>
      <c r="F285" s="293" t="s">
        <v>256</v>
      </c>
      <c r="G285" s="296">
        <v>40567</v>
      </c>
      <c r="H285" s="297" t="str">
        <f t="shared" si="12"/>
        <v>January</v>
      </c>
      <c r="I285" s="298">
        <f t="shared" ca="1" si="13"/>
        <v>5</v>
      </c>
      <c r="J285" s="298" t="s">
        <v>276</v>
      </c>
      <c r="K285" s="299">
        <v>80880</v>
      </c>
      <c r="L285" s="300">
        <v>1</v>
      </c>
      <c r="Q285" s="264" t="s">
        <v>2853</v>
      </c>
      <c r="R285" s="265">
        <v>41245</v>
      </c>
      <c r="S285" s="265">
        <v>42193</v>
      </c>
      <c r="T285" s="39">
        <f t="shared" si="14"/>
        <v>948</v>
      </c>
    </row>
    <row r="286" spans="1:20">
      <c r="A286" s="301" t="s">
        <v>805</v>
      </c>
      <c r="B286" s="302" t="s">
        <v>280</v>
      </c>
      <c r="C286" s="303" t="s">
        <v>465</v>
      </c>
      <c r="D286" s="304">
        <v>504914685</v>
      </c>
      <c r="E286" s="305">
        <v>9195250630</v>
      </c>
      <c r="F286" s="303" t="s">
        <v>256</v>
      </c>
      <c r="G286" s="306">
        <v>36994</v>
      </c>
      <c r="H286" s="307" t="str">
        <f t="shared" si="12"/>
        <v>April</v>
      </c>
      <c r="I286" s="308">
        <f t="shared" ca="1" si="13"/>
        <v>15</v>
      </c>
      <c r="J286" s="308" t="s">
        <v>257</v>
      </c>
      <c r="K286" s="309">
        <v>33210</v>
      </c>
      <c r="L286" s="310">
        <v>4</v>
      </c>
      <c r="Q286" s="264" t="s">
        <v>2852</v>
      </c>
      <c r="R286" s="265">
        <v>41616</v>
      </c>
      <c r="S286" s="265">
        <v>42541</v>
      </c>
      <c r="T286" s="39">
        <f t="shared" si="14"/>
        <v>925</v>
      </c>
    </row>
    <row r="287" spans="1:20">
      <c r="A287" s="291" t="s">
        <v>883</v>
      </c>
      <c r="B287" s="292" t="s">
        <v>280</v>
      </c>
      <c r="C287" s="293" t="s">
        <v>705</v>
      </c>
      <c r="D287" s="294">
        <v>291803431</v>
      </c>
      <c r="E287" s="295">
        <v>2525866679</v>
      </c>
      <c r="F287" s="293" t="s">
        <v>247</v>
      </c>
      <c r="G287" s="296">
        <v>40693</v>
      </c>
      <c r="H287" s="297" t="str">
        <f t="shared" si="12"/>
        <v>May</v>
      </c>
      <c r="I287" s="298">
        <f t="shared" ca="1" si="13"/>
        <v>5</v>
      </c>
      <c r="J287" s="298"/>
      <c r="K287" s="299">
        <v>54000</v>
      </c>
      <c r="L287" s="300">
        <v>3</v>
      </c>
      <c r="Q287" s="264" t="s">
        <v>2851</v>
      </c>
      <c r="R287" s="265">
        <v>41703</v>
      </c>
      <c r="S287" s="265">
        <v>42607</v>
      </c>
      <c r="T287" s="39">
        <f t="shared" si="14"/>
        <v>904</v>
      </c>
    </row>
    <row r="288" spans="1:20">
      <c r="A288" s="301" t="s">
        <v>884</v>
      </c>
      <c r="B288" s="302" t="s">
        <v>285</v>
      </c>
      <c r="C288" s="303" t="s">
        <v>312</v>
      </c>
      <c r="D288" s="304">
        <v>164904130</v>
      </c>
      <c r="E288" s="305">
        <v>2528046670</v>
      </c>
      <c r="F288" s="303" t="s">
        <v>247</v>
      </c>
      <c r="G288" s="306">
        <v>36479</v>
      </c>
      <c r="H288" s="307" t="str">
        <f t="shared" si="12"/>
        <v>November</v>
      </c>
      <c r="I288" s="308">
        <f t="shared" ca="1" si="13"/>
        <v>16</v>
      </c>
      <c r="J288" s="308"/>
      <c r="K288" s="309">
        <v>84200</v>
      </c>
      <c r="L288" s="310">
        <v>2</v>
      </c>
      <c r="Q288" s="264" t="s">
        <v>2850</v>
      </c>
      <c r="R288" s="265">
        <v>42234</v>
      </c>
      <c r="S288" s="265">
        <v>42876</v>
      </c>
      <c r="T288" s="39">
        <f t="shared" si="14"/>
        <v>642</v>
      </c>
    </row>
    <row r="289" spans="1:20">
      <c r="A289" s="291" t="s">
        <v>525</v>
      </c>
      <c r="B289" s="292" t="s">
        <v>251</v>
      </c>
      <c r="C289" s="293" t="s">
        <v>456</v>
      </c>
      <c r="D289" s="294">
        <v>117896630</v>
      </c>
      <c r="E289" s="295">
        <v>9197173558</v>
      </c>
      <c r="F289" s="293" t="s">
        <v>247</v>
      </c>
      <c r="G289" s="296">
        <v>41173</v>
      </c>
      <c r="H289" s="297" t="str">
        <f t="shared" si="12"/>
        <v>September</v>
      </c>
      <c r="I289" s="298">
        <f t="shared" ca="1" si="13"/>
        <v>4</v>
      </c>
      <c r="J289" s="298" t="s">
        <v>267</v>
      </c>
      <c r="K289" s="299">
        <v>71190</v>
      </c>
      <c r="L289" s="300">
        <v>4</v>
      </c>
      <c r="Q289" s="264" t="s">
        <v>2849</v>
      </c>
      <c r="R289" s="265">
        <v>40951</v>
      </c>
      <c r="S289" s="265">
        <v>41148</v>
      </c>
      <c r="T289" s="39">
        <f t="shared" si="14"/>
        <v>197</v>
      </c>
    </row>
    <row r="290" spans="1:20">
      <c r="A290" s="301" t="s">
        <v>526</v>
      </c>
      <c r="B290" s="302" t="s">
        <v>285</v>
      </c>
      <c r="C290" s="303" t="s">
        <v>626</v>
      </c>
      <c r="D290" s="304">
        <v>275102740</v>
      </c>
      <c r="E290" s="305">
        <v>2521620909</v>
      </c>
      <c r="F290" s="303" t="s">
        <v>256</v>
      </c>
      <c r="G290" s="306">
        <v>34605</v>
      </c>
      <c r="H290" s="307" t="str">
        <f t="shared" si="12"/>
        <v>September</v>
      </c>
      <c r="I290" s="308">
        <f t="shared" ca="1" si="13"/>
        <v>22</v>
      </c>
      <c r="J290" s="308" t="s">
        <v>262</v>
      </c>
      <c r="K290" s="309">
        <v>60560</v>
      </c>
      <c r="L290" s="310">
        <v>4</v>
      </c>
      <c r="Q290" s="264" t="s">
        <v>2848</v>
      </c>
      <c r="R290" s="265">
        <v>41056</v>
      </c>
      <c r="S290" s="265">
        <v>41826</v>
      </c>
      <c r="T290" s="39">
        <f t="shared" si="14"/>
        <v>770</v>
      </c>
    </row>
    <row r="291" spans="1:20">
      <c r="A291" s="291" t="s">
        <v>963</v>
      </c>
      <c r="B291" s="292" t="s">
        <v>245</v>
      </c>
      <c r="C291" s="293" t="s">
        <v>767</v>
      </c>
      <c r="D291" s="294">
        <v>378882665</v>
      </c>
      <c r="E291" s="295">
        <v>2526079829</v>
      </c>
      <c r="F291" s="293" t="s">
        <v>261</v>
      </c>
      <c r="G291" s="296">
        <v>34581</v>
      </c>
      <c r="H291" s="297" t="str">
        <f t="shared" si="12"/>
        <v>September</v>
      </c>
      <c r="I291" s="298">
        <f t="shared" ca="1" si="13"/>
        <v>22</v>
      </c>
      <c r="J291" s="298" t="s">
        <v>257</v>
      </c>
      <c r="K291" s="299">
        <v>46380</v>
      </c>
      <c r="L291" s="300">
        <v>3</v>
      </c>
      <c r="Q291" s="264" t="s">
        <v>2847</v>
      </c>
      <c r="R291" s="265">
        <v>41444</v>
      </c>
      <c r="S291" s="265">
        <v>42384</v>
      </c>
      <c r="T291" s="39">
        <f t="shared" si="14"/>
        <v>940</v>
      </c>
    </row>
    <row r="292" spans="1:20">
      <c r="A292" s="301" t="s">
        <v>758</v>
      </c>
      <c r="B292" s="302" t="s">
        <v>271</v>
      </c>
      <c r="C292" s="303" t="s">
        <v>930</v>
      </c>
      <c r="D292" s="304">
        <v>318723704</v>
      </c>
      <c r="E292" s="305">
        <v>9196526117</v>
      </c>
      <c r="F292" s="303" t="s">
        <v>256</v>
      </c>
      <c r="G292" s="306">
        <v>35335</v>
      </c>
      <c r="H292" s="307" t="str">
        <f t="shared" si="12"/>
        <v>September</v>
      </c>
      <c r="I292" s="308">
        <f t="shared" ca="1" si="13"/>
        <v>20</v>
      </c>
      <c r="J292" s="308" t="s">
        <v>283</v>
      </c>
      <c r="K292" s="309">
        <v>73850</v>
      </c>
      <c r="L292" s="310">
        <v>2</v>
      </c>
      <c r="Q292" s="264" t="s">
        <v>2846</v>
      </c>
      <c r="R292" s="265">
        <v>42288</v>
      </c>
      <c r="S292" s="265">
        <v>42771</v>
      </c>
      <c r="T292" s="39">
        <f t="shared" si="14"/>
        <v>483</v>
      </c>
    </row>
    <row r="293" spans="1:20">
      <c r="A293" s="291" t="s">
        <v>964</v>
      </c>
      <c r="B293" s="292" t="s">
        <v>245</v>
      </c>
      <c r="C293" s="293" t="s">
        <v>626</v>
      </c>
      <c r="D293" s="294">
        <v>738946277</v>
      </c>
      <c r="E293" s="295">
        <v>9194331646</v>
      </c>
      <c r="F293" s="293" t="s">
        <v>256</v>
      </c>
      <c r="G293" s="296">
        <v>34133</v>
      </c>
      <c r="H293" s="297" t="str">
        <f t="shared" si="12"/>
        <v>June</v>
      </c>
      <c r="I293" s="298">
        <f t="shared" ca="1" si="13"/>
        <v>23</v>
      </c>
      <c r="J293" s="298" t="s">
        <v>262</v>
      </c>
      <c r="K293" s="299">
        <v>31260</v>
      </c>
      <c r="L293" s="300">
        <v>5</v>
      </c>
      <c r="Q293" s="264" t="s">
        <v>2845</v>
      </c>
      <c r="R293" s="265">
        <v>41009</v>
      </c>
      <c r="S293" s="265">
        <v>41170</v>
      </c>
      <c r="T293" s="39">
        <f t="shared" si="14"/>
        <v>161</v>
      </c>
    </row>
    <row r="294" spans="1:20">
      <c r="A294" s="301" t="s">
        <v>885</v>
      </c>
      <c r="B294" s="302" t="s">
        <v>271</v>
      </c>
      <c r="C294" s="303" t="s">
        <v>312</v>
      </c>
      <c r="D294" s="304">
        <v>513140687</v>
      </c>
      <c r="E294" s="305">
        <v>9192163497</v>
      </c>
      <c r="F294" s="303" t="s">
        <v>247</v>
      </c>
      <c r="G294" s="306">
        <v>34138</v>
      </c>
      <c r="H294" s="307" t="str">
        <f t="shared" si="12"/>
        <v>June</v>
      </c>
      <c r="I294" s="308">
        <f t="shared" ca="1" si="13"/>
        <v>23</v>
      </c>
      <c r="J294" s="308"/>
      <c r="K294" s="309">
        <v>42940</v>
      </c>
      <c r="L294" s="310">
        <v>1</v>
      </c>
      <c r="Q294" s="264" t="s">
        <v>2844</v>
      </c>
      <c r="R294" s="265">
        <v>41170</v>
      </c>
      <c r="S294" s="265">
        <v>41754</v>
      </c>
      <c r="T294" s="39">
        <f t="shared" si="14"/>
        <v>584</v>
      </c>
    </row>
    <row r="295" spans="1:20">
      <c r="A295" s="291" t="s">
        <v>384</v>
      </c>
      <c r="B295" s="292" t="s">
        <v>280</v>
      </c>
      <c r="C295" s="293" t="s">
        <v>930</v>
      </c>
      <c r="D295" s="294">
        <v>658842625</v>
      </c>
      <c r="E295" s="295">
        <v>9193788281</v>
      </c>
      <c r="F295" s="293" t="s">
        <v>261</v>
      </c>
      <c r="G295" s="296">
        <v>36963</v>
      </c>
      <c r="H295" s="297" t="str">
        <f t="shared" si="12"/>
        <v>March</v>
      </c>
      <c r="I295" s="298">
        <f t="shared" ca="1" si="13"/>
        <v>15</v>
      </c>
      <c r="J295" s="298" t="s">
        <v>276</v>
      </c>
      <c r="K295" s="299">
        <v>46105</v>
      </c>
      <c r="L295" s="300">
        <v>5</v>
      </c>
      <c r="Q295" s="264" t="s">
        <v>2843</v>
      </c>
      <c r="R295" s="265">
        <v>42060</v>
      </c>
      <c r="S295" s="265">
        <v>42760</v>
      </c>
      <c r="T295" s="39">
        <f t="shared" si="14"/>
        <v>700</v>
      </c>
    </row>
    <row r="296" spans="1:20">
      <c r="A296" s="301" t="s">
        <v>806</v>
      </c>
      <c r="B296" s="302" t="s">
        <v>285</v>
      </c>
      <c r="C296" s="303" t="s">
        <v>750</v>
      </c>
      <c r="D296" s="304">
        <v>219740602</v>
      </c>
      <c r="E296" s="305">
        <v>9197429525</v>
      </c>
      <c r="F296" s="303" t="s">
        <v>261</v>
      </c>
      <c r="G296" s="306">
        <v>34259</v>
      </c>
      <c r="H296" s="307" t="str">
        <f t="shared" si="12"/>
        <v>October</v>
      </c>
      <c r="I296" s="308">
        <f t="shared" ca="1" si="13"/>
        <v>23</v>
      </c>
      <c r="J296" s="308" t="s">
        <v>276</v>
      </c>
      <c r="K296" s="309">
        <v>16015</v>
      </c>
      <c r="L296" s="310">
        <v>3</v>
      </c>
      <c r="Q296" s="264" t="s">
        <v>2842</v>
      </c>
      <c r="R296" s="265">
        <v>42261</v>
      </c>
      <c r="S296" s="265">
        <v>42545</v>
      </c>
      <c r="T296" s="39">
        <f t="shared" si="14"/>
        <v>284</v>
      </c>
    </row>
    <row r="297" spans="1:20">
      <c r="A297" s="291" t="s">
        <v>527</v>
      </c>
      <c r="B297" s="292" t="s">
        <v>271</v>
      </c>
      <c r="C297" s="293" t="s">
        <v>700</v>
      </c>
      <c r="D297" s="294">
        <v>121688720</v>
      </c>
      <c r="E297" s="295">
        <v>9194794769</v>
      </c>
      <c r="F297" s="293" t="s">
        <v>247</v>
      </c>
      <c r="G297" s="296">
        <v>36477</v>
      </c>
      <c r="H297" s="297" t="str">
        <f t="shared" si="12"/>
        <v>November</v>
      </c>
      <c r="I297" s="298">
        <f t="shared" ca="1" si="13"/>
        <v>16</v>
      </c>
      <c r="J297" s="298"/>
      <c r="K297" s="299">
        <v>44820</v>
      </c>
      <c r="L297" s="300">
        <v>4</v>
      </c>
      <c r="Q297" s="264" t="s">
        <v>2841</v>
      </c>
      <c r="R297" s="265">
        <v>41439</v>
      </c>
      <c r="S297" s="265">
        <v>41762</v>
      </c>
      <c r="T297" s="39">
        <f t="shared" si="14"/>
        <v>323</v>
      </c>
    </row>
    <row r="298" spans="1:20">
      <c r="A298" s="301" t="s">
        <v>528</v>
      </c>
      <c r="B298" s="302" t="s">
        <v>251</v>
      </c>
      <c r="C298" s="303" t="s">
        <v>705</v>
      </c>
      <c r="D298" s="304">
        <v>302854692</v>
      </c>
      <c r="E298" s="305">
        <v>2528651774</v>
      </c>
      <c r="F298" s="303" t="s">
        <v>261</v>
      </c>
      <c r="G298" s="306">
        <v>35527</v>
      </c>
      <c r="H298" s="307" t="str">
        <f t="shared" si="12"/>
        <v>April</v>
      </c>
      <c r="I298" s="308">
        <f t="shared" ca="1" si="13"/>
        <v>19</v>
      </c>
      <c r="J298" s="308" t="s">
        <v>257</v>
      </c>
      <c r="K298" s="309">
        <v>13435</v>
      </c>
      <c r="L298" s="310">
        <v>1</v>
      </c>
      <c r="Q298" s="264" t="s">
        <v>2840</v>
      </c>
      <c r="R298" s="265">
        <v>41660</v>
      </c>
      <c r="S298" s="265">
        <v>42517</v>
      </c>
      <c r="T298" s="39">
        <f t="shared" si="14"/>
        <v>857</v>
      </c>
    </row>
    <row r="299" spans="1:20">
      <c r="A299" s="291" t="s">
        <v>965</v>
      </c>
      <c r="B299" s="292" t="s">
        <v>271</v>
      </c>
      <c r="C299" s="293" t="s">
        <v>626</v>
      </c>
      <c r="D299" s="294">
        <v>400260342</v>
      </c>
      <c r="E299" s="295">
        <v>9196798743</v>
      </c>
      <c r="F299" s="293" t="s">
        <v>247</v>
      </c>
      <c r="G299" s="296">
        <v>40193</v>
      </c>
      <c r="H299" s="297" t="str">
        <f t="shared" si="12"/>
        <v>January</v>
      </c>
      <c r="I299" s="298">
        <f t="shared" ca="1" si="13"/>
        <v>6</v>
      </c>
      <c r="J299" s="298"/>
      <c r="K299" s="299">
        <v>74470</v>
      </c>
      <c r="L299" s="300">
        <v>3</v>
      </c>
      <c r="Q299" s="264" t="s">
        <v>2839</v>
      </c>
      <c r="R299" s="265">
        <v>41104</v>
      </c>
      <c r="S299" s="265">
        <v>41502</v>
      </c>
      <c r="T299" s="39">
        <f t="shared" si="14"/>
        <v>398</v>
      </c>
    </row>
    <row r="300" spans="1:20">
      <c r="A300" s="301" t="s">
        <v>886</v>
      </c>
      <c r="B300" s="302" t="s">
        <v>285</v>
      </c>
      <c r="C300" s="303" t="s">
        <v>856</v>
      </c>
      <c r="D300" s="304">
        <v>195772503</v>
      </c>
      <c r="E300" s="305">
        <v>9193123940</v>
      </c>
      <c r="F300" s="303" t="s">
        <v>247</v>
      </c>
      <c r="G300" s="306">
        <v>34824</v>
      </c>
      <c r="H300" s="307" t="str">
        <f t="shared" si="12"/>
        <v>May</v>
      </c>
      <c r="I300" s="308">
        <f t="shared" ca="1" si="13"/>
        <v>21</v>
      </c>
      <c r="J300" s="308"/>
      <c r="K300" s="309">
        <v>55690</v>
      </c>
      <c r="L300" s="310">
        <v>2</v>
      </c>
      <c r="Q300" s="264" t="s">
        <v>2838</v>
      </c>
      <c r="R300" s="265">
        <v>41834</v>
      </c>
      <c r="S300" s="265">
        <v>42632</v>
      </c>
      <c r="T300" s="39">
        <f t="shared" si="14"/>
        <v>798</v>
      </c>
    </row>
    <row r="301" spans="1:20">
      <c r="A301" s="291" t="s">
        <v>966</v>
      </c>
      <c r="B301" s="292" t="s">
        <v>280</v>
      </c>
      <c r="C301" s="293" t="s">
        <v>312</v>
      </c>
      <c r="D301" s="294">
        <v>163292583</v>
      </c>
      <c r="E301" s="295">
        <v>2522005810</v>
      </c>
      <c r="F301" s="293" t="s">
        <v>247</v>
      </c>
      <c r="G301" s="296">
        <v>36948</v>
      </c>
      <c r="H301" s="297" t="str">
        <f t="shared" si="12"/>
        <v>February</v>
      </c>
      <c r="I301" s="298">
        <f t="shared" ca="1" si="13"/>
        <v>15</v>
      </c>
      <c r="J301" s="298"/>
      <c r="K301" s="299">
        <v>30340</v>
      </c>
      <c r="L301" s="300">
        <v>3</v>
      </c>
      <c r="Q301" s="264" t="s">
        <v>2837</v>
      </c>
      <c r="R301" s="265">
        <v>42200</v>
      </c>
      <c r="S301" s="265">
        <v>42607</v>
      </c>
      <c r="T301" s="39">
        <f t="shared" si="14"/>
        <v>407</v>
      </c>
    </row>
    <row r="302" spans="1:20">
      <c r="A302" s="301" t="s">
        <v>807</v>
      </c>
      <c r="B302" s="302" t="s">
        <v>285</v>
      </c>
      <c r="C302" s="303" t="s">
        <v>372</v>
      </c>
      <c r="D302" s="304">
        <v>920505896</v>
      </c>
      <c r="E302" s="305">
        <v>2523173691</v>
      </c>
      <c r="F302" s="303" t="s">
        <v>247</v>
      </c>
      <c r="G302" s="306">
        <v>39665</v>
      </c>
      <c r="H302" s="307" t="str">
        <f t="shared" si="12"/>
        <v>August</v>
      </c>
      <c r="I302" s="308">
        <f t="shared" ca="1" si="13"/>
        <v>8</v>
      </c>
      <c r="J302" s="308"/>
      <c r="K302" s="309">
        <v>78860</v>
      </c>
      <c r="L302" s="310">
        <v>2</v>
      </c>
      <c r="Q302" s="264" t="s">
        <v>2836</v>
      </c>
      <c r="R302" s="265">
        <v>41914</v>
      </c>
      <c r="S302" s="265">
        <v>42054</v>
      </c>
      <c r="T302" s="39">
        <f t="shared" si="14"/>
        <v>140</v>
      </c>
    </row>
    <row r="303" spans="1:20">
      <c r="A303" s="291" t="s">
        <v>529</v>
      </c>
      <c r="B303" s="292" t="s">
        <v>245</v>
      </c>
      <c r="C303" s="293" t="s">
        <v>767</v>
      </c>
      <c r="D303" s="294">
        <v>828715080</v>
      </c>
      <c r="E303" s="295">
        <v>2523613559</v>
      </c>
      <c r="F303" s="293" t="s">
        <v>256</v>
      </c>
      <c r="G303" s="296">
        <v>36004</v>
      </c>
      <c r="H303" s="297" t="str">
        <f t="shared" si="12"/>
        <v>July</v>
      </c>
      <c r="I303" s="298">
        <f t="shared" ca="1" si="13"/>
        <v>18</v>
      </c>
      <c r="J303" s="298" t="s">
        <v>262</v>
      </c>
      <c r="K303" s="299">
        <v>61148</v>
      </c>
      <c r="L303" s="300">
        <v>2</v>
      </c>
      <c r="Q303" s="264" t="s">
        <v>2835</v>
      </c>
      <c r="R303" s="265">
        <v>42348</v>
      </c>
      <c r="S303" s="265">
        <v>42892</v>
      </c>
      <c r="T303" s="39">
        <f t="shared" si="14"/>
        <v>544</v>
      </c>
    </row>
    <row r="304" spans="1:20">
      <c r="A304" s="301" t="s">
        <v>621</v>
      </c>
      <c r="B304" s="302" t="s">
        <v>271</v>
      </c>
      <c r="C304" s="303" t="s">
        <v>391</v>
      </c>
      <c r="D304" s="304">
        <v>469591073</v>
      </c>
      <c r="E304" s="305">
        <v>2523327522</v>
      </c>
      <c r="F304" s="303" t="s">
        <v>256</v>
      </c>
      <c r="G304" s="306">
        <v>38023</v>
      </c>
      <c r="H304" s="307" t="str">
        <f t="shared" si="12"/>
        <v>February</v>
      </c>
      <c r="I304" s="308">
        <f t="shared" ca="1" si="13"/>
        <v>12</v>
      </c>
      <c r="J304" s="308" t="s">
        <v>267</v>
      </c>
      <c r="K304" s="309">
        <v>61150</v>
      </c>
      <c r="L304" s="310">
        <v>4</v>
      </c>
      <c r="Q304" s="264" t="s">
        <v>2834</v>
      </c>
      <c r="R304" s="265">
        <v>41939</v>
      </c>
      <c r="S304" s="265">
        <v>42907</v>
      </c>
      <c r="T304" s="39">
        <f t="shared" si="14"/>
        <v>968</v>
      </c>
    </row>
    <row r="305" spans="1:20">
      <c r="A305" s="291" t="s">
        <v>808</v>
      </c>
      <c r="B305" s="292" t="s">
        <v>266</v>
      </c>
      <c r="C305" s="293" t="s">
        <v>930</v>
      </c>
      <c r="D305" s="294">
        <v>941937371</v>
      </c>
      <c r="E305" s="295">
        <v>9195060466</v>
      </c>
      <c r="F305" s="293" t="s">
        <v>256</v>
      </c>
      <c r="G305" s="296">
        <v>36686</v>
      </c>
      <c r="H305" s="297" t="str">
        <f t="shared" si="12"/>
        <v>June</v>
      </c>
      <c r="I305" s="298">
        <f t="shared" ca="1" si="13"/>
        <v>16</v>
      </c>
      <c r="J305" s="298" t="s">
        <v>257</v>
      </c>
      <c r="K305" s="299">
        <v>86320</v>
      </c>
      <c r="L305" s="300">
        <v>4</v>
      </c>
      <c r="Q305" s="264" t="s">
        <v>2833</v>
      </c>
      <c r="R305" s="265">
        <v>41158</v>
      </c>
      <c r="S305" s="265">
        <v>41544</v>
      </c>
      <c r="T305" s="39">
        <f t="shared" si="14"/>
        <v>386</v>
      </c>
    </row>
    <row r="306" spans="1:20">
      <c r="A306" s="301" t="s">
        <v>530</v>
      </c>
      <c r="B306" s="302" t="s">
        <v>271</v>
      </c>
      <c r="C306" s="303" t="s">
        <v>465</v>
      </c>
      <c r="D306" s="304">
        <v>506577536</v>
      </c>
      <c r="E306" s="305">
        <v>2524999647</v>
      </c>
      <c r="F306" s="303" t="s">
        <v>252</v>
      </c>
      <c r="G306" s="306">
        <v>37215</v>
      </c>
      <c r="H306" s="307" t="str">
        <f t="shared" si="12"/>
        <v>November</v>
      </c>
      <c r="I306" s="308">
        <f t="shared" ca="1" si="13"/>
        <v>14</v>
      </c>
      <c r="J306" s="308"/>
      <c r="K306" s="309">
        <v>9424</v>
      </c>
      <c r="L306" s="310">
        <v>4</v>
      </c>
      <c r="Q306" s="264" t="s">
        <v>2832</v>
      </c>
      <c r="R306" s="265">
        <v>41557</v>
      </c>
      <c r="S306" s="265">
        <v>42338</v>
      </c>
      <c r="T306" s="39">
        <f t="shared" si="14"/>
        <v>781</v>
      </c>
    </row>
    <row r="307" spans="1:20">
      <c r="A307" s="291" t="s">
        <v>723</v>
      </c>
      <c r="B307" s="292" t="s">
        <v>271</v>
      </c>
      <c r="C307" s="293" t="s">
        <v>678</v>
      </c>
      <c r="D307" s="294">
        <v>122440839</v>
      </c>
      <c r="E307" s="295">
        <v>2526525807</v>
      </c>
      <c r="F307" s="293" t="s">
        <v>261</v>
      </c>
      <c r="G307" s="296">
        <v>36871</v>
      </c>
      <c r="H307" s="297" t="str">
        <f t="shared" si="12"/>
        <v>December</v>
      </c>
      <c r="I307" s="298">
        <f t="shared" ca="1" si="13"/>
        <v>15</v>
      </c>
      <c r="J307" s="298" t="s">
        <v>257</v>
      </c>
      <c r="K307" s="299">
        <v>20500</v>
      </c>
      <c r="L307" s="300">
        <v>3</v>
      </c>
      <c r="Q307" s="264" t="s">
        <v>2831</v>
      </c>
      <c r="R307" s="265">
        <v>41069</v>
      </c>
      <c r="S307" s="265">
        <v>42065</v>
      </c>
      <c r="T307" s="39">
        <f t="shared" si="14"/>
        <v>996</v>
      </c>
    </row>
    <row r="308" spans="1:20">
      <c r="A308" s="301" t="s">
        <v>330</v>
      </c>
      <c r="B308" s="302" t="s">
        <v>251</v>
      </c>
      <c r="C308" s="303" t="s">
        <v>465</v>
      </c>
      <c r="D308" s="304">
        <v>311883362</v>
      </c>
      <c r="E308" s="305">
        <v>2526505454</v>
      </c>
      <c r="F308" s="303" t="s">
        <v>247</v>
      </c>
      <c r="G308" s="306">
        <v>38236</v>
      </c>
      <c r="H308" s="307" t="str">
        <f t="shared" si="12"/>
        <v>September</v>
      </c>
      <c r="I308" s="308">
        <f t="shared" ca="1" si="13"/>
        <v>12</v>
      </c>
      <c r="J308" s="308"/>
      <c r="K308" s="309">
        <v>52770</v>
      </c>
      <c r="L308" s="310">
        <v>2</v>
      </c>
      <c r="Q308" s="264" t="s">
        <v>2830</v>
      </c>
      <c r="R308" s="265">
        <v>41305</v>
      </c>
      <c r="S308" s="265">
        <v>42288</v>
      </c>
      <c r="T308" s="39">
        <f t="shared" si="14"/>
        <v>983</v>
      </c>
    </row>
    <row r="309" spans="1:20">
      <c r="A309" s="291" t="s">
        <v>967</v>
      </c>
      <c r="B309" s="292" t="s">
        <v>251</v>
      </c>
      <c r="C309" s="293" t="s">
        <v>626</v>
      </c>
      <c r="D309" s="294">
        <v>788451186</v>
      </c>
      <c r="E309" s="295">
        <v>9191682521</v>
      </c>
      <c r="F309" s="293" t="s">
        <v>247</v>
      </c>
      <c r="G309" s="296">
        <v>39406</v>
      </c>
      <c r="H309" s="297" t="str">
        <f t="shared" si="12"/>
        <v>November</v>
      </c>
      <c r="I309" s="298">
        <f t="shared" ca="1" si="13"/>
        <v>8</v>
      </c>
      <c r="J309" s="298"/>
      <c r="K309" s="299">
        <v>57520</v>
      </c>
      <c r="L309" s="300">
        <v>3</v>
      </c>
      <c r="Q309" s="264" t="s">
        <v>2829</v>
      </c>
      <c r="R309" s="265">
        <v>41616</v>
      </c>
      <c r="S309" s="265">
        <v>42096</v>
      </c>
      <c r="T309" s="39">
        <f t="shared" si="14"/>
        <v>480</v>
      </c>
    </row>
    <row r="310" spans="1:20">
      <c r="A310" s="301" t="s">
        <v>809</v>
      </c>
      <c r="B310" s="302" t="s">
        <v>245</v>
      </c>
      <c r="C310" s="303" t="s">
        <v>465</v>
      </c>
      <c r="D310" s="304">
        <v>488831244</v>
      </c>
      <c r="E310" s="305">
        <v>9198979762</v>
      </c>
      <c r="F310" s="303" t="s">
        <v>261</v>
      </c>
      <c r="G310" s="306">
        <v>38530</v>
      </c>
      <c r="H310" s="307" t="str">
        <f t="shared" si="12"/>
        <v>June</v>
      </c>
      <c r="I310" s="308">
        <f t="shared" ca="1" si="13"/>
        <v>11</v>
      </c>
      <c r="J310" s="308" t="s">
        <v>257</v>
      </c>
      <c r="K310" s="309">
        <v>24460</v>
      </c>
      <c r="L310" s="310">
        <v>1</v>
      </c>
      <c r="Q310" s="264" t="s">
        <v>2828</v>
      </c>
      <c r="R310" s="265">
        <v>41093</v>
      </c>
      <c r="S310" s="265">
        <v>41846</v>
      </c>
      <c r="T310" s="39">
        <f t="shared" si="14"/>
        <v>753</v>
      </c>
    </row>
    <row r="311" spans="1:20">
      <c r="A311" s="291" t="s">
        <v>385</v>
      </c>
      <c r="B311" s="292" t="s">
        <v>271</v>
      </c>
      <c r="C311" s="293" t="s">
        <v>312</v>
      </c>
      <c r="D311" s="294">
        <v>242099349</v>
      </c>
      <c r="E311" s="295">
        <v>2526576057</v>
      </c>
      <c r="F311" s="293" t="s">
        <v>256</v>
      </c>
      <c r="G311" s="296">
        <v>41411</v>
      </c>
      <c r="H311" s="297" t="str">
        <f t="shared" si="12"/>
        <v>May</v>
      </c>
      <c r="I311" s="298">
        <f t="shared" ca="1" si="13"/>
        <v>3</v>
      </c>
      <c r="J311" s="298" t="s">
        <v>267</v>
      </c>
      <c r="K311" s="299">
        <v>77820</v>
      </c>
      <c r="L311" s="300">
        <v>3</v>
      </c>
      <c r="Q311" s="264" t="s">
        <v>2827</v>
      </c>
      <c r="R311" s="265">
        <v>41879</v>
      </c>
      <c r="S311" s="265">
        <v>42624</v>
      </c>
      <c r="T311" s="39">
        <f t="shared" si="14"/>
        <v>745</v>
      </c>
    </row>
    <row r="312" spans="1:20">
      <c r="A312" s="301" t="s">
        <v>724</v>
      </c>
      <c r="B312" s="302" t="s">
        <v>285</v>
      </c>
      <c r="C312" s="303" t="s">
        <v>930</v>
      </c>
      <c r="D312" s="304">
        <v>656572514</v>
      </c>
      <c r="E312" s="305">
        <v>9193679666</v>
      </c>
      <c r="F312" s="303" t="s">
        <v>247</v>
      </c>
      <c r="G312" s="306">
        <v>34884</v>
      </c>
      <c r="H312" s="307" t="str">
        <f t="shared" si="12"/>
        <v>July</v>
      </c>
      <c r="I312" s="308">
        <f t="shared" ca="1" si="13"/>
        <v>21</v>
      </c>
      <c r="J312" s="308"/>
      <c r="K312" s="309">
        <v>70150</v>
      </c>
      <c r="L312" s="310">
        <v>2</v>
      </c>
      <c r="Q312" s="264" t="s">
        <v>2826</v>
      </c>
      <c r="R312" s="265">
        <v>41020</v>
      </c>
      <c r="S312" s="265">
        <v>41490</v>
      </c>
      <c r="T312" s="39">
        <f t="shared" si="14"/>
        <v>470</v>
      </c>
    </row>
    <row r="313" spans="1:20">
      <c r="A313" s="291" t="s">
        <v>531</v>
      </c>
      <c r="B313" s="292" t="s">
        <v>271</v>
      </c>
      <c r="C313" s="293" t="s">
        <v>465</v>
      </c>
      <c r="D313" s="294">
        <v>219245495</v>
      </c>
      <c r="E313" s="295">
        <v>9198256039</v>
      </c>
      <c r="F313" s="293" t="s">
        <v>247</v>
      </c>
      <c r="G313" s="296">
        <v>35335</v>
      </c>
      <c r="H313" s="297" t="str">
        <f t="shared" si="12"/>
        <v>September</v>
      </c>
      <c r="I313" s="298">
        <f t="shared" ca="1" si="13"/>
        <v>20</v>
      </c>
      <c r="J313" s="298"/>
      <c r="K313" s="299">
        <v>63310</v>
      </c>
      <c r="L313" s="300">
        <v>3</v>
      </c>
      <c r="Q313" s="264" t="s">
        <v>2825</v>
      </c>
      <c r="R313" s="265">
        <v>41269</v>
      </c>
      <c r="S313" s="265">
        <v>41894</v>
      </c>
      <c r="T313" s="39">
        <f t="shared" si="14"/>
        <v>625</v>
      </c>
    </row>
    <row r="314" spans="1:20">
      <c r="A314" s="301" t="s">
        <v>887</v>
      </c>
      <c r="B314" s="302" t="s">
        <v>285</v>
      </c>
      <c r="C314" s="303" t="s">
        <v>372</v>
      </c>
      <c r="D314" s="304">
        <v>272036635</v>
      </c>
      <c r="E314" s="305">
        <v>2521656242</v>
      </c>
      <c r="F314" s="303" t="s">
        <v>256</v>
      </c>
      <c r="G314" s="306">
        <v>38793</v>
      </c>
      <c r="H314" s="307" t="str">
        <f t="shared" si="12"/>
        <v>March</v>
      </c>
      <c r="I314" s="308">
        <f t="shared" ca="1" si="13"/>
        <v>10</v>
      </c>
      <c r="J314" s="308" t="s">
        <v>257</v>
      </c>
      <c r="K314" s="309">
        <v>86530</v>
      </c>
      <c r="L314" s="310">
        <v>1</v>
      </c>
      <c r="Q314" s="264" t="s">
        <v>2824</v>
      </c>
      <c r="R314" s="265">
        <v>41481</v>
      </c>
      <c r="S314" s="265">
        <v>42423</v>
      </c>
      <c r="T314" s="39">
        <f t="shared" si="14"/>
        <v>942</v>
      </c>
    </row>
    <row r="315" spans="1:20">
      <c r="A315" s="291" t="s">
        <v>725</v>
      </c>
      <c r="B315" s="292" t="s">
        <v>271</v>
      </c>
      <c r="C315" s="293" t="s">
        <v>417</v>
      </c>
      <c r="D315" s="294">
        <v>249760737</v>
      </c>
      <c r="E315" s="295">
        <v>2522969056</v>
      </c>
      <c r="F315" s="293" t="s">
        <v>247</v>
      </c>
      <c r="G315" s="296">
        <v>34859</v>
      </c>
      <c r="H315" s="297" t="str">
        <f t="shared" si="12"/>
        <v>June</v>
      </c>
      <c r="I315" s="298">
        <f t="shared" ca="1" si="13"/>
        <v>21</v>
      </c>
      <c r="J315" s="298"/>
      <c r="K315" s="299">
        <v>81070</v>
      </c>
      <c r="L315" s="300">
        <v>5</v>
      </c>
      <c r="Q315" s="264" t="s">
        <v>2823</v>
      </c>
      <c r="R315" s="265">
        <v>41557</v>
      </c>
      <c r="S315" s="265">
        <v>42373</v>
      </c>
      <c r="T315" s="39">
        <f t="shared" si="14"/>
        <v>816</v>
      </c>
    </row>
    <row r="316" spans="1:20">
      <c r="A316" s="301" t="s">
        <v>888</v>
      </c>
      <c r="B316" s="302" t="s">
        <v>266</v>
      </c>
      <c r="C316" s="303" t="s">
        <v>391</v>
      </c>
      <c r="D316" s="304">
        <v>291798311</v>
      </c>
      <c r="E316" s="305">
        <v>2526742736</v>
      </c>
      <c r="F316" s="303" t="s">
        <v>256</v>
      </c>
      <c r="G316" s="306">
        <v>36397</v>
      </c>
      <c r="H316" s="307" t="str">
        <f t="shared" si="12"/>
        <v>August</v>
      </c>
      <c r="I316" s="308">
        <f t="shared" ca="1" si="13"/>
        <v>17</v>
      </c>
      <c r="J316" s="308" t="s">
        <v>257</v>
      </c>
      <c r="K316" s="309">
        <v>80120</v>
      </c>
      <c r="L316" s="310">
        <v>4</v>
      </c>
      <c r="Q316" s="264" t="s">
        <v>2822</v>
      </c>
      <c r="R316" s="265">
        <v>42326</v>
      </c>
      <c r="S316" s="265">
        <v>43274</v>
      </c>
      <c r="T316" s="39">
        <f t="shared" si="14"/>
        <v>948</v>
      </c>
    </row>
    <row r="317" spans="1:20">
      <c r="A317" s="291" t="s">
        <v>642</v>
      </c>
      <c r="B317" s="292" t="s">
        <v>271</v>
      </c>
      <c r="C317" s="293" t="s">
        <v>856</v>
      </c>
      <c r="D317" s="294">
        <v>750581894</v>
      </c>
      <c r="E317" s="295">
        <v>2528433766</v>
      </c>
      <c r="F317" s="293" t="s">
        <v>247</v>
      </c>
      <c r="G317" s="296">
        <v>41260</v>
      </c>
      <c r="H317" s="297" t="str">
        <f t="shared" si="12"/>
        <v>December</v>
      </c>
      <c r="I317" s="298">
        <f t="shared" ca="1" si="13"/>
        <v>3</v>
      </c>
      <c r="J317" s="298"/>
      <c r="K317" s="299">
        <v>21580</v>
      </c>
      <c r="L317" s="300">
        <v>3</v>
      </c>
      <c r="Q317" s="264" t="s">
        <v>2821</v>
      </c>
      <c r="R317" s="265">
        <v>42075</v>
      </c>
      <c r="S317" s="265">
        <v>42282</v>
      </c>
      <c r="T317" s="39">
        <f t="shared" si="14"/>
        <v>207</v>
      </c>
    </row>
    <row r="318" spans="1:20">
      <c r="A318" s="301" t="s">
        <v>279</v>
      </c>
      <c r="B318" s="302" t="s">
        <v>251</v>
      </c>
      <c r="C318" s="303" t="s">
        <v>312</v>
      </c>
      <c r="D318" s="304">
        <v>403504590</v>
      </c>
      <c r="E318" s="305">
        <v>9192400511</v>
      </c>
      <c r="F318" s="303" t="s">
        <v>247</v>
      </c>
      <c r="G318" s="306">
        <v>34588</v>
      </c>
      <c r="H318" s="307" t="str">
        <f t="shared" si="12"/>
        <v>September</v>
      </c>
      <c r="I318" s="308">
        <f t="shared" ca="1" si="13"/>
        <v>22</v>
      </c>
      <c r="J318" s="308"/>
      <c r="K318" s="309">
        <v>64460</v>
      </c>
      <c r="L318" s="310">
        <v>1</v>
      </c>
      <c r="Q318" s="264" t="s">
        <v>2820</v>
      </c>
      <c r="R318" s="265">
        <v>41101</v>
      </c>
      <c r="S318" s="265">
        <v>42001</v>
      </c>
      <c r="T318" s="39">
        <f t="shared" si="14"/>
        <v>900</v>
      </c>
    </row>
    <row r="319" spans="1:20">
      <c r="A319" s="291" t="s">
        <v>810</v>
      </c>
      <c r="B319" s="292" t="s">
        <v>245</v>
      </c>
      <c r="C319" s="293" t="s">
        <v>465</v>
      </c>
      <c r="D319" s="294">
        <v>466947318</v>
      </c>
      <c r="E319" s="295">
        <v>9191765611</v>
      </c>
      <c r="F319" s="293" t="s">
        <v>256</v>
      </c>
      <c r="G319" s="296">
        <v>41488</v>
      </c>
      <c r="H319" s="297" t="str">
        <f t="shared" si="12"/>
        <v>August</v>
      </c>
      <c r="I319" s="298">
        <f t="shared" ca="1" si="13"/>
        <v>3</v>
      </c>
      <c r="J319" s="298" t="s">
        <v>257</v>
      </c>
      <c r="K319" s="299">
        <v>43820</v>
      </c>
      <c r="L319" s="300">
        <v>2</v>
      </c>
      <c r="Q319" s="264" t="s">
        <v>2819</v>
      </c>
      <c r="R319" s="265">
        <v>40927</v>
      </c>
      <c r="S319" s="265">
        <v>41684</v>
      </c>
      <c r="T319" s="39">
        <f t="shared" si="14"/>
        <v>757</v>
      </c>
    </row>
    <row r="320" spans="1:20">
      <c r="A320" s="301" t="s">
        <v>643</v>
      </c>
      <c r="B320" s="302" t="s">
        <v>285</v>
      </c>
      <c r="C320" s="303" t="s">
        <v>930</v>
      </c>
      <c r="D320" s="304">
        <v>894855096</v>
      </c>
      <c r="E320" s="305">
        <v>9193936198</v>
      </c>
      <c r="F320" s="303" t="s">
        <v>261</v>
      </c>
      <c r="G320" s="306">
        <v>36376</v>
      </c>
      <c r="H320" s="307" t="str">
        <f t="shared" si="12"/>
        <v>August</v>
      </c>
      <c r="I320" s="308">
        <f t="shared" ca="1" si="13"/>
        <v>17</v>
      </c>
      <c r="J320" s="308" t="s">
        <v>262</v>
      </c>
      <c r="K320" s="309">
        <v>37660</v>
      </c>
      <c r="L320" s="310">
        <v>4</v>
      </c>
      <c r="Q320" s="264" t="s">
        <v>2818</v>
      </c>
      <c r="R320" s="265">
        <v>41663</v>
      </c>
      <c r="S320" s="265">
        <v>41843</v>
      </c>
      <c r="T320" s="39">
        <f t="shared" si="14"/>
        <v>180</v>
      </c>
    </row>
    <row r="321" spans="1:20">
      <c r="A321" s="291" t="s">
        <v>889</v>
      </c>
      <c r="B321" s="292" t="s">
        <v>266</v>
      </c>
      <c r="C321" s="293" t="s">
        <v>272</v>
      </c>
      <c r="D321" s="294">
        <v>840313216</v>
      </c>
      <c r="E321" s="295">
        <v>9198449868</v>
      </c>
      <c r="F321" s="293" t="s">
        <v>256</v>
      </c>
      <c r="G321" s="296">
        <v>39979</v>
      </c>
      <c r="H321" s="297" t="str">
        <f t="shared" si="12"/>
        <v>June</v>
      </c>
      <c r="I321" s="298">
        <f t="shared" ca="1" si="13"/>
        <v>7</v>
      </c>
      <c r="J321" s="298" t="s">
        <v>267</v>
      </c>
      <c r="K321" s="299">
        <v>37670</v>
      </c>
      <c r="L321" s="300">
        <v>3</v>
      </c>
      <c r="Q321" s="264" t="s">
        <v>2817</v>
      </c>
      <c r="R321" s="265">
        <v>41512</v>
      </c>
      <c r="S321" s="265">
        <v>41969</v>
      </c>
      <c r="T321" s="39">
        <f t="shared" si="14"/>
        <v>457</v>
      </c>
    </row>
    <row r="322" spans="1:20">
      <c r="A322" s="301" t="s">
        <v>331</v>
      </c>
      <c r="B322" s="302" t="s">
        <v>280</v>
      </c>
      <c r="C322" s="303" t="s">
        <v>678</v>
      </c>
      <c r="D322" s="304">
        <v>665006199</v>
      </c>
      <c r="E322" s="305">
        <v>2525555817</v>
      </c>
      <c r="F322" s="303" t="s">
        <v>256</v>
      </c>
      <c r="G322" s="306">
        <v>37477</v>
      </c>
      <c r="H322" s="307" t="str">
        <f t="shared" si="12"/>
        <v>August</v>
      </c>
      <c r="I322" s="308">
        <f t="shared" ca="1" si="13"/>
        <v>14</v>
      </c>
      <c r="J322" s="308" t="s">
        <v>276</v>
      </c>
      <c r="K322" s="309">
        <v>45450</v>
      </c>
      <c r="L322" s="310">
        <v>5</v>
      </c>
      <c r="Q322" s="264" t="s">
        <v>2816</v>
      </c>
      <c r="R322" s="265">
        <v>41849</v>
      </c>
      <c r="S322" s="265">
        <v>42402</v>
      </c>
      <c r="T322" s="39">
        <f t="shared" si="14"/>
        <v>553</v>
      </c>
    </row>
    <row r="323" spans="1:20">
      <c r="A323" s="291" t="s">
        <v>890</v>
      </c>
      <c r="B323" s="292" t="s">
        <v>245</v>
      </c>
      <c r="C323" s="293" t="s">
        <v>705</v>
      </c>
      <c r="D323" s="294">
        <v>294130565</v>
      </c>
      <c r="E323" s="295">
        <v>9193744359</v>
      </c>
      <c r="F323" s="293" t="s">
        <v>256</v>
      </c>
      <c r="G323" s="296">
        <v>34546</v>
      </c>
      <c r="H323" s="297" t="str">
        <f t="shared" si="12"/>
        <v>July</v>
      </c>
      <c r="I323" s="298">
        <f t="shared" ca="1" si="13"/>
        <v>22</v>
      </c>
      <c r="J323" s="298" t="s">
        <v>257</v>
      </c>
      <c r="K323" s="299">
        <v>26360</v>
      </c>
      <c r="L323" s="300">
        <v>1</v>
      </c>
      <c r="Q323" s="264" t="s">
        <v>2815</v>
      </c>
      <c r="R323" s="265">
        <v>41890</v>
      </c>
      <c r="S323" s="265">
        <v>42774</v>
      </c>
      <c r="T323" s="39">
        <f t="shared" si="14"/>
        <v>884</v>
      </c>
    </row>
    <row r="324" spans="1:20">
      <c r="A324" s="301" t="s">
        <v>968</v>
      </c>
      <c r="B324" s="302" t="s">
        <v>251</v>
      </c>
      <c r="C324" s="303" t="s">
        <v>626</v>
      </c>
      <c r="D324" s="304">
        <v>634954970</v>
      </c>
      <c r="E324" s="305">
        <v>9194900864</v>
      </c>
      <c r="F324" s="303" t="s">
        <v>256</v>
      </c>
      <c r="G324" s="306">
        <v>36192</v>
      </c>
      <c r="H324" s="307" t="str">
        <f t="shared" si="12"/>
        <v>February</v>
      </c>
      <c r="I324" s="308">
        <f t="shared" ca="1" si="13"/>
        <v>17</v>
      </c>
      <c r="J324" s="308" t="s">
        <v>257</v>
      </c>
      <c r="K324" s="309">
        <v>57560</v>
      </c>
      <c r="L324" s="310">
        <v>4</v>
      </c>
      <c r="Q324" s="264" t="s">
        <v>2814</v>
      </c>
      <c r="R324" s="265">
        <v>42005</v>
      </c>
      <c r="S324" s="265">
        <v>42128</v>
      </c>
      <c r="T324" s="39">
        <f t="shared" si="14"/>
        <v>123</v>
      </c>
    </row>
    <row r="325" spans="1:20">
      <c r="A325" s="291" t="s">
        <v>811</v>
      </c>
      <c r="B325" s="292" t="s">
        <v>285</v>
      </c>
      <c r="C325" s="293" t="s">
        <v>465</v>
      </c>
      <c r="D325" s="294">
        <v>876777922</v>
      </c>
      <c r="E325" s="295">
        <v>2527358099</v>
      </c>
      <c r="F325" s="293" t="s">
        <v>247</v>
      </c>
      <c r="G325" s="296">
        <v>41359</v>
      </c>
      <c r="H325" s="297" t="str">
        <f t="shared" si="12"/>
        <v>March</v>
      </c>
      <c r="I325" s="298">
        <f t="shared" ca="1" si="13"/>
        <v>3</v>
      </c>
      <c r="J325" s="298"/>
      <c r="K325" s="299">
        <v>88840</v>
      </c>
      <c r="L325" s="300">
        <v>5</v>
      </c>
      <c r="Q325" s="264" t="s">
        <v>2813</v>
      </c>
      <c r="R325" s="265">
        <v>40942</v>
      </c>
      <c r="S325" s="265">
        <v>41089</v>
      </c>
      <c r="T325" s="39">
        <f t="shared" si="14"/>
        <v>147</v>
      </c>
    </row>
    <row r="326" spans="1:20">
      <c r="A326" s="301" t="s">
        <v>891</v>
      </c>
      <c r="B326" s="302" t="s">
        <v>245</v>
      </c>
      <c r="C326" s="303" t="s">
        <v>856</v>
      </c>
      <c r="D326" s="304">
        <v>357568979</v>
      </c>
      <c r="E326" s="305">
        <v>2524316324</v>
      </c>
      <c r="F326" s="303" t="s">
        <v>261</v>
      </c>
      <c r="G326" s="306">
        <v>38685</v>
      </c>
      <c r="H326" s="307" t="str">
        <f t="shared" ref="H326:H389" si="15">CHOOSE(MONTH(G326),"January","February","March","April","May","June","July","August","September","October","November","December")</f>
        <v>November</v>
      </c>
      <c r="I326" s="308">
        <f t="shared" ref="I326:I389" ca="1" si="16">DATEDIF(G326,TODAY(),"Y")</f>
        <v>10</v>
      </c>
      <c r="J326" s="308" t="s">
        <v>262</v>
      </c>
      <c r="K326" s="309">
        <v>28525</v>
      </c>
      <c r="L326" s="310">
        <v>4</v>
      </c>
      <c r="Q326" s="264" t="s">
        <v>2812</v>
      </c>
      <c r="R326" s="265">
        <v>41369</v>
      </c>
      <c r="S326" s="265">
        <v>42074</v>
      </c>
      <c r="T326" s="39">
        <f t="shared" ref="T326:T389" si="17">DATEDIF(R326,S326,"d")</f>
        <v>705</v>
      </c>
    </row>
    <row r="327" spans="1:20">
      <c r="A327" s="291" t="s">
        <v>532</v>
      </c>
      <c r="B327" s="292" t="s">
        <v>271</v>
      </c>
      <c r="C327" s="293" t="s">
        <v>465</v>
      </c>
      <c r="D327" s="294">
        <v>462995574</v>
      </c>
      <c r="E327" s="295">
        <v>2523431009</v>
      </c>
      <c r="F327" s="293" t="s">
        <v>256</v>
      </c>
      <c r="G327" s="296">
        <v>37011</v>
      </c>
      <c r="H327" s="297" t="str">
        <f t="shared" si="15"/>
        <v>April</v>
      </c>
      <c r="I327" s="298">
        <f t="shared" ca="1" si="16"/>
        <v>15</v>
      </c>
      <c r="J327" s="298" t="s">
        <v>257</v>
      </c>
      <c r="K327" s="299">
        <v>88240</v>
      </c>
      <c r="L327" s="300">
        <v>5</v>
      </c>
      <c r="Q327" s="264" t="s">
        <v>2811</v>
      </c>
      <c r="R327" s="265">
        <v>40990</v>
      </c>
      <c r="S327" s="265">
        <v>41221</v>
      </c>
      <c r="T327" s="39">
        <f t="shared" si="17"/>
        <v>231</v>
      </c>
    </row>
    <row r="328" spans="1:20">
      <c r="A328" s="301" t="s">
        <v>533</v>
      </c>
      <c r="B328" s="302" t="s">
        <v>285</v>
      </c>
      <c r="C328" s="303" t="s">
        <v>750</v>
      </c>
      <c r="D328" s="304">
        <v>292693795</v>
      </c>
      <c r="E328" s="305">
        <v>9195990139</v>
      </c>
      <c r="F328" s="303" t="s">
        <v>256</v>
      </c>
      <c r="G328" s="306">
        <v>34190</v>
      </c>
      <c r="H328" s="307" t="str">
        <f t="shared" si="15"/>
        <v>August</v>
      </c>
      <c r="I328" s="308">
        <f t="shared" ca="1" si="16"/>
        <v>23</v>
      </c>
      <c r="J328" s="308" t="s">
        <v>257</v>
      </c>
      <c r="K328" s="309">
        <v>87950</v>
      </c>
      <c r="L328" s="310">
        <v>4</v>
      </c>
      <c r="Q328" s="264" t="s">
        <v>2810</v>
      </c>
      <c r="R328" s="265">
        <v>42174</v>
      </c>
      <c r="S328" s="265">
        <v>42636</v>
      </c>
      <c r="T328" s="39">
        <f t="shared" si="17"/>
        <v>462</v>
      </c>
    </row>
    <row r="329" spans="1:20">
      <c r="A329" s="291" t="s">
        <v>644</v>
      </c>
      <c r="B329" s="292" t="s">
        <v>251</v>
      </c>
      <c r="C329" s="293" t="s">
        <v>391</v>
      </c>
      <c r="D329" s="294">
        <v>938508346</v>
      </c>
      <c r="E329" s="295">
        <v>2526738901</v>
      </c>
      <c r="F329" s="293" t="s">
        <v>247</v>
      </c>
      <c r="G329" s="296">
        <v>34155</v>
      </c>
      <c r="H329" s="297" t="str">
        <f t="shared" si="15"/>
        <v>July</v>
      </c>
      <c r="I329" s="298">
        <f t="shared" ca="1" si="16"/>
        <v>23</v>
      </c>
      <c r="J329" s="298"/>
      <c r="K329" s="299">
        <v>80050</v>
      </c>
      <c r="L329" s="300">
        <v>2</v>
      </c>
      <c r="Q329" s="264" t="s">
        <v>2809</v>
      </c>
      <c r="R329" s="265">
        <v>41644</v>
      </c>
      <c r="S329" s="265">
        <v>41789</v>
      </c>
      <c r="T329" s="39">
        <f t="shared" si="17"/>
        <v>145</v>
      </c>
    </row>
    <row r="330" spans="1:20">
      <c r="A330" s="301" t="s">
        <v>812</v>
      </c>
      <c r="B330" s="302" t="s">
        <v>285</v>
      </c>
      <c r="C330" s="303" t="s">
        <v>930</v>
      </c>
      <c r="D330" s="304">
        <v>992674973</v>
      </c>
      <c r="E330" s="305">
        <v>2526088101</v>
      </c>
      <c r="F330" s="303" t="s">
        <v>256</v>
      </c>
      <c r="G330" s="306">
        <v>35962</v>
      </c>
      <c r="H330" s="307" t="str">
        <f t="shared" si="15"/>
        <v>June</v>
      </c>
      <c r="I330" s="308">
        <f t="shared" ca="1" si="16"/>
        <v>18</v>
      </c>
      <c r="J330" s="308" t="s">
        <v>267</v>
      </c>
      <c r="K330" s="309">
        <v>64780</v>
      </c>
      <c r="L330" s="310">
        <v>5</v>
      </c>
      <c r="Q330" s="264" t="s">
        <v>2808</v>
      </c>
      <c r="R330" s="265">
        <v>41692</v>
      </c>
      <c r="S330" s="265">
        <v>42617</v>
      </c>
      <c r="T330" s="39">
        <f t="shared" si="17"/>
        <v>925</v>
      </c>
    </row>
    <row r="331" spans="1:20">
      <c r="A331" s="291" t="s">
        <v>969</v>
      </c>
      <c r="B331" s="292" t="s">
        <v>280</v>
      </c>
      <c r="C331" s="293" t="s">
        <v>465</v>
      </c>
      <c r="D331" s="294">
        <v>366740174</v>
      </c>
      <c r="E331" s="295">
        <v>2521549933</v>
      </c>
      <c r="F331" s="293" t="s">
        <v>252</v>
      </c>
      <c r="G331" s="296">
        <v>35075</v>
      </c>
      <c r="H331" s="297" t="str">
        <f t="shared" si="15"/>
        <v>January</v>
      </c>
      <c r="I331" s="298">
        <f t="shared" ca="1" si="16"/>
        <v>20</v>
      </c>
      <c r="J331" s="298"/>
      <c r="K331" s="299">
        <v>30416</v>
      </c>
      <c r="L331" s="300">
        <v>1</v>
      </c>
      <c r="Q331" s="264" t="s">
        <v>2807</v>
      </c>
      <c r="R331" s="265">
        <v>42177</v>
      </c>
      <c r="S331" s="265">
        <v>42521</v>
      </c>
      <c r="T331" s="39">
        <f t="shared" si="17"/>
        <v>344</v>
      </c>
    </row>
    <row r="332" spans="1:20">
      <c r="A332" s="301" t="s">
        <v>332</v>
      </c>
      <c r="B332" s="302" t="s">
        <v>266</v>
      </c>
      <c r="C332" s="303" t="s">
        <v>312</v>
      </c>
      <c r="D332" s="304">
        <v>867671341</v>
      </c>
      <c r="E332" s="305">
        <v>2528317543</v>
      </c>
      <c r="F332" s="303" t="s">
        <v>261</v>
      </c>
      <c r="G332" s="306">
        <v>37806</v>
      </c>
      <c r="H332" s="307" t="str">
        <f t="shared" si="15"/>
        <v>July</v>
      </c>
      <c r="I332" s="308">
        <f t="shared" ca="1" si="16"/>
        <v>13</v>
      </c>
      <c r="J332" s="308" t="s">
        <v>257</v>
      </c>
      <c r="K332" s="309">
        <v>35280</v>
      </c>
      <c r="L332" s="310">
        <v>3</v>
      </c>
      <c r="Q332" s="264" t="s">
        <v>2806</v>
      </c>
      <c r="R332" s="265">
        <v>40977</v>
      </c>
      <c r="S332" s="265">
        <v>41672</v>
      </c>
      <c r="T332" s="39">
        <f t="shared" si="17"/>
        <v>695</v>
      </c>
    </row>
    <row r="333" spans="1:20">
      <c r="A333" s="291" t="s">
        <v>333</v>
      </c>
      <c r="B333" s="292" t="s">
        <v>285</v>
      </c>
      <c r="C333" s="293" t="s">
        <v>626</v>
      </c>
      <c r="D333" s="294">
        <v>364404060</v>
      </c>
      <c r="E333" s="295">
        <v>2527722509</v>
      </c>
      <c r="F333" s="293" t="s">
        <v>261</v>
      </c>
      <c r="G333" s="296">
        <v>39272</v>
      </c>
      <c r="H333" s="297" t="str">
        <f t="shared" si="15"/>
        <v>July</v>
      </c>
      <c r="I333" s="298">
        <f t="shared" ca="1" si="16"/>
        <v>9</v>
      </c>
      <c r="J333" s="298" t="s">
        <v>257</v>
      </c>
      <c r="K333" s="299">
        <v>31255</v>
      </c>
      <c r="L333" s="300">
        <v>5</v>
      </c>
      <c r="Q333" s="264" t="s">
        <v>2805</v>
      </c>
      <c r="R333" s="265">
        <v>41454</v>
      </c>
      <c r="S333" s="265">
        <v>42443</v>
      </c>
      <c r="T333" s="39">
        <f t="shared" si="17"/>
        <v>989</v>
      </c>
    </row>
    <row r="334" spans="1:20">
      <c r="A334" s="301" t="s">
        <v>534</v>
      </c>
      <c r="B334" s="302" t="s">
        <v>245</v>
      </c>
      <c r="C334" s="303" t="s">
        <v>465</v>
      </c>
      <c r="D334" s="304">
        <v>661850671</v>
      </c>
      <c r="E334" s="305">
        <v>2528405900</v>
      </c>
      <c r="F334" s="303" t="s">
        <v>252</v>
      </c>
      <c r="G334" s="306">
        <v>36739</v>
      </c>
      <c r="H334" s="307" t="str">
        <f t="shared" si="15"/>
        <v>August</v>
      </c>
      <c r="I334" s="308">
        <f t="shared" ca="1" si="16"/>
        <v>16</v>
      </c>
      <c r="J334" s="308"/>
      <c r="K334" s="309">
        <v>29176</v>
      </c>
      <c r="L334" s="310">
        <v>3</v>
      </c>
      <c r="Q334" s="264" t="s">
        <v>2804</v>
      </c>
      <c r="R334" s="265">
        <v>42141</v>
      </c>
      <c r="S334" s="265">
        <v>42559</v>
      </c>
      <c r="T334" s="39">
        <f t="shared" si="17"/>
        <v>418</v>
      </c>
    </row>
    <row r="335" spans="1:20">
      <c r="A335" s="291" t="s">
        <v>892</v>
      </c>
      <c r="B335" s="292" t="s">
        <v>251</v>
      </c>
      <c r="C335" s="293" t="s">
        <v>856</v>
      </c>
      <c r="D335" s="294">
        <v>265993407</v>
      </c>
      <c r="E335" s="295">
        <v>9193558443</v>
      </c>
      <c r="F335" s="293" t="s">
        <v>247</v>
      </c>
      <c r="G335" s="296">
        <v>34192</v>
      </c>
      <c r="H335" s="297" t="str">
        <f t="shared" si="15"/>
        <v>August</v>
      </c>
      <c r="I335" s="298">
        <f t="shared" ca="1" si="16"/>
        <v>23</v>
      </c>
      <c r="J335" s="298"/>
      <c r="K335" s="299">
        <v>89450</v>
      </c>
      <c r="L335" s="300">
        <v>2</v>
      </c>
      <c r="Q335" s="264" t="s">
        <v>2803</v>
      </c>
      <c r="R335" s="265">
        <v>41629</v>
      </c>
      <c r="S335" s="265">
        <v>42379</v>
      </c>
      <c r="T335" s="39">
        <f t="shared" si="17"/>
        <v>750</v>
      </c>
    </row>
    <row r="336" spans="1:20">
      <c r="A336" s="301" t="s">
        <v>645</v>
      </c>
      <c r="B336" s="302" t="s">
        <v>285</v>
      </c>
      <c r="C336" s="303" t="s">
        <v>767</v>
      </c>
      <c r="D336" s="304">
        <v>302170290</v>
      </c>
      <c r="E336" s="305">
        <v>9191971988</v>
      </c>
      <c r="F336" s="303" t="s">
        <v>256</v>
      </c>
      <c r="G336" s="306">
        <v>36438</v>
      </c>
      <c r="H336" s="307" t="str">
        <f t="shared" si="15"/>
        <v>October</v>
      </c>
      <c r="I336" s="308">
        <f t="shared" ca="1" si="16"/>
        <v>17</v>
      </c>
      <c r="J336" s="308" t="s">
        <v>257</v>
      </c>
      <c r="K336" s="309">
        <v>63270</v>
      </c>
      <c r="L336" s="310">
        <v>1</v>
      </c>
      <c r="Q336" s="264" t="s">
        <v>2802</v>
      </c>
      <c r="R336" s="265">
        <v>41566</v>
      </c>
      <c r="S336" s="265">
        <v>42201</v>
      </c>
      <c r="T336" s="39">
        <f t="shared" si="17"/>
        <v>635</v>
      </c>
    </row>
    <row r="337" spans="1:20">
      <c r="A337" s="291" t="s">
        <v>535</v>
      </c>
      <c r="B337" s="292" t="s">
        <v>271</v>
      </c>
      <c r="C337" s="293" t="s">
        <v>856</v>
      </c>
      <c r="D337" s="294">
        <v>412159105</v>
      </c>
      <c r="E337" s="295">
        <v>9198252392</v>
      </c>
      <c r="F337" s="293" t="s">
        <v>252</v>
      </c>
      <c r="G337" s="296">
        <v>36312</v>
      </c>
      <c r="H337" s="297" t="str">
        <f t="shared" si="15"/>
        <v>June</v>
      </c>
      <c r="I337" s="298">
        <f t="shared" ca="1" si="16"/>
        <v>17</v>
      </c>
      <c r="J337" s="298"/>
      <c r="K337" s="299">
        <v>33508</v>
      </c>
      <c r="L337" s="300">
        <v>4</v>
      </c>
      <c r="Q337" s="264" t="s">
        <v>2801</v>
      </c>
      <c r="R337" s="265">
        <v>41325</v>
      </c>
      <c r="S337" s="265">
        <v>41898</v>
      </c>
      <c r="T337" s="39">
        <f t="shared" si="17"/>
        <v>573</v>
      </c>
    </row>
    <row r="338" spans="1:20">
      <c r="A338" s="301" t="s">
        <v>970</v>
      </c>
      <c r="B338" s="302" t="s">
        <v>251</v>
      </c>
      <c r="C338" s="303" t="s">
        <v>312</v>
      </c>
      <c r="D338" s="304">
        <v>877122222</v>
      </c>
      <c r="E338" s="305">
        <v>9195511103</v>
      </c>
      <c r="F338" s="303" t="s">
        <v>256</v>
      </c>
      <c r="G338" s="306">
        <v>41485</v>
      </c>
      <c r="H338" s="307" t="str">
        <f t="shared" si="15"/>
        <v>July</v>
      </c>
      <c r="I338" s="308">
        <f t="shared" ca="1" si="16"/>
        <v>3</v>
      </c>
      <c r="J338" s="308" t="s">
        <v>276</v>
      </c>
      <c r="K338" s="309">
        <v>74710</v>
      </c>
      <c r="L338" s="310">
        <v>2</v>
      </c>
      <c r="Q338" s="264" t="s">
        <v>2800</v>
      </c>
      <c r="R338" s="265">
        <v>41719</v>
      </c>
      <c r="S338" s="265">
        <v>42243</v>
      </c>
      <c r="T338" s="39">
        <f t="shared" si="17"/>
        <v>524</v>
      </c>
    </row>
    <row r="339" spans="1:20">
      <c r="A339" s="291" t="s">
        <v>813</v>
      </c>
      <c r="B339" s="292" t="s">
        <v>285</v>
      </c>
      <c r="C339" s="293" t="s">
        <v>272</v>
      </c>
      <c r="D339" s="294">
        <v>542051793</v>
      </c>
      <c r="E339" s="295">
        <v>2527317354</v>
      </c>
      <c r="F339" s="293" t="s">
        <v>256</v>
      </c>
      <c r="G339" s="296">
        <v>37170</v>
      </c>
      <c r="H339" s="297" t="str">
        <f t="shared" si="15"/>
        <v>October</v>
      </c>
      <c r="I339" s="298">
        <f t="shared" ca="1" si="16"/>
        <v>15</v>
      </c>
      <c r="J339" s="298" t="s">
        <v>257</v>
      </c>
      <c r="K339" s="299">
        <v>75150</v>
      </c>
      <c r="L339" s="300">
        <v>1</v>
      </c>
      <c r="Q339" s="264" t="s">
        <v>2799</v>
      </c>
      <c r="R339" s="265">
        <v>40953</v>
      </c>
      <c r="S339" s="265">
        <v>41587</v>
      </c>
      <c r="T339" s="39">
        <f t="shared" si="17"/>
        <v>634</v>
      </c>
    </row>
    <row r="340" spans="1:20">
      <c r="A340" s="301" t="s">
        <v>536</v>
      </c>
      <c r="B340" s="302" t="s">
        <v>285</v>
      </c>
      <c r="C340" s="303" t="s">
        <v>465</v>
      </c>
      <c r="D340" s="304">
        <v>914330398</v>
      </c>
      <c r="E340" s="305">
        <v>9193498222</v>
      </c>
      <c r="F340" s="303" t="s">
        <v>256</v>
      </c>
      <c r="G340" s="306">
        <v>39731</v>
      </c>
      <c r="H340" s="307" t="str">
        <f t="shared" si="15"/>
        <v>October</v>
      </c>
      <c r="I340" s="308">
        <f t="shared" ca="1" si="16"/>
        <v>8</v>
      </c>
      <c r="J340" s="308" t="s">
        <v>283</v>
      </c>
      <c r="K340" s="309">
        <v>65720</v>
      </c>
      <c r="L340" s="310">
        <v>1</v>
      </c>
      <c r="Q340" s="264" t="s">
        <v>2798</v>
      </c>
      <c r="R340" s="265">
        <v>41268</v>
      </c>
      <c r="S340" s="265">
        <v>42009</v>
      </c>
      <c r="T340" s="39">
        <f t="shared" si="17"/>
        <v>741</v>
      </c>
    </row>
    <row r="341" spans="1:20">
      <c r="A341" s="291" t="s">
        <v>397</v>
      </c>
      <c r="B341" s="292" t="s">
        <v>285</v>
      </c>
      <c r="C341" s="293" t="s">
        <v>465</v>
      </c>
      <c r="D341" s="294">
        <v>243062914</v>
      </c>
      <c r="E341" s="295">
        <v>9194018412</v>
      </c>
      <c r="F341" s="293" t="s">
        <v>256</v>
      </c>
      <c r="G341" s="296">
        <v>36109</v>
      </c>
      <c r="H341" s="297" t="str">
        <f t="shared" si="15"/>
        <v>November</v>
      </c>
      <c r="I341" s="298">
        <f t="shared" ca="1" si="16"/>
        <v>18</v>
      </c>
      <c r="J341" s="298" t="s">
        <v>257</v>
      </c>
      <c r="K341" s="299">
        <v>73450</v>
      </c>
      <c r="L341" s="300">
        <v>3</v>
      </c>
      <c r="Q341" s="264" t="s">
        <v>2797</v>
      </c>
      <c r="R341" s="265">
        <v>42369</v>
      </c>
      <c r="S341" s="265">
        <v>43120</v>
      </c>
      <c r="T341" s="39">
        <f t="shared" si="17"/>
        <v>751</v>
      </c>
    </row>
    <row r="342" spans="1:20">
      <c r="A342" s="301" t="s">
        <v>646</v>
      </c>
      <c r="B342" s="302" t="s">
        <v>251</v>
      </c>
      <c r="C342" s="303" t="s">
        <v>372</v>
      </c>
      <c r="D342" s="304">
        <v>640301378</v>
      </c>
      <c r="E342" s="305">
        <v>2524663056</v>
      </c>
      <c r="F342" s="303" t="s">
        <v>261</v>
      </c>
      <c r="G342" s="306">
        <v>41415</v>
      </c>
      <c r="H342" s="307" t="str">
        <f t="shared" si="15"/>
        <v>May</v>
      </c>
      <c r="I342" s="308">
        <f t="shared" ca="1" si="16"/>
        <v>3</v>
      </c>
      <c r="J342" s="308" t="s">
        <v>283</v>
      </c>
      <c r="K342" s="309">
        <v>46230</v>
      </c>
      <c r="L342" s="310">
        <v>2</v>
      </c>
      <c r="Q342" s="264" t="s">
        <v>2796</v>
      </c>
      <c r="R342" s="265">
        <v>42021</v>
      </c>
      <c r="S342" s="265">
        <v>42714</v>
      </c>
      <c r="T342" s="39">
        <f t="shared" si="17"/>
        <v>693</v>
      </c>
    </row>
    <row r="343" spans="1:20">
      <c r="A343" s="291" t="s">
        <v>814</v>
      </c>
      <c r="B343" s="292" t="s">
        <v>266</v>
      </c>
      <c r="C343" s="293" t="s">
        <v>1031</v>
      </c>
      <c r="D343" s="294">
        <v>827277063</v>
      </c>
      <c r="E343" s="295">
        <v>2528873234</v>
      </c>
      <c r="F343" s="293" t="s">
        <v>252</v>
      </c>
      <c r="G343" s="296">
        <v>41453</v>
      </c>
      <c r="H343" s="297" t="str">
        <f t="shared" si="15"/>
        <v>June</v>
      </c>
      <c r="I343" s="298">
        <f t="shared" ca="1" si="16"/>
        <v>3</v>
      </c>
      <c r="J343" s="298"/>
      <c r="K343" s="299">
        <v>19044</v>
      </c>
      <c r="L343" s="300">
        <v>1</v>
      </c>
      <c r="Q343" s="264" t="s">
        <v>2795</v>
      </c>
      <c r="R343" s="265">
        <v>41655</v>
      </c>
      <c r="S343" s="265">
        <v>41888</v>
      </c>
      <c r="T343" s="39">
        <f t="shared" si="17"/>
        <v>233</v>
      </c>
    </row>
    <row r="344" spans="1:20">
      <c r="A344" s="301" t="s">
        <v>537</v>
      </c>
      <c r="B344" s="302" t="s">
        <v>285</v>
      </c>
      <c r="C344" s="303" t="s">
        <v>465</v>
      </c>
      <c r="D344" s="304">
        <v>291715078</v>
      </c>
      <c r="E344" s="305">
        <v>9197662359</v>
      </c>
      <c r="F344" s="303" t="s">
        <v>256</v>
      </c>
      <c r="G344" s="306">
        <v>34523</v>
      </c>
      <c r="H344" s="307" t="str">
        <f t="shared" si="15"/>
        <v>July</v>
      </c>
      <c r="I344" s="308">
        <f t="shared" ca="1" si="16"/>
        <v>22</v>
      </c>
      <c r="J344" s="308" t="s">
        <v>586</v>
      </c>
      <c r="K344" s="309">
        <v>56900</v>
      </c>
      <c r="L344" s="310">
        <v>5</v>
      </c>
      <c r="Q344" s="264" t="s">
        <v>2794</v>
      </c>
      <c r="R344" s="265">
        <v>41476</v>
      </c>
      <c r="S344" s="265">
        <v>42308</v>
      </c>
      <c r="T344" s="39">
        <f t="shared" si="17"/>
        <v>832</v>
      </c>
    </row>
    <row r="345" spans="1:20">
      <c r="A345" s="291" t="s">
        <v>334</v>
      </c>
      <c r="B345" s="292" t="s">
        <v>251</v>
      </c>
      <c r="C345" s="293" t="s">
        <v>856</v>
      </c>
      <c r="D345" s="294">
        <v>626501093</v>
      </c>
      <c r="E345" s="295">
        <v>9192822520</v>
      </c>
      <c r="F345" s="293" t="s">
        <v>247</v>
      </c>
      <c r="G345" s="296">
        <v>38937</v>
      </c>
      <c r="H345" s="297" t="str">
        <f t="shared" si="15"/>
        <v>August</v>
      </c>
      <c r="I345" s="298">
        <f t="shared" ca="1" si="16"/>
        <v>10</v>
      </c>
      <c r="J345" s="298"/>
      <c r="K345" s="299">
        <v>64590</v>
      </c>
      <c r="L345" s="300">
        <v>1</v>
      </c>
      <c r="Q345" s="264" t="s">
        <v>2793</v>
      </c>
      <c r="R345" s="265">
        <v>41958</v>
      </c>
      <c r="S345" s="265">
        <v>42145</v>
      </c>
      <c r="T345" s="39">
        <f t="shared" si="17"/>
        <v>187</v>
      </c>
    </row>
    <row r="346" spans="1:20">
      <c r="A346" s="301" t="s">
        <v>815</v>
      </c>
      <c r="B346" s="302" t="s">
        <v>266</v>
      </c>
      <c r="C346" s="303" t="s">
        <v>391</v>
      </c>
      <c r="D346" s="304">
        <v>707882019</v>
      </c>
      <c r="E346" s="305">
        <v>2523373445</v>
      </c>
      <c r="F346" s="303" t="s">
        <v>247</v>
      </c>
      <c r="G346" s="306">
        <v>37252</v>
      </c>
      <c r="H346" s="307" t="str">
        <f t="shared" si="15"/>
        <v>December</v>
      </c>
      <c r="I346" s="308">
        <f t="shared" ca="1" si="16"/>
        <v>14</v>
      </c>
      <c r="J346" s="308"/>
      <c r="K346" s="309">
        <v>86970</v>
      </c>
      <c r="L346" s="310">
        <v>4</v>
      </c>
      <c r="Q346" s="264" t="s">
        <v>2792</v>
      </c>
      <c r="R346" s="265">
        <v>41925</v>
      </c>
      <c r="S346" s="265">
        <v>42174</v>
      </c>
      <c r="T346" s="39">
        <f t="shared" si="17"/>
        <v>249</v>
      </c>
    </row>
    <row r="347" spans="1:20">
      <c r="A347" s="291" t="s">
        <v>816</v>
      </c>
      <c r="B347" s="292" t="s">
        <v>266</v>
      </c>
      <c r="C347" s="293" t="s">
        <v>705</v>
      </c>
      <c r="D347" s="294">
        <v>443238477</v>
      </c>
      <c r="E347" s="295">
        <v>9198624601</v>
      </c>
      <c r="F347" s="293" t="s">
        <v>256</v>
      </c>
      <c r="G347" s="296">
        <v>40588</v>
      </c>
      <c r="H347" s="297" t="str">
        <f t="shared" si="15"/>
        <v>February</v>
      </c>
      <c r="I347" s="298">
        <f t="shared" ca="1" si="16"/>
        <v>5</v>
      </c>
      <c r="J347" s="298" t="s">
        <v>283</v>
      </c>
      <c r="K347" s="299">
        <v>80090</v>
      </c>
      <c r="L347" s="300">
        <v>2</v>
      </c>
      <c r="Q347" s="264" t="s">
        <v>2791</v>
      </c>
      <c r="R347" s="265">
        <v>41957</v>
      </c>
      <c r="S347" s="265">
        <v>42605</v>
      </c>
      <c r="T347" s="39">
        <f t="shared" si="17"/>
        <v>648</v>
      </c>
    </row>
    <row r="348" spans="1:20">
      <c r="A348" s="301" t="s">
        <v>817</v>
      </c>
      <c r="B348" s="302" t="s">
        <v>251</v>
      </c>
      <c r="C348" s="303" t="s">
        <v>312</v>
      </c>
      <c r="D348" s="304">
        <v>344090854</v>
      </c>
      <c r="E348" s="305">
        <v>2523542524</v>
      </c>
      <c r="F348" s="303" t="s">
        <v>256</v>
      </c>
      <c r="G348" s="306">
        <v>36107</v>
      </c>
      <c r="H348" s="307" t="str">
        <f t="shared" si="15"/>
        <v>November</v>
      </c>
      <c r="I348" s="308">
        <f t="shared" ca="1" si="16"/>
        <v>18</v>
      </c>
      <c r="J348" s="308" t="s">
        <v>276</v>
      </c>
      <c r="K348" s="309">
        <v>82120</v>
      </c>
      <c r="L348" s="310">
        <v>5</v>
      </c>
      <c r="Q348" s="264" t="s">
        <v>2790</v>
      </c>
      <c r="R348" s="265">
        <v>41249</v>
      </c>
      <c r="S348" s="265">
        <v>41621</v>
      </c>
      <c r="T348" s="39">
        <f t="shared" si="17"/>
        <v>372</v>
      </c>
    </row>
    <row r="349" spans="1:20">
      <c r="A349" s="291" t="s">
        <v>647</v>
      </c>
      <c r="B349" s="292" t="s">
        <v>245</v>
      </c>
      <c r="C349" s="293" t="s">
        <v>465</v>
      </c>
      <c r="D349" s="294">
        <v>354619285</v>
      </c>
      <c r="E349" s="295">
        <v>2526657361</v>
      </c>
      <c r="F349" s="293" t="s">
        <v>256</v>
      </c>
      <c r="G349" s="296">
        <v>37032</v>
      </c>
      <c r="H349" s="297" t="str">
        <f t="shared" si="15"/>
        <v>May</v>
      </c>
      <c r="I349" s="298">
        <f t="shared" ca="1" si="16"/>
        <v>15</v>
      </c>
      <c r="J349" s="298" t="s">
        <v>262</v>
      </c>
      <c r="K349" s="299">
        <v>22660</v>
      </c>
      <c r="L349" s="300">
        <v>2</v>
      </c>
      <c r="Q349" s="264" t="s">
        <v>2789</v>
      </c>
      <c r="R349" s="265">
        <v>42369</v>
      </c>
      <c r="S349" s="265">
        <v>43220</v>
      </c>
      <c r="T349" s="39">
        <f t="shared" si="17"/>
        <v>851</v>
      </c>
    </row>
    <row r="350" spans="1:20">
      <c r="A350" s="301" t="s">
        <v>971</v>
      </c>
      <c r="B350" s="302" t="s">
        <v>245</v>
      </c>
      <c r="C350" s="303" t="s">
        <v>465</v>
      </c>
      <c r="D350" s="304">
        <v>361925033</v>
      </c>
      <c r="E350" s="305">
        <v>9196633751</v>
      </c>
      <c r="F350" s="303" t="s">
        <v>247</v>
      </c>
      <c r="G350" s="306">
        <v>39199</v>
      </c>
      <c r="H350" s="307" t="str">
        <f t="shared" si="15"/>
        <v>April</v>
      </c>
      <c r="I350" s="308">
        <f t="shared" ca="1" si="16"/>
        <v>9</v>
      </c>
      <c r="J350" s="308"/>
      <c r="K350" s="309">
        <v>71830</v>
      </c>
      <c r="L350" s="310">
        <v>3</v>
      </c>
      <c r="Q350" s="264" t="s">
        <v>2788</v>
      </c>
      <c r="R350" s="265">
        <v>40992</v>
      </c>
      <c r="S350" s="265">
        <v>41240</v>
      </c>
      <c r="T350" s="39">
        <f t="shared" si="17"/>
        <v>248</v>
      </c>
    </row>
    <row r="351" spans="1:20">
      <c r="A351" s="291" t="s">
        <v>648</v>
      </c>
      <c r="B351" s="292" t="s">
        <v>271</v>
      </c>
      <c r="C351" s="293" t="s">
        <v>372</v>
      </c>
      <c r="D351" s="294">
        <v>106966222</v>
      </c>
      <c r="E351" s="295">
        <v>9198310129</v>
      </c>
      <c r="F351" s="293" t="s">
        <v>247</v>
      </c>
      <c r="G351" s="296">
        <v>40439</v>
      </c>
      <c r="H351" s="297" t="str">
        <f t="shared" si="15"/>
        <v>September</v>
      </c>
      <c r="I351" s="298">
        <f t="shared" ca="1" si="16"/>
        <v>6</v>
      </c>
      <c r="J351" s="298"/>
      <c r="K351" s="299">
        <v>35620</v>
      </c>
      <c r="L351" s="300">
        <v>4</v>
      </c>
      <c r="Q351" s="264" t="s">
        <v>2787</v>
      </c>
      <c r="R351" s="265">
        <v>41395</v>
      </c>
      <c r="S351" s="265">
        <v>42348</v>
      </c>
      <c r="T351" s="39">
        <f t="shared" si="17"/>
        <v>953</v>
      </c>
    </row>
    <row r="352" spans="1:20">
      <c r="A352" s="301" t="s">
        <v>893</v>
      </c>
      <c r="B352" s="302" t="s">
        <v>271</v>
      </c>
      <c r="C352" s="303" t="s">
        <v>626</v>
      </c>
      <c r="D352" s="304">
        <v>555025137</v>
      </c>
      <c r="E352" s="305">
        <v>2526565171</v>
      </c>
      <c r="F352" s="303" t="s">
        <v>261</v>
      </c>
      <c r="G352" s="306">
        <v>34229</v>
      </c>
      <c r="H352" s="307" t="str">
        <f t="shared" si="15"/>
        <v>September</v>
      </c>
      <c r="I352" s="308">
        <f t="shared" ca="1" si="16"/>
        <v>23</v>
      </c>
      <c r="J352" s="308" t="s">
        <v>267</v>
      </c>
      <c r="K352" s="309">
        <v>13090</v>
      </c>
      <c r="L352" s="310">
        <v>4</v>
      </c>
      <c r="Q352" s="264" t="s">
        <v>2786</v>
      </c>
      <c r="R352" s="265">
        <v>41228</v>
      </c>
      <c r="S352" s="265">
        <v>41654</v>
      </c>
      <c r="T352" s="39">
        <f t="shared" si="17"/>
        <v>426</v>
      </c>
    </row>
    <row r="353" spans="1:20">
      <c r="A353" s="291" t="s">
        <v>649</v>
      </c>
      <c r="B353" s="292" t="s">
        <v>285</v>
      </c>
      <c r="C353" s="293" t="s">
        <v>856</v>
      </c>
      <c r="D353" s="294">
        <v>932553359</v>
      </c>
      <c r="E353" s="295">
        <v>9192376215</v>
      </c>
      <c r="F353" s="293" t="s">
        <v>247</v>
      </c>
      <c r="G353" s="296">
        <v>40630</v>
      </c>
      <c r="H353" s="297" t="str">
        <f t="shared" si="15"/>
        <v>March</v>
      </c>
      <c r="I353" s="298">
        <f t="shared" ca="1" si="16"/>
        <v>5</v>
      </c>
      <c r="J353" s="298"/>
      <c r="K353" s="299">
        <v>43320</v>
      </c>
      <c r="L353" s="300">
        <v>5</v>
      </c>
      <c r="Q353" s="264" t="s">
        <v>2785</v>
      </c>
      <c r="R353" s="265">
        <v>41264</v>
      </c>
      <c r="S353" s="265">
        <v>41492</v>
      </c>
      <c r="T353" s="39">
        <f t="shared" si="17"/>
        <v>228</v>
      </c>
    </row>
    <row r="354" spans="1:20">
      <c r="A354" s="301" t="s">
        <v>650</v>
      </c>
      <c r="B354" s="302" t="s">
        <v>271</v>
      </c>
      <c r="C354" s="303" t="s">
        <v>856</v>
      </c>
      <c r="D354" s="304">
        <v>836953739</v>
      </c>
      <c r="E354" s="305">
        <v>2526443692</v>
      </c>
      <c r="F354" s="303" t="s">
        <v>261</v>
      </c>
      <c r="G354" s="306">
        <v>37441</v>
      </c>
      <c r="H354" s="307" t="str">
        <f t="shared" si="15"/>
        <v>July</v>
      </c>
      <c r="I354" s="308">
        <f t="shared" ca="1" si="16"/>
        <v>14</v>
      </c>
      <c r="J354" s="308" t="s">
        <v>267</v>
      </c>
      <c r="K354" s="309">
        <v>20990</v>
      </c>
      <c r="L354" s="310">
        <v>4</v>
      </c>
      <c r="Q354" s="264" t="s">
        <v>2784</v>
      </c>
      <c r="R354" s="265">
        <v>41456</v>
      </c>
      <c r="S354" s="265">
        <v>41843</v>
      </c>
      <c r="T354" s="39">
        <f t="shared" si="17"/>
        <v>387</v>
      </c>
    </row>
    <row r="355" spans="1:20">
      <c r="A355" s="291" t="s">
        <v>431</v>
      </c>
      <c r="B355" s="292" t="s">
        <v>266</v>
      </c>
      <c r="C355" s="293" t="s">
        <v>626</v>
      </c>
      <c r="D355" s="294">
        <v>650784238</v>
      </c>
      <c r="E355" s="295">
        <v>9194679864</v>
      </c>
      <c r="F355" s="293" t="s">
        <v>247</v>
      </c>
      <c r="G355" s="296">
        <v>36428</v>
      </c>
      <c r="H355" s="297" t="str">
        <f t="shared" si="15"/>
        <v>September</v>
      </c>
      <c r="I355" s="298">
        <f t="shared" ca="1" si="16"/>
        <v>17</v>
      </c>
      <c r="J355" s="298"/>
      <c r="K355" s="299">
        <v>53870</v>
      </c>
      <c r="L355" s="300">
        <v>2</v>
      </c>
      <c r="Q355" s="264" t="s">
        <v>2783</v>
      </c>
      <c r="R355" s="265">
        <v>41533</v>
      </c>
      <c r="S355" s="265">
        <v>42166</v>
      </c>
      <c r="T355" s="39">
        <f t="shared" si="17"/>
        <v>633</v>
      </c>
    </row>
    <row r="356" spans="1:20">
      <c r="A356" s="301" t="s">
        <v>538</v>
      </c>
      <c r="B356" s="302" t="s">
        <v>285</v>
      </c>
      <c r="C356" s="303" t="s">
        <v>705</v>
      </c>
      <c r="D356" s="304">
        <v>365499498</v>
      </c>
      <c r="E356" s="305">
        <v>2523575849</v>
      </c>
      <c r="F356" s="303" t="s">
        <v>256</v>
      </c>
      <c r="G356" s="306">
        <v>39717</v>
      </c>
      <c r="H356" s="307" t="str">
        <f t="shared" si="15"/>
        <v>September</v>
      </c>
      <c r="I356" s="308">
        <f t="shared" ca="1" si="16"/>
        <v>8</v>
      </c>
      <c r="J356" s="308" t="s">
        <v>257</v>
      </c>
      <c r="K356" s="309">
        <v>47060</v>
      </c>
      <c r="L356" s="310">
        <v>4</v>
      </c>
      <c r="Q356" s="264" t="s">
        <v>2782</v>
      </c>
      <c r="R356" s="265">
        <v>42145</v>
      </c>
      <c r="S356" s="265">
        <v>42485</v>
      </c>
      <c r="T356" s="39">
        <f t="shared" si="17"/>
        <v>340</v>
      </c>
    </row>
    <row r="357" spans="1:20">
      <c r="A357" s="291" t="s">
        <v>375</v>
      </c>
      <c r="B357" s="292" t="s">
        <v>285</v>
      </c>
      <c r="C357" s="293" t="s">
        <v>705</v>
      </c>
      <c r="D357" s="294">
        <v>145240921</v>
      </c>
      <c r="E357" s="295">
        <v>2525227751</v>
      </c>
      <c r="F357" s="293" t="s">
        <v>256</v>
      </c>
      <c r="G357" s="296">
        <v>40314</v>
      </c>
      <c r="H357" s="297" t="str">
        <f t="shared" si="15"/>
        <v>May</v>
      </c>
      <c r="I357" s="298">
        <f t="shared" ca="1" si="16"/>
        <v>6</v>
      </c>
      <c r="J357" s="298" t="s">
        <v>267</v>
      </c>
      <c r="K357" s="299">
        <v>50990</v>
      </c>
      <c r="L357" s="300">
        <v>4</v>
      </c>
      <c r="Q357" s="264" t="s">
        <v>2781</v>
      </c>
      <c r="R357" s="265">
        <v>41102</v>
      </c>
      <c r="S357" s="265">
        <v>41592</v>
      </c>
      <c r="T357" s="39">
        <f t="shared" si="17"/>
        <v>490</v>
      </c>
    </row>
    <row r="358" spans="1:20">
      <c r="A358" s="301" t="s">
        <v>972</v>
      </c>
      <c r="B358" s="302" t="s">
        <v>245</v>
      </c>
      <c r="C358" s="303" t="s">
        <v>312</v>
      </c>
      <c r="D358" s="304">
        <v>648911225</v>
      </c>
      <c r="E358" s="305">
        <v>2525829090</v>
      </c>
      <c r="F358" s="303" t="s">
        <v>247</v>
      </c>
      <c r="G358" s="306">
        <v>34891</v>
      </c>
      <c r="H358" s="307" t="str">
        <f t="shared" si="15"/>
        <v>July</v>
      </c>
      <c r="I358" s="308">
        <f t="shared" ca="1" si="16"/>
        <v>21</v>
      </c>
      <c r="J358" s="308"/>
      <c r="K358" s="309">
        <v>83020</v>
      </c>
      <c r="L358" s="310">
        <v>4</v>
      </c>
      <c r="Q358" s="264" t="s">
        <v>2780</v>
      </c>
      <c r="R358" s="265">
        <v>42265</v>
      </c>
      <c r="S358" s="265">
        <v>43255</v>
      </c>
      <c r="T358" s="39">
        <f t="shared" si="17"/>
        <v>990</v>
      </c>
    </row>
    <row r="359" spans="1:20">
      <c r="A359" s="291" t="s">
        <v>973</v>
      </c>
      <c r="B359" s="292" t="s">
        <v>280</v>
      </c>
      <c r="C359" s="293" t="s">
        <v>456</v>
      </c>
      <c r="D359" s="294">
        <v>477110649</v>
      </c>
      <c r="E359" s="295">
        <v>9191351512</v>
      </c>
      <c r="F359" s="293" t="s">
        <v>256</v>
      </c>
      <c r="G359" s="296">
        <v>37953</v>
      </c>
      <c r="H359" s="297" t="str">
        <f t="shared" si="15"/>
        <v>November</v>
      </c>
      <c r="I359" s="298">
        <f t="shared" ca="1" si="16"/>
        <v>12</v>
      </c>
      <c r="J359" s="298" t="s">
        <v>262</v>
      </c>
      <c r="K359" s="299">
        <v>45150</v>
      </c>
      <c r="L359" s="300">
        <v>1</v>
      </c>
      <c r="Q359" s="264" t="s">
        <v>2779</v>
      </c>
      <c r="R359" s="265">
        <v>41617</v>
      </c>
      <c r="S359" s="265">
        <v>42387</v>
      </c>
      <c r="T359" s="39">
        <f t="shared" si="17"/>
        <v>770</v>
      </c>
    </row>
    <row r="360" spans="1:20">
      <c r="A360" s="301" t="s">
        <v>974</v>
      </c>
      <c r="B360" s="302" t="s">
        <v>271</v>
      </c>
      <c r="C360" s="303" t="s">
        <v>767</v>
      </c>
      <c r="D360" s="304">
        <v>880747384</v>
      </c>
      <c r="E360" s="305">
        <v>9195220001</v>
      </c>
      <c r="F360" s="303" t="s">
        <v>256</v>
      </c>
      <c r="G360" s="306">
        <v>34436</v>
      </c>
      <c r="H360" s="307" t="str">
        <f t="shared" si="15"/>
        <v>April</v>
      </c>
      <c r="I360" s="308">
        <f t="shared" ca="1" si="16"/>
        <v>22</v>
      </c>
      <c r="J360" s="308" t="s">
        <v>267</v>
      </c>
      <c r="K360" s="309">
        <v>79400</v>
      </c>
      <c r="L360" s="310">
        <v>4</v>
      </c>
      <c r="Q360" s="264" t="s">
        <v>2778</v>
      </c>
      <c r="R360" s="265">
        <v>40924</v>
      </c>
      <c r="S360" s="265">
        <v>41726</v>
      </c>
      <c r="T360" s="39">
        <f t="shared" si="17"/>
        <v>802</v>
      </c>
    </row>
    <row r="361" spans="1:20">
      <c r="A361" s="291" t="s">
        <v>686</v>
      </c>
      <c r="B361" s="292" t="s">
        <v>251</v>
      </c>
      <c r="C361" s="293" t="s">
        <v>930</v>
      </c>
      <c r="D361" s="294">
        <v>799754905</v>
      </c>
      <c r="E361" s="295">
        <v>2526757210</v>
      </c>
      <c r="F361" s="293" t="s">
        <v>256</v>
      </c>
      <c r="G361" s="296">
        <v>36217</v>
      </c>
      <c r="H361" s="297" t="str">
        <f t="shared" si="15"/>
        <v>February</v>
      </c>
      <c r="I361" s="298">
        <f t="shared" ca="1" si="16"/>
        <v>17</v>
      </c>
      <c r="J361" s="298" t="s">
        <v>257</v>
      </c>
      <c r="K361" s="299">
        <v>31690</v>
      </c>
      <c r="L361" s="300">
        <v>4</v>
      </c>
      <c r="Q361" s="264" t="s">
        <v>2777</v>
      </c>
      <c r="R361" s="265">
        <v>42363</v>
      </c>
      <c r="S361" s="265">
        <v>42959</v>
      </c>
      <c r="T361" s="39">
        <f t="shared" si="17"/>
        <v>596</v>
      </c>
    </row>
    <row r="362" spans="1:20">
      <c r="A362" s="301" t="s">
        <v>539</v>
      </c>
      <c r="B362" s="302" t="s">
        <v>285</v>
      </c>
      <c r="C362" s="303" t="s">
        <v>618</v>
      </c>
      <c r="D362" s="304">
        <v>214234804</v>
      </c>
      <c r="E362" s="305">
        <v>2528908079</v>
      </c>
      <c r="F362" s="303" t="s">
        <v>256</v>
      </c>
      <c r="G362" s="306">
        <v>38846</v>
      </c>
      <c r="H362" s="307" t="str">
        <f t="shared" si="15"/>
        <v>May</v>
      </c>
      <c r="I362" s="308">
        <f t="shared" ca="1" si="16"/>
        <v>10</v>
      </c>
      <c r="J362" s="308" t="s">
        <v>283</v>
      </c>
      <c r="K362" s="309">
        <v>53870</v>
      </c>
      <c r="L362" s="310">
        <v>2</v>
      </c>
      <c r="Q362" s="264" t="s">
        <v>2776</v>
      </c>
      <c r="R362" s="265">
        <v>41603</v>
      </c>
      <c r="S362" s="265">
        <v>42232</v>
      </c>
      <c r="T362" s="39">
        <f t="shared" si="17"/>
        <v>629</v>
      </c>
    </row>
    <row r="363" spans="1:20">
      <c r="A363" s="291" t="s">
        <v>975</v>
      </c>
      <c r="B363" s="292" t="s">
        <v>245</v>
      </c>
      <c r="C363" s="293" t="s">
        <v>767</v>
      </c>
      <c r="D363" s="294">
        <v>525699951</v>
      </c>
      <c r="E363" s="295">
        <v>9198400261</v>
      </c>
      <c r="F363" s="293" t="s">
        <v>252</v>
      </c>
      <c r="G363" s="296">
        <v>36856</v>
      </c>
      <c r="H363" s="297" t="str">
        <f t="shared" si="15"/>
        <v>November</v>
      </c>
      <c r="I363" s="298">
        <f t="shared" ca="1" si="16"/>
        <v>15</v>
      </c>
      <c r="J363" s="298"/>
      <c r="K363" s="299">
        <v>14332</v>
      </c>
      <c r="L363" s="300">
        <v>5</v>
      </c>
      <c r="Q363" s="264" t="s">
        <v>2775</v>
      </c>
      <c r="R363" s="265">
        <v>42318</v>
      </c>
      <c r="S363" s="265">
        <v>42782</v>
      </c>
      <c r="T363" s="39">
        <f t="shared" si="17"/>
        <v>464</v>
      </c>
    </row>
    <row r="364" spans="1:20">
      <c r="A364" s="301" t="s">
        <v>335</v>
      </c>
      <c r="B364" s="302" t="s">
        <v>271</v>
      </c>
      <c r="C364" s="303" t="s">
        <v>465</v>
      </c>
      <c r="D364" s="304">
        <v>687006783</v>
      </c>
      <c r="E364" s="305">
        <v>2524919418</v>
      </c>
      <c r="F364" s="303" t="s">
        <v>247</v>
      </c>
      <c r="G364" s="306">
        <v>36289</v>
      </c>
      <c r="H364" s="307" t="str">
        <f t="shared" si="15"/>
        <v>May</v>
      </c>
      <c r="I364" s="308">
        <f t="shared" ca="1" si="16"/>
        <v>17</v>
      </c>
      <c r="J364" s="308"/>
      <c r="K364" s="309">
        <v>66010</v>
      </c>
      <c r="L364" s="310">
        <v>2</v>
      </c>
      <c r="Q364" s="264" t="s">
        <v>2774</v>
      </c>
      <c r="R364" s="265">
        <v>40954</v>
      </c>
      <c r="S364" s="265">
        <v>41275</v>
      </c>
      <c r="T364" s="39">
        <f t="shared" si="17"/>
        <v>321</v>
      </c>
    </row>
    <row r="365" spans="1:20">
      <c r="A365" s="291" t="s">
        <v>376</v>
      </c>
      <c r="B365" s="292" t="s">
        <v>245</v>
      </c>
      <c r="C365" s="293" t="s">
        <v>626</v>
      </c>
      <c r="D365" s="294">
        <v>948189231</v>
      </c>
      <c r="E365" s="295">
        <v>2527687161</v>
      </c>
      <c r="F365" s="293" t="s">
        <v>256</v>
      </c>
      <c r="G365" s="296">
        <v>34612</v>
      </c>
      <c r="H365" s="297" t="str">
        <f t="shared" si="15"/>
        <v>October</v>
      </c>
      <c r="I365" s="298">
        <f t="shared" ca="1" si="16"/>
        <v>22</v>
      </c>
      <c r="J365" s="298" t="s">
        <v>257</v>
      </c>
      <c r="K365" s="299">
        <v>37020</v>
      </c>
      <c r="L365" s="300">
        <v>2</v>
      </c>
      <c r="Q365" s="264" t="s">
        <v>2773</v>
      </c>
      <c r="R365" s="265">
        <v>41009</v>
      </c>
      <c r="S365" s="265">
        <v>41630</v>
      </c>
      <c r="T365" s="39">
        <f t="shared" si="17"/>
        <v>621</v>
      </c>
    </row>
    <row r="366" spans="1:20">
      <c r="A366" s="301" t="s">
        <v>386</v>
      </c>
      <c r="B366" s="302" t="s">
        <v>280</v>
      </c>
      <c r="C366" s="303" t="s">
        <v>856</v>
      </c>
      <c r="D366" s="304">
        <v>614562070</v>
      </c>
      <c r="E366" s="305">
        <v>9192485673</v>
      </c>
      <c r="F366" s="303" t="s">
        <v>261</v>
      </c>
      <c r="G366" s="306">
        <v>38725</v>
      </c>
      <c r="H366" s="307" t="str">
        <f t="shared" si="15"/>
        <v>January</v>
      </c>
      <c r="I366" s="308">
        <f t="shared" ca="1" si="16"/>
        <v>10</v>
      </c>
      <c r="J366" s="308" t="s">
        <v>257</v>
      </c>
      <c r="K366" s="309">
        <v>48740</v>
      </c>
      <c r="L366" s="310">
        <v>1</v>
      </c>
      <c r="Q366" s="264" t="s">
        <v>2772</v>
      </c>
      <c r="R366" s="265">
        <v>42026</v>
      </c>
      <c r="S366" s="265">
        <v>42509</v>
      </c>
      <c r="T366" s="39">
        <f t="shared" si="17"/>
        <v>483</v>
      </c>
    </row>
    <row r="367" spans="1:20">
      <c r="A367" s="291" t="s">
        <v>894</v>
      </c>
      <c r="B367" s="292" t="s">
        <v>280</v>
      </c>
      <c r="C367" s="293" t="s">
        <v>856</v>
      </c>
      <c r="D367" s="294">
        <v>269873478</v>
      </c>
      <c r="E367" s="295">
        <v>9198244224</v>
      </c>
      <c r="F367" s="293" t="s">
        <v>256</v>
      </c>
      <c r="G367" s="296">
        <v>36625</v>
      </c>
      <c r="H367" s="297" t="str">
        <f t="shared" si="15"/>
        <v>April</v>
      </c>
      <c r="I367" s="298">
        <f t="shared" ca="1" si="16"/>
        <v>16</v>
      </c>
      <c r="J367" s="298" t="s">
        <v>283</v>
      </c>
      <c r="K367" s="299">
        <v>32120</v>
      </c>
      <c r="L367" s="300">
        <v>1</v>
      </c>
      <c r="Q367" s="264" t="s">
        <v>2771</v>
      </c>
      <c r="R367" s="265">
        <v>41878</v>
      </c>
      <c r="S367" s="265">
        <v>42325</v>
      </c>
      <c r="T367" s="39">
        <f t="shared" si="17"/>
        <v>447</v>
      </c>
    </row>
    <row r="368" spans="1:20">
      <c r="A368" s="301" t="s">
        <v>818</v>
      </c>
      <c r="B368" s="302" t="s">
        <v>251</v>
      </c>
      <c r="C368" s="303" t="s">
        <v>856</v>
      </c>
      <c r="D368" s="304">
        <v>462461365</v>
      </c>
      <c r="E368" s="305">
        <v>2527126482</v>
      </c>
      <c r="F368" s="303" t="s">
        <v>256</v>
      </c>
      <c r="G368" s="306">
        <v>34931</v>
      </c>
      <c r="H368" s="307" t="str">
        <f t="shared" si="15"/>
        <v>August</v>
      </c>
      <c r="I368" s="308">
        <f t="shared" ca="1" si="16"/>
        <v>21</v>
      </c>
      <c r="J368" s="308" t="s">
        <v>283</v>
      </c>
      <c r="K368" s="309">
        <v>45110</v>
      </c>
      <c r="L368" s="310">
        <v>2</v>
      </c>
      <c r="Q368" s="264" t="s">
        <v>2770</v>
      </c>
      <c r="R368" s="265">
        <v>42360</v>
      </c>
      <c r="S368" s="265">
        <v>42538</v>
      </c>
      <c r="T368" s="39">
        <f t="shared" si="17"/>
        <v>178</v>
      </c>
    </row>
    <row r="369" spans="1:20">
      <c r="A369" s="291" t="s">
        <v>895</v>
      </c>
      <c r="B369" s="292" t="s">
        <v>285</v>
      </c>
      <c r="C369" s="293" t="s">
        <v>930</v>
      </c>
      <c r="D369" s="294">
        <v>862698919</v>
      </c>
      <c r="E369" s="295">
        <v>2522780847</v>
      </c>
      <c r="F369" s="293" t="s">
        <v>256</v>
      </c>
      <c r="G369" s="296">
        <v>39238</v>
      </c>
      <c r="H369" s="297" t="str">
        <f t="shared" si="15"/>
        <v>June</v>
      </c>
      <c r="I369" s="298">
        <f t="shared" ca="1" si="16"/>
        <v>9</v>
      </c>
      <c r="J369" s="298" t="s">
        <v>262</v>
      </c>
      <c r="K369" s="299">
        <v>48280</v>
      </c>
      <c r="L369" s="300">
        <v>4</v>
      </c>
      <c r="Q369" s="264" t="s">
        <v>2769</v>
      </c>
      <c r="R369" s="265">
        <v>41337</v>
      </c>
      <c r="S369" s="265">
        <v>42196</v>
      </c>
      <c r="T369" s="39">
        <f t="shared" si="17"/>
        <v>859</v>
      </c>
    </row>
    <row r="370" spans="1:20">
      <c r="A370" s="301" t="s">
        <v>976</v>
      </c>
      <c r="B370" s="302" t="s">
        <v>245</v>
      </c>
      <c r="C370" s="303" t="s">
        <v>312</v>
      </c>
      <c r="D370" s="304">
        <v>339398339</v>
      </c>
      <c r="E370" s="305">
        <v>2527682821</v>
      </c>
      <c r="F370" s="303" t="s">
        <v>256</v>
      </c>
      <c r="G370" s="306">
        <v>36875</v>
      </c>
      <c r="H370" s="307" t="str">
        <f t="shared" si="15"/>
        <v>December</v>
      </c>
      <c r="I370" s="308">
        <f t="shared" ca="1" si="16"/>
        <v>15</v>
      </c>
      <c r="J370" s="308" t="s">
        <v>267</v>
      </c>
      <c r="K370" s="309">
        <v>34780</v>
      </c>
      <c r="L370" s="310">
        <v>4</v>
      </c>
      <c r="Q370" s="264" t="s">
        <v>2768</v>
      </c>
      <c r="R370" s="265">
        <v>41660</v>
      </c>
      <c r="S370" s="265">
        <v>41900</v>
      </c>
      <c r="T370" s="39">
        <f t="shared" si="17"/>
        <v>240</v>
      </c>
    </row>
    <row r="371" spans="1:20">
      <c r="A371" s="291" t="s">
        <v>699</v>
      </c>
      <c r="B371" s="292" t="s">
        <v>285</v>
      </c>
      <c r="C371" s="293" t="s">
        <v>856</v>
      </c>
      <c r="D371" s="294">
        <v>100703382</v>
      </c>
      <c r="E371" s="295">
        <v>9195157047</v>
      </c>
      <c r="F371" s="293" t="s">
        <v>256</v>
      </c>
      <c r="G371" s="296">
        <v>35070</v>
      </c>
      <c r="H371" s="297" t="str">
        <f t="shared" si="15"/>
        <v>January</v>
      </c>
      <c r="I371" s="298">
        <f t="shared" ca="1" si="16"/>
        <v>20</v>
      </c>
      <c r="J371" s="298" t="s">
        <v>257</v>
      </c>
      <c r="K371" s="299">
        <v>54200</v>
      </c>
      <c r="L371" s="300">
        <v>4</v>
      </c>
      <c r="Q371" s="264" t="s">
        <v>2767</v>
      </c>
      <c r="R371" s="265">
        <v>41648</v>
      </c>
      <c r="S371" s="265">
        <v>42133</v>
      </c>
      <c r="T371" s="39">
        <f t="shared" si="17"/>
        <v>485</v>
      </c>
    </row>
    <row r="372" spans="1:20">
      <c r="A372" s="301" t="s">
        <v>651</v>
      </c>
      <c r="B372" s="302" t="s">
        <v>285</v>
      </c>
      <c r="C372" s="303" t="s">
        <v>767</v>
      </c>
      <c r="D372" s="304">
        <v>963000861</v>
      </c>
      <c r="E372" s="305">
        <v>2522792063</v>
      </c>
      <c r="F372" s="303" t="s">
        <v>247</v>
      </c>
      <c r="G372" s="306">
        <v>36056</v>
      </c>
      <c r="H372" s="307" t="str">
        <f t="shared" si="15"/>
        <v>September</v>
      </c>
      <c r="I372" s="308">
        <f t="shared" ca="1" si="16"/>
        <v>18</v>
      </c>
      <c r="J372" s="308"/>
      <c r="K372" s="309">
        <v>73190</v>
      </c>
      <c r="L372" s="310">
        <v>1</v>
      </c>
      <c r="Q372" s="264" t="s">
        <v>2766</v>
      </c>
      <c r="R372" s="265">
        <v>41992</v>
      </c>
      <c r="S372" s="265">
        <v>42799</v>
      </c>
      <c r="T372" s="39">
        <f t="shared" si="17"/>
        <v>807</v>
      </c>
    </row>
    <row r="373" spans="1:20">
      <c r="A373" s="291" t="s">
        <v>652</v>
      </c>
      <c r="B373" s="292" t="s">
        <v>285</v>
      </c>
      <c r="C373" s="293" t="s">
        <v>391</v>
      </c>
      <c r="D373" s="294">
        <v>585815837</v>
      </c>
      <c r="E373" s="295">
        <v>9194983657</v>
      </c>
      <c r="F373" s="293" t="s">
        <v>261</v>
      </c>
      <c r="G373" s="296">
        <v>34904</v>
      </c>
      <c r="H373" s="297" t="str">
        <f t="shared" si="15"/>
        <v>July</v>
      </c>
      <c r="I373" s="298">
        <f t="shared" ca="1" si="16"/>
        <v>21</v>
      </c>
      <c r="J373" s="298" t="s">
        <v>276</v>
      </c>
      <c r="K373" s="299">
        <v>18655</v>
      </c>
      <c r="L373" s="300">
        <v>4</v>
      </c>
      <c r="Q373" s="264" t="s">
        <v>2765</v>
      </c>
      <c r="R373" s="265">
        <v>41352</v>
      </c>
      <c r="S373" s="265">
        <v>42083</v>
      </c>
      <c r="T373" s="39">
        <f t="shared" si="17"/>
        <v>731</v>
      </c>
    </row>
    <row r="374" spans="1:20">
      <c r="A374" s="301" t="s">
        <v>977</v>
      </c>
      <c r="B374" s="302" t="s">
        <v>285</v>
      </c>
      <c r="C374" s="303" t="s">
        <v>767</v>
      </c>
      <c r="D374" s="304">
        <v>556327593</v>
      </c>
      <c r="E374" s="305">
        <v>2523324762</v>
      </c>
      <c r="F374" s="303" t="s">
        <v>247</v>
      </c>
      <c r="G374" s="306">
        <v>36211</v>
      </c>
      <c r="H374" s="307" t="str">
        <f t="shared" si="15"/>
        <v>February</v>
      </c>
      <c r="I374" s="308">
        <f t="shared" ca="1" si="16"/>
        <v>17</v>
      </c>
      <c r="J374" s="308"/>
      <c r="K374" s="309">
        <v>60070</v>
      </c>
      <c r="L374" s="310">
        <v>2</v>
      </c>
      <c r="Q374" s="264" t="s">
        <v>2764</v>
      </c>
      <c r="R374" s="265">
        <v>41601</v>
      </c>
      <c r="S374" s="265">
        <v>41738</v>
      </c>
      <c r="T374" s="39">
        <f t="shared" si="17"/>
        <v>137</v>
      </c>
    </row>
    <row r="375" spans="1:20">
      <c r="A375" s="291" t="s">
        <v>759</v>
      </c>
      <c r="B375" s="292" t="s">
        <v>245</v>
      </c>
      <c r="C375" s="293" t="s">
        <v>856</v>
      </c>
      <c r="D375" s="294">
        <v>512404764</v>
      </c>
      <c r="E375" s="295">
        <v>9193976775</v>
      </c>
      <c r="F375" s="293" t="s">
        <v>256</v>
      </c>
      <c r="G375" s="296">
        <v>37200</v>
      </c>
      <c r="H375" s="297" t="str">
        <f t="shared" si="15"/>
        <v>November</v>
      </c>
      <c r="I375" s="298">
        <f t="shared" ca="1" si="16"/>
        <v>15</v>
      </c>
      <c r="J375" s="298" t="s">
        <v>283</v>
      </c>
      <c r="K375" s="299">
        <v>39000</v>
      </c>
      <c r="L375" s="300">
        <v>3</v>
      </c>
      <c r="Q375" s="264" t="s">
        <v>2763</v>
      </c>
      <c r="R375" s="265">
        <v>41969</v>
      </c>
      <c r="S375" s="265">
        <v>42526</v>
      </c>
      <c r="T375" s="39">
        <f t="shared" si="17"/>
        <v>557</v>
      </c>
    </row>
    <row r="376" spans="1:20">
      <c r="A376" s="301" t="s">
        <v>653</v>
      </c>
      <c r="B376" s="302" t="s">
        <v>285</v>
      </c>
      <c r="C376" s="303" t="s">
        <v>930</v>
      </c>
      <c r="D376" s="304">
        <v>240241467</v>
      </c>
      <c r="E376" s="305">
        <v>2524914916</v>
      </c>
      <c r="F376" s="303" t="s">
        <v>252</v>
      </c>
      <c r="G376" s="306">
        <v>36486</v>
      </c>
      <c r="H376" s="307" t="str">
        <f t="shared" si="15"/>
        <v>November</v>
      </c>
      <c r="I376" s="308">
        <f t="shared" ca="1" si="16"/>
        <v>16</v>
      </c>
      <c r="J376" s="308"/>
      <c r="K376" s="309">
        <v>28768</v>
      </c>
      <c r="L376" s="310">
        <v>3</v>
      </c>
      <c r="Q376" s="264" t="s">
        <v>2762</v>
      </c>
      <c r="R376" s="265">
        <v>42249</v>
      </c>
      <c r="S376" s="265">
        <v>43058</v>
      </c>
      <c r="T376" s="39">
        <f t="shared" si="17"/>
        <v>809</v>
      </c>
    </row>
    <row r="377" spans="1:20">
      <c r="A377" s="291" t="s">
        <v>387</v>
      </c>
      <c r="B377" s="292" t="s">
        <v>280</v>
      </c>
      <c r="C377" s="293" t="s">
        <v>930</v>
      </c>
      <c r="D377" s="294">
        <v>426812736</v>
      </c>
      <c r="E377" s="295">
        <v>9198399625</v>
      </c>
      <c r="F377" s="293" t="s">
        <v>247</v>
      </c>
      <c r="G377" s="296">
        <v>35069</v>
      </c>
      <c r="H377" s="297" t="str">
        <f t="shared" si="15"/>
        <v>January</v>
      </c>
      <c r="I377" s="298">
        <f t="shared" ca="1" si="16"/>
        <v>20</v>
      </c>
      <c r="J377" s="298"/>
      <c r="K377" s="299">
        <v>35240</v>
      </c>
      <c r="L377" s="300">
        <v>3</v>
      </c>
      <c r="Q377" s="264" t="s">
        <v>2761</v>
      </c>
      <c r="R377" s="265">
        <v>41998</v>
      </c>
      <c r="S377" s="265">
        <v>42869</v>
      </c>
      <c r="T377" s="39">
        <f t="shared" si="17"/>
        <v>871</v>
      </c>
    </row>
    <row r="378" spans="1:20">
      <c r="A378" s="301" t="s">
        <v>896</v>
      </c>
      <c r="B378" s="302" t="s">
        <v>280</v>
      </c>
      <c r="C378" s="303" t="s">
        <v>767</v>
      </c>
      <c r="D378" s="304">
        <v>486016972</v>
      </c>
      <c r="E378" s="305">
        <v>9194532398</v>
      </c>
      <c r="F378" s="303" t="s">
        <v>261</v>
      </c>
      <c r="G378" s="306">
        <v>40638</v>
      </c>
      <c r="H378" s="307" t="str">
        <f t="shared" si="15"/>
        <v>April</v>
      </c>
      <c r="I378" s="308">
        <f t="shared" ca="1" si="16"/>
        <v>5</v>
      </c>
      <c r="J378" s="308" t="s">
        <v>257</v>
      </c>
      <c r="K378" s="309">
        <v>45565</v>
      </c>
      <c r="L378" s="310">
        <v>1</v>
      </c>
      <c r="Q378" s="264" t="s">
        <v>2760</v>
      </c>
      <c r="R378" s="265">
        <v>42260</v>
      </c>
      <c r="S378" s="265">
        <v>42842</v>
      </c>
      <c r="T378" s="39">
        <f t="shared" si="17"/>
        <v>582</v>
      </c>
    </row>
    <row r="379" spans="1:20">
      <c r="A379" s="291" t="s">
        <v>978</v>
      </c>
      <c r="B379" s="292" t="s">
        <v>285</v>
      </c>
      <c r="C379" s="293" t="s">
        <v>930</v>
      </c>
      <c r="D379" s="294">
        <v>212558012</v>
      </c>
      <c r="E379" s="295">
        <v>2526860208</v>
      </c>
      <c r="F379" s="293" t="s">
        <v>256</v>
      </c>
      <c r="G379" s="296">
        <v>37877</v>
      </c>
      <c r="H379" s="297" t="str">
        <f t="shared" si="15"/>
        <v>September</v>
      </c>
      <c r="I379" s="298">
        <f t="shared" ca="1" si="16"/>
        <v>13</v>
      </c>
      <c r="J379" s="298" t="s">
        <v>257</v>
      </c>
      <c r="K379" s="299">
        <v>63060</v>
      </c>
      <c r="L379" s="300">
        <v>4</v>
      </c>
      <c r="Q379" s="264" t="s">
        <v>2759</v>
      </c>
      <c r="R379" s="265">
        <v>41122</v>
      </c>
      <c r="S379" s="265">
        <v>41830</v>
      </c>
      <c r="T379" s="39">
        <f t="shared" si="17"/>
        <v>708</v>
      </c>
    </row>
    <row r="380" spans="1:20">
      <c r="A380" s="301" t="s">
        <v>432</v>
      </c>
      <c r="B380" s="302" t="s">
        <v>266</v>
      </c>
      <c r="C380" s="303" t="s">
        <v>465</v>
      </c>
      <c r="D380" s="304">
        <v>590896401</v>
      </c>
      <c r="E380" s="305">
        <v>2523122603</v>
      </c>
      <c r="F380" s="303" t="s">
        <v>256</v>
      </c>
      <c r="G380" s="306">
        <v>39231</v>
      </c>
      <c r="H380" s="307" t="str">
        <f t="shared" si="15"/>
        <v>May</v>
      </c>
      <c r="I380" s="308">
        <f t="shared" ca="1" si="16"/>
        <v>9</v>
      </c>
      <c r="J380" s="308" t="s">
        <v>262</v>
      </c>
      <c r="K380" s="309">
        <v>70760</v>
      </c>
      <c r="L380" s="310">
        <v>1</v>
      </c>
      <c r="Q380" s="264" t="s">
        <v>2758</v>
      </c>
      <c r="R380" s="265">
        <v>41915</v>
      </c>
      <c r="S380" s="265">
        <v>42310</v>
      </c>
      <c r="T380" s="39">
        <f t="shared" si="17"/>
        <v>395</v>
      </c>
    </row>
    <row r="381" spans="1:20">
      <c r="A381" s="291" t="s">
        <v>979</v>
      </c>
      <c r="B381" s="292" t="s">
        <v>245</v>
      </c>
      <c r="C381" s="293" t="s">
        <v>856</v>
      </c>
      <c r="D381" s="294">
        <v>765836666</v>
      </c>
      <c r="E381" s="295">
        <v>2525013435</v>
      </c>
      <c r="F381" s="293" t="s">
        <v>256</v>
      </c>
      <c r="G381" s="296">
        <v>40063</v>
      </c>
      <c r="H381" s="297" t="str">
        <f t="shared" si="15"/>
        <v>September</v>
      </c>
      <c r="I381" s="298">
        <f t="shared" ca="1" si="16"/>
        <v>7</v>
      </c>
      <c r="J381" s="298" t="s">
        <v>283</v>
      </c>
      <c r="K381" s="299">
        <v>43600</v>
      </c>
      <c r="L381" s="300">
        <v>5</v>
      </c>
      <c r="Q381" s="264" t="s">
        <v>2757</v>
      </c>
      <c r="R381" s="265">
        <v>42252</v>
      </c>
      <c r="S381" s="265">
        <v>42889</v>
      </c>
      <c r="T381" s="39">
        <f t="shared" si="17"/>
        <v>637</v>
      </c>
    </row>
    <row r="382" spans="1:20">
      <c r="A382" s="301" t="s">
        <v>540</v>
      </c>
      <c r="B382" s="302" t="s">
        <v>271</v>
      </c>
      <c r="C382" s="303" t="s">
        <v>767</v>
      </c>
      <c r="D382" s="304">
        <v>554029540</v>
      </c>
      <c r="E382" s="305">
        <v>2521544288</v>
      </c>
      <c r="F382" s="303" t="s">
        <v>247</v>
      </c>
      <c r="G382" s="306">
        <v>34144</v>
      </c>
      <c r="H382" s="307" t="str">
        <f t="shared" si="15"/>
        <v>June</v>
      </c>
      <c r="I382" s="308">
        <f t="shared" ca="1" si="16"/>
        <v>23</v>
      </c>
      <c r="J382" s="308"/>
      <c r="K382" s="309">
        <v>58650</v>
      </c>
      <c r="L382" s="310">
        <v>4</v>
      </c>
      <c r="Q382" s="264" t="s">
        <v>2756</v>
      </c>
      <c r="R382" s="265">
        <v>42202</v>
      </c>
      <c r="S382" s="265">
        <v>42878</v>
      </c>
      <c r="T382" s="39">
        <f t="shared" si="17"/>
        <v>676</v>
      </c>
    </row>
    <row r="383" spans="1:20">
      <c r="A383" s="291" t="s">
        <v>336</v>
      </c>
      <c r="B383" s="292" t="s">
        <v>285</v>
      </c>
      <c r="C383" s="293" t="s">
        <v>767</v>
      </c>
      <c r="D383" s="294">
        <v>449987941</v>
      </c>
      <c r="E383" s="295">
        <v>2528742282</v>
      </c>
      <c r="F383" s="293" t="s">
        <v>256</v>
      </c>
      <c r="G383" s="296">
        <v>41387</v>
      </c>
      <c r="H383" s="297" t="str">
        <f t="shared" si="15"/>
        <v>April</v>
      </c>
      <c r="I383" s="298">
        <f t="shared" ca="1" si="16"/>
        <v>3</v>
      </c>
      <c r="J383" s="298" t="s">
        <v>267</v>
      </c>
      <c r="K383" s="299">
        <v>63206</v>
      </c>
      <c r="L383" s="300">
        <v>1</v>
      </c>
      <c r="Q383" s="264" t="s">
        <v>2755</v>
      </c>
      <c r="R383" s="265">
        <v>41773</v>
      </c>
      <c r="S383" s="265">
        <v>42750</v>
      </c>
      <c r="T383" s="39">
        <f t="shared" si="17"/>
        <v>977</v>
      </c>
    </row>
    <row r="384" spans="1:20">
      <c r="A384" s="301" t="s">
        <v>819</v>
      </c>
      <c r="B384" s="302" t="s">
        <v>251</v>
      </c>
      <c r="C384" s="303" t="s">
        <v>930</v>
      </c>
      <c r="D384" s="304">
        <v>332494481</v>
      </c>
      <c r="E384" s="305">
        <v>9192094386</v>
      </c>
      <c r="F384" s="303" t="s">
        <v>256</v>
      </c>
      <c r="G384" s="306">
        <v>36990</v>
      </c>
      <c r="H384" s="307" t="str">
        <f t="shared" si="15"/>
        <v>April</v>
      </c>
      <c r="I384" s="308">
        <f t="shared" ca="1" si="16"/>
        <v>15</v>
      </c>
      <c r="J384" s="308" t="s">
        <v>283</v>
      </c>
      <c r="K384" s="309">
        <v>48410</v>
      </c>
      <c r="L384" s="310">
        <v>5</v>
      </c>
      <c r="Q384" s="264" t="s">
        <v>2754</v>
      </c>
      <c r="R384" s="265">
        <v>41524</v>
      </c>
      <c r="S384" s="265">
        <v>41992</v>
      </c>
      <c r="T384" s="39">
        <f t="shared" si="17"/>
        <v>468</v>
      </c>
    </row>
    <row r="385" spans="1:20">
      <c r="A385" s="291" t="s">
        <v>654</v>
      </c>
      <c r="B385" s="292" t="s">
        <v>245</v>
      </c>
      <c r="C385" s="293" t="s">
        <v>465</v>
      </c>
      <c r="D385" s="294">
        <v>612295735</v>
      </c>
      <c r="E385" s="295">
        <v>9195228292</v>
      </c>
      <c r="F385" s="293" t="s">
        <v>256</v>
      </c>
      <c r="G385" s="296">
        <v>36421</v>
      </c>
      <c r="H385" s="297" t="str">
        <f t="shared" si="15"/>
        <v>September</v>
      </c>
      <c r="I385" s="298">
        <f t="shared" ca="1" si="16"/>
        <v>17</v>
      </c>
      <c r="J385" s="298" t="s">
        <v>283</v>
      </c>
      <c r="K385" s="299">
        <v>73144</v>
      </c>
      <c r="L385" s="300">
        <v>5</v>
      </c>
      <c r="Q385" s="264" t="s">
        <v>2753</v>
      </c>
      <c r="R385" s="265">
        <v>41368</v>
      </c>
      <c r="S385" s="265">
        <v>41821</v>
      </c>
      <c r="T385" s="39">
        <f t="shared" si="17"/>
        <v>453</v>
      </c>
    </row>
    <row r="386" spans="1:20">
      <c r="A386" s="301" t="s">
        <v>1027</v>
      </c>
      <c r="B386" s="302" t="s">
        <v>251</v>
      </c>
      <c r="C386" s="303" t="s">
        <v>465</v>
      </c>
      <c r="D386" s="304">
        <v>624234626</v>
      </c>
      <c r="E386" s="305">
        <v>2523077504</v>
      </c>
      <c r="F386" s="303" t="s">
        <v>261</v>
      </c>
      <c r="G386" s="306">
        <v>36253</v>
      </c>
      <c r="H386" s="307" t="str">
        <f t="shared" si="15"/>
        <v>April</v>
      </c>
      <c r="I386" s="308">
        <f t="shared" ca="1" si="16"/>
        <v>17</v>
      </c>
      <c r="J386" s="308" t="s">
        <v>257</v>
      </c>
      <c r="K386" s="309">
        <v>46645</v>
      </c>
      <c r="L386" s="310">
        <v>5</v>
      </c>
      <c r="Q386" s="264" t="s">
        <v>2752</v>
      </c>
      <c r="R386" s="265">
        <v>41129</v>
      </c>
      <c r="S386" s="265">
        <v>41247</v>
      </c>
      <c r="T386" s="39">
        <f t="shared" si="17"/>
        <v>118</v>
      </c>
    </row>
    <row r="387" spans="1:20">
      <c r="A387" s="291" t="s">
        <v>433</v>
      </c>
      <c r="B387" s="292" t="s">
        <v>280</v>
      </c>
      <c r="C387" s="293" t="s">
        <v>930</v>
      </c>
      <c r="D387" s="294">
        <v>311309049</v>
      </c>
      <c r="E387" s="295">
        <v>2527560634</v>
      </c>
      <c r="F387" s="293" t="s">
        <v>256</v>
      </c>
      <c r="G387" s="296">
        <v>37153</v>
      </c>
      <c r="H387" s="297" t="str">
        <f t="shared" si="15"/>
        <v>September</v>
      </c>
      <c r="I387" s="298">
        <f t="shared" ca="1" si="16"/>
        <v>15</v>
      </c>
      <c r="J387" s="298" t="s">
        <v>276</v>
      </c>
      <c r="K387" s="299">
        <v>77680</v>
      </c>
      <c r="L387" s="300">
        <v>3</v>
      </c>
      <c r="Q387" s="264" t="s">
        <v>2751</v>
      </c>
      <c r="R387" s="265">
        <v>41789</v>
      </c>
      <c r="S387" s="265">
        <v>42202</v>
      </c>
      <c r="T387" s="39">
        <f t="shared" si="17"/>
        <v>413</v>
      </c>
    </row>
    <row r="388" spans="1:20">
      <c r="A388" s="301" t="s">
        <v>687</v>
      </c>
      <c r="B388" s="302" t="s">
        <v>285</v>
      </c>
      <c r="C388" s="303" t="s">
        <v>767</v>
      </c>
      <c r="D388" s="304">
        <v>953109212</v>
      </c>
      <c r="E388" s="305">
        <v>9191664940</v>
      </c>
      <c r="F388" s="303" t="s">
        <v>256</v>
      </c>
      <c r="G388" s="306">
        <v>41348</v>
      </c>
      <c r="H388" s="307" t="str">
        <f t="shared" si="15"/>
        <v>March</v>
      </c>
      <c r="I388" s="308">
        <f t="shared" ca="1" si="16"/>
        <v>3</v>
      </c>
      <c r="J388" s="308" t="s">
        <v>267</v>
      </c>
      <c r="K388" s="309">
        <v>59150</v>
      </c>
      <c r="L388" s="310">
        <v>4</v>
      </c>
      <c r="Q388" s="264" t="s">
        <v>2750</v>
      </c>
      <c r="R388" s="265">
        <v>42069</v>
      </c>
      <c r="S388" s="265">
        <v>42685</v>
      </c>
      <c r="T388" s="39">
        <f t="shared" si="17"/>
        <v>616</v>
      </c>
    </row>
    <row r="389" spans="1:20">
      <c r="A389" s="291" t="s">
        <v>980</v>
      </c>
      <c r="B389" s="292" t="s">
        <v>271</v>
      </c>
      <c r="C389" s="293" t="s">
        <v>465</v>
      </c>
      <c r="D389" s="294">
        <v>384454025</v>
      </c>
      <c r="E389" s="295">
        <v>2522064219</v>
      </c>
      <c r="F389" s="293" t="s">
        <v>247</v>
      </c>
      <c r="G389" s="296">
        <v>37365</v>
      </c>
      <c r="H389" s="297" t="str">
        <f t="shared" si="15"/>
        <v>April</v>
      </c>
      <c r="I389" s="298">
        <f t="shared" ca="1" si="16"/>
        <v>14</v>
      </c>
      <c r="J389" s="298"/>
      <c r="K389" s="299">
        <v>23810</v>
      </c>
      <c r="L389" s="300">
        <v>4</v>
      </c>
      <c r="Q389" s="264" t="s">
        <v>2749</v>
      </c>
      <c r="R389" s="265">
        <v>42325</v>
      </c>
      <c r="S389" s="265">
        <v>42656</v>
      </c>
      <c r="T389" s="39">
        <f t="shared" si="17"/>
        <v>331</v>
      </c>
    </row>
    <row r="390" spans="1:20">
      <c r="A390" s="301" t="s">
        <v>981</v>
      </c>
      <c r="B390" s="302" t="s">
        <v>245</v>
      </c>
      <c r="C390" s="303" t="s">
        <v>296</v>
      </c>
      <c r="D390" s="304">
        <v>515543972</v>
      </c>
      <c r="E390" s="305">
        <v>9193539483</v>
      </c>
      <c r="F390" s="303" t="s">
        <v>256</v>
      </c>
      <c r="G390" s="306">
        <v>37529</v>
      </c>
      <c r="H390" s="307" t="str">
        <f t="shared" ref="H390:H453" si="18">CHOOSE(MONTH(G390),"January","February","March","April","May","June","July","August","September","October","November","December")</f>
        <v>September</v>
      </c>
      <c r="I390" s="308">
        <f t="shared" ref="I390:I453" ca="1" si="19">DATEDIF(G390,TODAY(),"Y")</f>
        <v>14</v>
      </c>
      <c r="J390" s="308" t="s">
        <v>267</v>
      </c>
      <c r="K390" s="309">
        <v>56440</v>
      </c>
      <c r="L390" s="310">
        <v>1</v>
      </c>
      <c r="Q390" s="264" t="s">
        <v>2748</v>
      </c>
      <c r="R390" s="265">
        <v>42254</v>
      </c>
      <c r="S390" s="265">
        <v>42734</v>
      </c>
      <c r="T390" s="39">
        <f t="shared" ref="T390:T453" si="20">DATEDIF(R390,S390,"d")</f>
        <v>480</v>
      </c>
    </row>
    <row r="391" spans="1:20">
      <c r="A391" s="291" t="s">
        <v>982</v>
      </c>
      <c r="B391" s="292" t="s">
        <v>285</v>
      </c>
      <c r="C391" s="293" t="s">
        <v>626</v>
      </c>
      <c r="D391" s="294">
        <v>443476169</v>
      </c>
      <c r="E391" s="295">
        <v>9195085809</v>
      </c>
      <c r="F391" s="293" t="s">
        <v>256</v>
      </c>
      <c r="G391" s="296">
        <v>34977</v>
      </c>
      <c r="H391" s="297" t="str">
        <f t="shared" si="18"/>
        <v>October</v>
      </c>
      <c r="I391" s="298">
        <f t="shared" ca="1" si="19"/>
        <v>21</v>
      </c>
      <c r="J391" s="298" t="s">
        <v>267</v>
      </c>
      <c r="K391" s="299">
        <v>86540</v>
      </c>
      <c r="L391" s="300">
        <v>4</v>
      </c>
      <c r="Q391" s="264" t="s">
        <v>2747</v>
      </c>
      <c r="R391" s="265">
        <v>42153</v>
      </c>
      <c r="S391" s="265">
        <v>42523</v>
      </c>
      <c r="T391" s="39">
        <f t="shared" si="20"/>
        <v>370</v>
      </c>
    </row>
    <row r="392" spans="1:20">
      <c r="A392" s="301" t="s">
        <v>820</v>
      </c>
      <c r="B392" s="302" t="s">
        <v>245</v>
      </c>
      <c r="C392" s="303" t="s">
        <v>465</v>
      </c>
      <c r="D392" s="304">
        <v>318068637</v>
      </c>
      <c r="E392" s="305">
        <v>9193709408</v>
      </c>
      <c r="F392" s="303" t="s">
        <v>247</v>
      </c>
      <c r="G392" s="306">
        <v>40448</v>
      </c>
      <c r="H392" s="307" t="str">
        <f t="shared" si="18"/>
        <v>September</v>
      </c>
      <c r="I392" s="308">
        <f t="shared" ca="1" si="19"/>
        <v>6</v>
      </c>
      <c r="J392" s="308"/>
      <c r="K392" s="309">
        <v>62780</v>
      </c>
      <c r="L392" s="310">
        <v>4</v>
      </c>
      <c r="Q392" s="264" t="s">
        <v>2746</v>
      </c>
      <c r="R392" s="265">
        <v>41354</v>
      </c>
      <c r="S392" s="265">
        <v>42193</v>
      </c>
      <c r="T392" s="39">
        <f t="shared" si="20"/>
        <v>839</v>
      </c>
    </row>
    <row r="393" spans="1:20">
      <c r="A393" s="291" t="s">
        <v>541</v>
      </c>
      <c r="B393" s="292" t="s">
        <v>280</v>
      </c>
      <c r="C393" s="293" t="s">
        <v>930</v>
      </c>
      <c r="D393" s="294">
        <v>230192897</v>
      </c>
      <c r="E393" s="295">
        <v>2525261239</v>
      </c>
      <c r="F393" s="293" t="s">
        <v>256</v>
      </c>
      <c r="G393" s="296">
        <v>40351</v>
      </c>
      <c r="H393" s="297" t="str">
        <f t="shared" si="18"/>
        <v>June</v>
      </c>
      <c r="I393" s="298">
        <f t="shared" ca="1" si="19"/>
        <v>6</v>
      </c>
      <c r="J393" s="298" t="s">
        <v>262</v>
      </c>
      <c r="K393" s="299">
        <v>68860</v>
      </c>
      <c r="L393" s="300">
        <v>2</v>
      </c>
      <c r="Q393" s="264" t="s">
        <v>2745</v>
      </c>
      <c r="R393" s="265">
        <v>41469</v>
      </c>
      <c r="S393" s="265">
        <v>42139</v>
      </c>
      <c r="T393" s="39">
        <f t="shared" si="20"/>
        <v>670</v>
      </c>
    </row>
    <row r="394" spans="1:20">
      <c r="A394" s="301" t="s">
        <v>688</v>
      </c>
      <c r="B394" s="302" t="s">
        <v>285</v>
      </c>
      <c r="C394" s="303" t="s">
        <v>705</v>
      </c>
      <c r="D394" s="304">
        <v>210173249</v>
      </c>
      <c r="E394" s="305">
        <v>2525780571</v>
      </c>
      <c r="F394" s="303" t="s">
        <v>247</v>
      </c>
      <c r="G394" s="306">
        <v>34721</v>
      </c>
      <c r="H394" s="307" t="str">
        <f t="shared" si="18"/>
        <v>January</v>
      </c>
      <c r="I394" s="308">
        <f t="shared" ca="1" si="19"/>
        <v>21</v>
      </c>
      <c r="J394" s="308"/>
      <c r="K394" s="309">
        <v>32650</v>
      </c>
      <c r="L394" s="310">
        <v>1</v>
      </c>
      <c r="Q394" s="264" t="s">
        <v>2744</v>
      </c>
      <c r="R394" s="265">
        <v>41350</v>
      </c>
      <c r="S394" s="265">
        <v>41794</v>
      </c>
      <c r="T394" s="39">
        <f t="shared" si="20"/>
        <v>444</v>
      </c>
    </row>
    <row r="395" spans="1:20">
      <c r="A395" s="291" t="s">
        <v>398</v>
      </c>
      <c r="B395" s="292" t="s">
        <v>280</v>
      </c>
      <c r="C395" s="293" t="s">
        <v>465</v>
      </c>
      <c r="D395" s="294">
        <v>993383806</v>
      </c>
      <c r="E395" s="295">
        <v>2521810581</v>
      </c>
      <c r="F395" s="293" t="s">
        <v>252</v>
      </c>
      <c r="G395" s="296">
        <v>36977</v>
      </c>
      <c r="H395" s="297" t="str">
        <f t="shared" si="18"/>
        <v>March</v>
      </c>
      <c r="I395" s="298">
        <f t="shared" ca="1" si="19"/>
        <v>15</v>
      </c>
      <c r="J395" s="298"/>
      <c r="K395" s="299">
        <v>37612</v>
      </c>
      <c r="L395" s="300">
        <v>4</v>
      </c>
      <c r="Q395" s="264" t="s">
        <v>2743</v>
      </c>
      <c r="R395" s="265">
        <v>41613</v>
      </c>
      <c r="S395" s="265">
        <v>42227</v>
      </c>
      <c r="T395" s="39">
        <f t="shared" si="20"/>
        <v>614</v>
      </c>
    </row>
    <row r="396" spans="1:20">
      <c r="A396" s="301" t="s">
        <v>542</v>
      </c>
      <c r="B396" s="302" t="s">
        <v>271</v>
      </c>
      <c r="C396" s="303" t="s">
        <v>465</v>
      </c>
      <c r="D396" s="304">
        <v>829216164</v>
      </c>
      <c r="E396" s="305">
        <v>2524982487</v>
      </c>
      <c r="F396" s="303" t="s">
        <v>247</v>
      </c>
      <c r="G396" s="306">
        <v>40455</v>
      </c>
      <c r="H396" s="307" t="str">
        <f t="shared" si="18"/>
        <v>October</v>
      </c>
      <c r="I396" s="308">
        <f t="shared" ca="1" si="19"/>
        <v>6</v>
      </c>
      <c r="J396" s="308"/>
      <c r="K396" s="309">
        <v>84170</v>
      </c>
      <c r="L396" s="310">
        <v>2</v>
      </c>
      <c r="Q396" s="264" t="s">
        <v>2742</v>
      </c>
      <c r="R396" s="265">
        <v>42287</v>
      </c>
      <c r="S396" s="265">
        <v>42444</v>
      </c>
      <c r="T396" s="39">
        <f t="shared" si="20"/>
        <v>157</v>
      </c>
    </row>
    <row r="397" spans="1:20">
      <c r="A397" s="291" t="s">
        <v>821</v>
      </c>
      <c r="B397" s="292" t="s">
        <v>245</v>
      </c>
      <c r="C397" s="293" t="s">
        <v>465</v>
      </c>
      <c r="D397" s="294">
        <v>328787467</v>
      </c>
      <c r="E397" s="295">
        <v>9194897618</v>
      </c>
      <c r="F397" s="293" t="s">
        <v>252</v>
      </c>
      <c r="G397" s="296">
        <v>39997</v>
      </c>
      <c r="H397" s="297" t="str">
        <f t="shared" si="18"/>
        <v>July</v>
      </c>
      <c r="I397" s="298">
        <f t="shared" ca="1" si="19"/>
        <v>7</v>
      </c>
      <c r="J397" s="298"/>
      <c r="K397" s="299">
        <v>14416</v>
      </c>
      <c r="L397" s="300">
        <v>4</v>
      </c>
      <c r="Q397" s="264" t="s">
        <v>2741</v>
      </c>
      <c r="R397" s="265">
        <v>41625</v>
      </c>
      <c r="S397" s="265">
        <v>41813</v>
      </c>
      <c r="T397" s="39">
        <f t="shared" si="20"/>
        <v>188</v>
      </c>
    </row>
    <row r="398" spans="1:20">
      <c r="A398" s="301" t="s">
        <v>983</v>
      </c>
      <c r="B398" s="302" t="s">
        <v>280</v>
      </c>
      <c r="C398" s="303" t="s">
        <v>465</v>
      </c>
      <c r="D398" s="304">
        <v>177332873</v>
      </c>
      <c r="E398" s="305">
        <v>9195915044</v>
      </c>
      <c r="F398" s="303" t="s">
        <v>256</v>
      </c>
      <c r="G398" s="306">
        <v>37323</v>
      </c>
      <c r="H398" s="307" t="str">
        <f t="shared" si="18"/>
        <v>March</v>
      </c>
      <c r="I398" s="308">
        <f t="shared" ca="1" si="19"/>
        <v>14</v>
      </c>
      <c r="J398" s="308" t="s">
        <v>257</v>
      </c>
      <c r="K398" s="309">
        <v>40060</v>
      </c>
      <c r="L398" s="310">
        <v>3</v>
      </c>
      <c r="Q398" s="264" t="s">
        <v>2740</v>
      </c>
      <c r="R398" s="265">
        <v>42043</v>
      </c>
      <c r="S398" s="265">
        <v>42782</v>
      </c>
      <c r="T398" s="39">
        <f t="shared" si="20"/>
        <v>739</v>
      </c>
    </row>
    <row r="399" spans="1:20">
      <c r="A399" s="291" t="s">
        <v>655</v>
      </c>
      <c r="B399" s="292" t="s">
        <v>285</v>
      </c>
      <c r="C399" s="293" t="s">
        <v>272</v>
      </c>
      <c r="D399" s="294">
        <v>608796012</v>
      </c>
      <c r="E399" s="295">
        <v>9194075460</v>
      </c>
      <c r="F399" s="293" t="s">
        <v>256</v>
      </c>
      <c r="G399" s="296">
        <v>34741</v>
      </c>
      <c r="H399" s="297" t="str">
        <f t="shared" si="18"/>
        <v>February</v>
      </c>
      <c r="I399" s="298">
        <f t="shared" ca="1" si="19"/>
        <v>21</v>
      </c>
      <c r="J399" s="298" t="s">
        <v>257</v>
      </c>
      <c r="K399" s="299">
        <v>79760</v>
      </c>
      <c r="L399" s="300">
        <v>5</v>
      </c>
      <c r="Q399" s="264" t="s">
        <v>2739</v>
      </c>
      <c r="R399" s="265">
        <v>41705</v>
      </c>
      <c r="S399" s="265">
        <v>42267</v>
      </c>
      <c r="T399" s="39">
        <f t="shared" si="20"/>
        <v>562</v>
      </c>
    </row>
    <row r="400" spans="1:20">
      <c r="A400" s="301" t="s">
        <v>434</v>
      </c>
      <c r="B400" s="302" t="s">
        <v>271</v>
      </c>
      <c r="C400" s="303" t="s">
        <v>272</v>
      </c>
      <c r="D400" s="304">
        <v>202815919</v>
      </c>
      <c r="E400" s="305">
        <v>2528467597</v>
      </c>
      <c r="F400" s="303" t="s">
        <v>247</v>
      </c>
      <c r="G400" s="306">
        <v>34986</v>
      </c>
      <c r="H400" s="307" t="str">
        <f t="shared" si="18"/>
        <v>October</v>
      </c>
      <c r="I400" s="308">
        <f t="shared" ca="1" si="19"/>
        <v>21</v>
      </c>
      <c r="J400" s="308"/>
      <c r="K400" s="309">
        <v>66580</v>
      </c>
      <c r="L400" s="310">
        <v>5</v>
      </c>
      <c r="Q400" s="264" t="s">
        <v>2738</v>
      </c>
      <c r="R400" s="265">
        <v>41868</v>
      </c>
      <c r="S400" s="265">
        <v>42052</v>
      </c>
      <c r="T400" s="39">
        <f t="shared" si="20"/>
        <v>184</v>
      </c>
    </row>
    <row r="401" spans="1:20">
      <c r="A401" s="291" t="s">
        <v>656</v>
      </c>
      <c r="B401" s="292" t="s">
        <v>285</v>
      </c>
      <c r="C401" s="293" t="s">
        <v>312</v>
      </c>
      <c r="D401" s="294">
        <v>349979288</v>
      </c>
      <c r="E401" s="295">
        <v>9194629972</v>
      </c>
      <c r="F401" s="293" t="s">
        <v>256</v>
      </c>
      <c r="G401" s="296">
        <v>37928</v>
      </c>
      <c r="H401" s="297" t="str">
        <f t="shared" si="18"/>
        <v>November</v>
      </c>
      <c r="I401" s="298">
        <f t="shared" ca="1" si="19"/>
        <v>13</v>
      </c>
      <c r="J401" s="298" t="s">
        <v>283</v>
      </c>
      <c r="K401" s="299">
        <v>28650</v>
      </c>
      <c r="L401" s="300">
        <v>4</v>
      </c>
      <c r="Q401" s="264" t="s">
        <v>2737</v>
      </c>
      <c r="R401" s="265">
        <v>41862</v>
      </c>
      <c r="S401" s="265">
        <v>42168</v>
      </c>
      <c r="T401" s="39">
        <f t="shared" si="20"/>
        <v>306</v>
      </c>
    </row>
    <row r="402" spans="1:20">
      <c r="A402" s="301" t="s">
        <v>689</v>
      </c>
      <c r="B402" s="302" t="s">
        <v>271</v>
      </c>
      <c r="C402" s="303" t="s">
        <v>705</v>
      </c>
      <c r="D402" s="304">
        <v>960967007</v>
      </c>
      <c r="E402" s="305">
        <v>9194694995</v>
      </c>
      <c r="F402" s="303" t="s">
        <v>247</v>
      </c>
      <c r="G402" s="306">
        <v>37533</v>
      </c>
      <c r="H402" s="307" t="str">
        <f t="shared" si="18"/>
        <v>October</v>
      </c>
      <c r="I402" s="308">
        <f t="shared" ca="1" si="19"/>
        <v>14</v>
      </c>
      <c r="J402" s="308"/>
      <c r="K402" s="309">
        <v>30300</v>
      </c>
      <c r="L402" s="310">
        <v>1</v>
      </c>
      <c r="Q402" s="264" t="s">
        <v>2736</v>
      </c>
      <c r="R402" s="265">
        <v>41767</v>
      </c>
      <c r="S402" s="265">
        <v>42355</v>
      </c>
      <c r="T402" s="39">
        <f t="shared" si="20"/>
        <v>588</v>
      </c>
    </row>
    <row r="403" spans="1:20">
      <c r="A403" s="291" t="s">
        <v>726</v>
      </c>
      <c r="B403" s="292" t="s">
        <v>285</v>
      </c>
      <c r="C403" s="293" t="s">
        <v>465</v>
      </c>
      <c r="D403" s="294">
        <v>378281658</v>
      </c>
      <c r="E403" s="295">
        <v>9196705508</v>
      </c>
      <c r="F403" s="293" t="s">
        <v>247</v>
      </c>
      <c r="G403" s="296">
        <v>38983</v>
      </c>
      <c r="H403" s="297" t="str">
        <f t="shared" si="18"/>
        <v>September</v>
      </c>
      <c r="I403" s="298">
        <f t="shared" ca="1" si="19"/>
        <v>10</v>
      </c>
      <c r="J403" s="298"/>
      <c r="K403" s="299">
        <v>39300</v>
      </c>
      <c r="L403" s="300">
        <v>2</v>
      </c>
      <c r="Q403" s="264" t="s">
        <v>2735</v>
      </c>
      <c r="R403" s="265">
        <v>42072</v>
      </c>
      <c r="S403" s="265">
        <v>42762</v>
      </c>
      <c r="T403" s="39">
        <f t="shared" si="20"/>
        <v>690</v>
      </c>
    </row>
    <row r="404" spans="1:20">
      <c r="A404" s="301" t="s">
        <v>822</v>
      </c>
      <c r="B404" s="302" t="s">
        <v>280</v>
      </c>
      <c r="C404" s="303" t="s">
        <v>930</v>
      </c>
      <c r="D404" s="304">
        <v>733358713</v>
      </c>
      <c r="E404" s="305">
        <v>9196648050</v>
      </c>
      <c r="F404" s="303" t="s">
        <v>247</v>
      </c>
      <c r="G404" s="306">
        <v>36248</v>
      </c>
      <c r="H404" s="307" t="str">
        <f t="shared" si="18"/>
        <v>March</v>
      </c>
      <c r="I404" s="308">
        <f t="shared" ca="1" si="19"/>
        <v>17</v>
      </c>
      <c r="J404" s="308"/>
      <c r="K404" s="309">
        <v>87830</v>
      </c>
      <c r="L404" s="310">
        <v>2</v>
      </c>
      <c r="Q404" s="264" t="s">
        <v>2734</v>
      </c>
      <c r="R404" s="265">
        <v>40943</v>
      </c>
      <c r="S404" s="265">
        <v>41781</v>
      </c>
      <c r="T404" s="39">
        <f t="shared" si="20"/>
        <v>838</v>
      </c>
    </row>
    <row r="405" spans="1:20">
      <c r="A405" s="291" t="s">
        <v>543</v>
      </c>
      <c r="B405" s="292" t="s">
        <v>271</v>
      </c>
      <c r="C405" s="293" t="s">
        <v>856</v>
      </c>
      <c r="D405" s="294">
        <v>627977314</v>
      </c>
      <c r="E405" s="295">
        <v>2521525844</v>
      </c>
      <c r="F405" s="293" t="s">
        <v>256</v>
      </c>
      <c r="G405" s="296">
        <v>34762</v>
      </c>
      <c r="H405" s="297" t="str">
        <f t="shared" si="18"/>
        <v>March</v>
      </c>
      <c r="I405" s="298">
        <f t="shared" ca="1" si="19"/>
        <v>21</v>
      </c>
      <c r="J405" s="298" t="s">
        <v>276</v>
      </c>
      <c r="K405" s="299">
        <v>86240</v>
      </c>
      <c r="L405" s="300">
        <v>1</v>
      </c>
      <c r="Q405" s="264" t="s">
        <v>2733</v>
      </c>
      <c r="R405" s="265">
        <v>42264</v>
      </c>
      <c r="S405" s="265">
        <v>42616</v>
      </c>
      <c r="T405" s="39">
        <f t="shared" si="20"/>
        <v>352</v>
      </c>
    </row>
    <row r="406" spans="1:20">
      <c r="A406" s="301" t="s">
        <v>727</v>
      </c>
      <c r="B406" s="302" t="s">
        <v>285</v>
      </c>
      <c r="C406" s="303" t="s">
        <v>930</v>
      </c>
      <c r="D406" s="304">
        <v>892040187</v>
      </c>
      <c r="E406" s="305">
        <v>2524877123</v>
      </c>
      <c r="F406" s="303" t="s">
        <v>256</v>
      </c>
      <c r="G406" s="306">
        <v>35196</v>
      </c>
      <c r="H406" s="307" t="str">
        <f t="shared" si="18"/>
        <v>May</v>
      </c>
      <c r="I406" s="308">
        <f t="shared" ca="1" si="19"/>
        <v>20</v>
      </c>
      <c r="J406" s="308" t="s">
        <v>283</v>
      </c>
      <c r="K406" s="309">
        <v>87220</v>
      </c>
      <c r="L406" s="310">
        <v>1</v>
      </c>
      <c r="Q406" s="264" t="s">
        <v>2732</v>
      </c>
      <c r="R406" s="265">
        <v>41588</v>
      </c>
      <c r="S406" s="265">
        <v>41784</v>
      </c>
      <c r="T406" s="39">
        <f t="shared" si="20"/>
        <v>196</v>
      </c>
    </row>
    <row r="407" spans="1:20">
      <c r="A407" s="291" t="s">
        <v>760</v>
      </c>
      <c r="B407" s="292" t="s">
        <v>285</v>
      </c>
      <c r="C407" s="293" t="s">
        <v>465</v>
      </c>
      <c r="D407" s="294">
        <v>337943008</v>
      </c>
      <c r="E407" s="295">
        <v>2521257896</v>
      </c>
      <c r="F407" s="293" t="s">
        <v>256</v>
      </c>
      <c r="G407" s="296">
        <v>38304</v>
      </c>
      <c r="H407" s="297" t="str">
        <f t="shared" si="18"/>
        <v>November</v>
      </c>
      <c r="I407" s="298">
        <f t="shared" ca="1" si="19"/>
        <v>11</v>
      </c>
      <c r="J407" s="298" t="s">
        <v>257</v>
      </c>
      <c r="K407" s="299">
        <v>28970</v>
      </c>
      <c r="L407" s="300">
        <v>3</v>
      </c>
      <c r="Q407" s="264" t="s">
        <v>2731</v>
      </c>
      <c r="R407" s="265">
        <v>41729</v>
      </c>
      <c r="S407" s="265">
        <v>41852</v>
      </c>
      <c r="T407" s="39">
        <f t="shared" si="20"/>
        <v>123</v>
      </c>
    </row>
    <row r="408" spans="1:20">
      <c r="A408" s="301" t="s">
        <v>388</v>
      </c>
      <c r="B408" s="302" t="s">
        <v>245</v>
      </c>
      <c r="C408" s="303" t="s">
        <v>678</v>
      </c>
      <c r="D408" s="304">
        <v>550291321</v>
      </c>
      <c r="E408" s="305">
        <v>9192529195</v>
      </c>
      <c r="F408" s="303" t="s">
        <v>247</v>
      </c>
      <c r="G408" s="306">
        <v>36957</v>
      </c>
      <c r="H408" s="307" t="str">
        <f t="shared" si="18"/>
        <v>March</v>
      </c>
      <c r="I408" s="308">
        <f t="shared" ca="1" si="19"/>
        <v>15</v>
      </c>
      <c r="J408" s="308"/>
      <c r="K408" s="309">
        <v>72480</v>
      </c>
      <c r="L408" s="310">
        <v>2</v>
      </c>
      <c r="Q408" s="264" t="s">
        <v>2730</v>
      </c>
      <c r="R408" s="265">
        <v>41099</v>
      </c>
      <c r="S408" s="265">
        <v>41863</v>
      </c>
      <c r="T408" s="39">
        <f t="shared" si="20"/>
        <v>764</v>
      </c>
    </row>
    <row r="409" spans="1:20">
      <c r="A409" s="291" t="s">
        <v>823</v>
      </c>
      <c r="B409" s="292" t="s">
        <v>245</v>
      </c>
      <c r="C409" s="293" t="s">
        <v>391</v>
      </c>
      <c r="D409" s="294">
        <v>681596577</v>
      </c>
      <c r="E409" s="295">
        <v>9192387348</v>
      </c>
      <c r="F409" s="293" t="s">
        <v>247</v>
      </c>
      <c r="G409" s="296">
        <v>36060</v>
      </c>
      <c r="H409" s="297" t="str">
        <f t="shared" si="18"/>
        <v>September</v>
      </c>
      <c r="I409" s="298">
        <f t="shared" ca="1" si="19"/>
        <v>18</v>
      </c>
      <c r="J409" s="298"/>
      <c r="K409" s="299">
        <v>35260</v>
      </c>
      <c r="L409" s="300">
        <v>2</v>
      </c>
      <c r="Q409" s="264" t="s">
        <v>2729</v>
      </c>
      <c r="R409" s="265">
        <v>42167</v>
      </c>
      <c r="S409" s="265">
        <v>43119</v>
      </c>
      <c r="T409" s="39">
        <f t="shared" si="20"/>
        <v>952</v>
      </c>
    </row>
    <row r="410" spans="1:20">
      <c r="A410" s="301" t="s">
        <v>544</v>
      </c>
      <c r="B410" s="302" t="s">
        <v>285</v>
      </c>
      <c r="C410" s="303" t="s">
        <v>465</v>
      </c>
      <c r="D410" s="304">
        <v>114005397</v>
      </c>
      <c r="E410" s="305">
        <v>2524694617</v>
      </c>
      <c r="F410" s="303" t="s">
        <v>247</v>
      </c>
      <c r="G410" s="306">
        <v>40099</v>
      </c>
      <c r="H410" s="307" t="str">
        <f t="shared" si="18"/>
        <v>October</v>
      </c>
      <c r="I410" s="308">
        <f t="shared" ca="1" si="19"/>
        <v>7</v>
      </c>
      <c r="J410" s="308"/>
      <c r="K410" s="309">
        <v>63850</v>
      </c>
      <c r="L410" s="310">
        <v>2</v>
      </c>
      <c r="Q410" s="264" t="s">
        <v>2728</v>
      </c>
      <c r="R410" s="265">
        <v>42024</v>
      </c>
      <c r="S410" s="265">
        <v>42870</v>
      </c>
      <c r="T410" s="39">
        <f t="shared" si="20"/>
        <v>846</v>
      </c>
    </row>
    <row r="411" spans="1:20">
      <c r="A411" s="291" t="s">
        <v>897</v>
      </c>
      <c r="B411" s="292" t="s">
        <v>285</v>
      </c>
      <c r="C411" s="293" t="s">
        <v>626</v>
      </c>
      <c r="D411" s="294">
        <v>643272576</v>
      </c>
      <c r="E411" s="295">
        <v>2522256131</v>
      </c>
      <c r="F411" s="293" t="s">
        <v>252</v>
      </c>
      <c r="G411" s="296">
        <v>34215</v>
      </c>
      <c r="H411" s="297" t="str">
        <f t="shared" si="18"/>
        <v>September</v>
      </c>
      <c r="I411" s="298">
        <f t="shared" ca="1" si="19"/>
        <v>23</v>
      </c>
      <c r="J411" s="298"/>
      <c r="K411" s="299">
        <v>36844</v>
      </c>
      <c r="L411" s="300">
        <v>4</v>
      </c>
      <c r="Q411" s="264" t="s">
        <v>2727</v>
      </c>
      <c r="R411" s="265">
        <v>41455</v>
      </c>
      <c r="S411" s="265">
        <v>41714</v>
      </c>
      <c r="T411" s="39">
        <f t="shared" si="20"/>
        <v>259</v>
      </c>
    </row>
    <row r="412" spans="1:20">
      <c r="A412" s="301" t="s">
        <v>657</v>
      </c>
      <c r="B412" s="302" t="s">
        <v>271</v>
      </c>
      <c r="C412" s="303" t="s">
        <v>767</v>
      </c>
      <c r="D412" s="304">
        <v>387131597</v>
      </c>
      <c r="E412" s="305">
        <v>9191963194</v>
      </c>
      <c r="F412" s="303" t="s">
        <v>247</v>
      </c>
      <c r="G412" s="306">
        <v>34425</v>
      </c>
      <c r="H412" s="307" t="str">
        <f t="shared" si="18"/>
        <v>April</v>
      </c>
      <c r="I412" s="308">
        <f t="shared" ca="1" si="19"/>
        <v>22</v>
      </c>
      <c r="J412" s="308"/>
      <c r="K412" s="309">
        <v>52750</v>
      </c>
      <c r="L412" s="310">
        <v>1</v>
      </c>
      <c r="Q412" s="264" t="s">
        <v>2726</v>
      </c>
      <c r="R412" s="265">
        <v>41918</v>
      </c>
      <c r="S412" s="265">
        <v>42180</v>
      </c>
      <c r="T412" s="39">
        <f t="shared" si="20"/>
        <v>262</v>
      </c>
    </row>
    <row r="413" spans="1:20">
      <c r="A413" s="291" t="s">
        <v>984</v>
      </c>
      <c r="B413" s="292" t="s">
        <v>280</v>
      </c>
      <c r="C413" s="293" t="s">
        <v>856</v>
      </c>
      <c r="D413" s="294">
        <v>531654742</v>
      </c>
      <c r="E413" s="295">
        <v>9195770085</v>
      </c>
      <c r="F413" s="293" t="s">
        <v>256</v>
      </c>
      <c r="G413" s="296">
        <v>38703</v>
      </c>
      <c r="H413" s="297" t="str">
        <f t="shared" si="18"/>
        <v>December</v>
      </c>
      <c r="I413" s="298">
        <f t="shared" ca="1" si="19"/>
        <v>10</v>
      </c>
      <c r="J413" s="298" t="s">
        <v>257</v>
      </c>
      <c r="K413" s="299">
        <v>29210</v>
      </c>
      <c r="L413" s="300">
        <v>5</v>
      </c>
      <c r="Q413" s="264" t="s">
        <v>2725</v>
      </c>
      <c r="R413" s="265">
        <v>41481</v>
      </c>
      <c r="S413" s="265">
        <v>42377</v>
      </c>
      <c r="T413" s="39">
        <f t="shared" si="20"/>
        <v>896</v>
      </c>
    </row>
    <row r="414" spans="1:20">
      <c r="A414" s="301" t="s">
        <v>545</v>
      </c>
      <c r="B414" s="302" t="s">
        <v>271</v>
      </c>
      <c r="C414" s="303" t="s">
        <v>312</v>
      </c>
      <c r="D414" s="304">
        <v>631405285</v>
      </c>
      <c r="E414" s="305">
        <v>2527491979</v>
      </c>
      <c r="F414" s="303" t="s">
        <v>256</v>
      </c>
      <c r="G414" s="306">
        <v>34437</v>
      </c>
      <c r="H414" s="307" t="str">
        <f t="shared" si="18"/>
        <v>April</v>
      </c>
      <c r="I414" s="308">
        <f t="shared" ca="1" si="19"/>
        <v>22</v>
      </c>
      <c r="J414" s="308" t="s">
        <v>283</v>
      </c>
      <c r="K414" s="309">
        <v>85920</v>
      </c>
      <c r="L414" s="310">
        <v>4</v>
      </c>
      <c r="Q414" s="264" t="s">
        <v>2724</v>
      </c>
      <c r="R414" s="265">
        <v>41034</v>
      </c>
      <c r="S414" s="265">
        <v>41456</v>
      </c>
      <c r="T414" s="39">
        <f t="shared" si="20"/>
        <v>422</v>
      </c>
    </row>
    <row r="415" spans="1:20">
      <c r="A415" s="291" t="s">
        <v>985</v>
      </c>
      <c r="B415" s="292" t="s">
        <v>271</v>
      </c>
      <c r="C415" s="293" t="s">
        <v>272</v>
      </c>
      <c r="D415" s="294">
        <v>781913936</v>
      </c>
      <c r="E415" s="295">
        <v>9197889149</v>
      </c>
      <c r="F415" s="293" t="s">
        <v>261</v>
      </c>
      <c r="G415" s="296">
        <v>38692</v>
      </c>
      <c r="H415" s="297" t="str">
        <f t="shared" si="18"/>
        <v>December</v>
      </c>
      <c r="I415" s="298">
        <f t="shared" ca="1" si="19"/>
        <v>10</v>
      </c>
      <c r="J415" s="298" t="s">
        <v>276</v>
      </c>
      <c r="K415" s="299">
        <v>17735</v>
      </c>
      <c r="L415" s="300">
        <v>3</v>
      </c>
      <c r="Q415" s="264" t="s">
        <v>2723</v>
      </c>
      <c r="R415" s="265">
        <v>41047</v>
      </c>
      <c r="S415" s="265">
        <v>41707</v>
      </c>
      <c r="T415" s="39">
        <f t="shared" si="20"/>
        <v>660</v>
      </c>
    </row>
    <row r="416" spans="1:20">
      <c r="A416" s="301" t="s">
        <v>337</v>
      </c>
      <c r="B416" s="302" t="s">
        <v>271</v>
      </c>
      <c r="C416" s="303" t="s">
        <v>417</v>
      </c>
      <c r="D416" s="304">
        <v>625531462</v>
      </c>
      <c r="E416" s="305">
        <v>2527553017</v>
      </c>
      <c r="F416" s="303" t="s">
        <v>256</v>
      </c>
      <c r="G416" s="306">
        <v>38198</v>
      </c>
      <c r="H416" s="307" t="str">
        <f t="shared" si="18"/>
        <v>July</v>
      </c>
      <c r="I416" s="308">
        <f t="shared" ca="1" si="19"/>
        <v>12</v>
      </c>
      <c r="J416" s="308" t="s">
        <v>257</v>
      </c>
      <c r="K416" s="309">
        <v>42480</v>
      </c>
      <c r="L416" s="310">
        <v>3</v>
      </c>
      <c r="Q416" s="264" t="s">
        <v>2722</v>
      </c>
      <c r="R416" s="265">
        <v>40996</v>
      </c>
      <c r="S416" s="265">
        <v>41567</v>
      </c>
      <c r="T416" s="39">
        <f t="shared" si="20"/>
        <v>571</v>
      </c>
    </row>
    <row r="417" spans="1:20">
      <c r="A417" s="291" t="s">
        <v>898</v>
      </c>
      <c r="B417" s="292" t="s">
        <v>271</v>
      </c>
      <c r="C417" s="293" t="s">
        <v>930</v>
      </c>
      <c r="D417" s="294">
        <v>693214759</v>
      </c>
      <c r="E417" s="295">
        <v>9192683895</v>
      </c>
      <c r="F417" s="293" t="s">
        <v>256</v>
      </c>
      <c r="G417" s="296">
        <v>34716</v>
      </c>
      <c r="H417" s="297" t="str">
        <f t="shared" si="18"/>
        <v>January</v>
      </c>
      <c r="I417" s="298">
        <f t="shared" ca="1" si="19"/>
        <v>21</v>
      </c>
      <c r="J417" s="298" t="s">
        <v>262</v>
      </c>
      <c r="K417" s="299">
        <v>62780</v>
      </c>
      <c r="L417" s="300">
        <v>3</v>
      </c>
      <c r="Q417" s="264" t="s">
        <v>2721</v>
      </c>
      <c r="R417" s="265">
        <v>41729</v>
      </c>
      <c r="S417" s="265">
        <v>42112</v>
      </c>
      <c r="T417" s="39">
        <f t="shared" si="20"/>
        <v>383</v>
      </c>
    </row>
    <row r="418" spans="1:20">
      <c r="A418" s="301" t="s">
        <v>899</v>
      </c>
      <c r="B418" s="302" t="s">
        <v>280</v>
      </c>
      <c r="C418" s="303" t="s">
        <v>272</v>
      </c>
      <c r="D418" s="304">
        <v>475256935</v>
      </c>
      <c r="E418" s="305">
        <v>2527852326</v>
      </c>
      <c r="F418" s="303" t="s">
        <v>256</v>
      </c>
      <c r="G418" s="306">
        <v>36652</v>
      </c>
      <c r="H418" s="307" t="str">
        <f t="shared" si="18"/>
        <v>May</v>
      </c>
      <c r="I418" s="308">
        <f t="shared" ca="1" si="19"/>
        <v>16</v>
      </c>
      <c r="J418" s="308" t="s">
        <v>283</v>
      </c>
      <c r="K418" s="309">
        <v>85300</v>
      </c>
      <c r="L418" s="310">
        <v>2</v>
      </c>
      <c r="Q418" s="264" t="s">
        <v>2720</v>
      </c>
      <c r="R418" s="265">
        <v>42332</v>
      </c>
      <c r="S418" s="265">
        <v>42719</v>
      </c>
      <c r="T418" s="39">
        <f t="shared" si="20"/>
        <v>387</v>
      </c>
    </row>
    <row r="419" spans="1:20">
      <c r="A419" s="291" t="s">
        <v>728</v>
      </c>
      <c r="B419" s="292" t="s">
        <v>271</v>
      </c>
      <c r="C419" s="293" t="s">
        <v>856</v>
      </c>
      <c r="D419" s="294">
        <v>277925508</v>
      </c>
      <c r="E419" s="295">
        <v>2526584511</v>
      </c>
      <c r="F419" s="293" t="s">
        <v>256</v>
      </c>
      <c r="G419" s="296">
        <v>36283</v>
      </c>
      <c r="H419" s="297" t="str">
        <f t="shared" si="18"/>
        <v>May</v>
      </c>
      <c r="I419" s="298">
        <f t="shared" ca="1" si="19"/>
        <v>17</v>
      </c>
      <c r="J419" s="298" t="s">
        <v>283</v>
      </c>
      <c r="K419" s="299">
        <v>66440</v>
      </c>
      <c r="L419" s="300">
        <v>3</v>
      </c>
      <c r="Q419" s="264" t="s">
        <v>2719</v>
      </c>
      <c r="R419" s="265">
        <v>41600</v>
      </c>
      <c r="S419" s="265">
        <v>42365</v>
      </c>
      <c r="T419" s="39">
        <f t="shared" si="20"/>
        <v>765</v>
      </c>
    </row>
    <row r="420" spans="1:20">
      <c r="A420" s="301" t="s">
        <v>435</v>
      </c>
      <c r="B420" s="302" t="s">
        <v>271</v>
      </c>
      <c r="C420" s="303" t="s">
        <v>856</v>
      </c>
      <c r="D420" s="304">
        <v>644489557</v>
      </c>
      <c r="E420" s="305">
        <v>2526532463</v>
      </c>
      <c r="F420" s="303" t="s">
        <v>256</v>
      </c>
      <c r="G420" s="306">
        <v>36922</v>
      </c>
      <c r="H420" s="307" t="str">
        <f t="shared" si="18"/>
        <v>January</v>
      </c>
      <c r="I420" s="308">
        <f t="shared" ca="1" si="19"/>
        <v>15</v>
      </c>
      <c r="J420" s="308" t="s">
        <v>262</v>
      </c>
      <c r="K420" s="309">
        <v>78950</v>
      </c>
      <c r="L420" s="310">
        <v>1</v>
      </c>
      <c r="Q420" s="264" t="s">
        <v>2718</v>
      </c>
      <c r="R420" s="265">
        <v>41461</v>
      </c>
      <c r="S420" s="265">
        <v>41637</v>
      </c>
      <c r="T420" s="39">
        <f t="shared" si="20"/>
        <v>176</v>
      </c>
    </row>
    <row r="421" spans="1:20">
      <c r="A421" s="291" t="s">
        <v>338</v>
      </c>
      <c r="B421" s="292" t="s">
        <v>271</v>
      </c>
      <c r="C421" s="293" t="s">
        <v>678</v>
      </c>
      <c r="D421" s="294">
        <v>788832967</v>
      </c>
      <c r="E421" s="295">
        <v>2521919147</v>
      </c>
      <c r="F421" s="293" t="s">
        <v>252</v>
      </c>
      <c r="G421" s="296">
        <v>36291</v>
      </c>
      <c r="H421" s="297" t="str">
        <f t="shared" si="18"/>
        <v>May</v>
      </c>
      <c r="I421" s="298">
        <f t="shared" ca="1" si="19"/>
        <v>17</v>
      </c>
      <c r="J421" s="298"/>
      <c r="K421" s="299">
        <v>35312</v>
      </c>
      <c r="L421" s="300">
        <v>3</v>
      </c>
      <c r="Q421" s="264" t="s">
        <v>2717</v>
      </c>
      <c r="R421" s="265">
        <v>41872</v>
      </c>
      <c r="S421" s="265">
        <v>42541</v>
      </c>
      <c r="T421" s="39">
        <f t="shared" si="20"/>
        <v>669</v>
      </c>
    </row>
    <row r="422" spans="1:20">
      <c r="A422" s="301" t="s">
        <v>399</v>
      </c>
      <c r="B422" s="302" t="s">
        <v>251</v>
      </c>
      <c r="C422" s="303" t="s">
        <v>626</v>
      </c>
      <c r="D422" s="304">
        <v>154984918</v>
      </c>
      <c r="E422" s="305">
        <v>2521575684</v>
      </c>
      <c r="F422" s="303" t="s">
        <v>256</v>
      </c>
      <c r="G422" s="306">
        <v>34317</v>
      </c>
      <c r="H422" s="307" t="str">
        <f t="shared" si="18"/>
        <v>December</v>
      </c>
      <c r="I422" s="308">
        <f t="shared" ca="1" si="19"/>
        <v>22</v>
      </c>
      <c r="J422" s="308" t="s">
        <v>257</v>
      </c>
      <c r="K422" s="309">
        <v>22900</v>
      </c>
      <c r="L422" s="310">
        <v>1</v>
      </c>
      <c r="Q422" s="264" t="s">
        <v>2716</v>
      </c>
      <c r="R422" s="265">
        <v>41482</v>
      </c>
      <c r="S422" s="265">
        <v>41626</v>
      </c>
      <c r="T422" s="39">
        <f t="shared" si="20"/>
        <v>144</v>
      </c>
    </row>
    <row r="423" spans="1:20">
      <c r="A423" s="291" t="s">
        <v>339</v>
      </c>
      <c r="B423" s="292" t="s">
        <v>266</v>
      </c>
      <c r="C423" s="293" t="s">
        <v>626</v>
      </c>
      <c r="D423" s="294">
        <v>506165137</v>
      </c>
      <c r="E423" s="295">
        <v>9193613417</v>
      </c>
      <c r="F423" s="293" t="s">
        <v>256</v>
      </c>
      <c r="G423" s="296">
        <v>40993</v>
      </c>
      <c r="H423" s="297" t="str">
        <f t="shared" si="18"/>
        <v>March</v>
      </c>
      <c r="I423" s="298">
        <f t="shared" ca="1" si="19"/>
        <v>4</v>
      </c>
      <c r="J423" s="298" t="s">
        <v>283</v>
      </c>
      <c r="K423" s="299">
        <v>44150</v>
      </c>
      <c r="L423" s="300">
        <v>4</v>
      </c>
      <c r="Q423" s="264" t="s">
        <v>2715</v>
      </c>
      <c r="R423" s="265">
        <v>41560</v>
      </c>
      <c r="S423" s="265">
        <v>42446</v>
      </c>
      <c r="T423" s="39">
        <f t="shared" si="20"/>
        <v>886</v>
      </c>
    </row>
    <row r="424" spans="1:20">
      <c r="A424" s="301" t="s">
        <v>690</v>
      </c>
      <c r="B424" s="302" t="s">
        <v>271</v>
      </c>
      <c r="C424" s="303" t="s">
        <v>312</v>
      </c>
      <c r="D424" s="304">
        <v>639314672</v>
      </c>
      <c r="E424" s="305">
        <v>9191919478</v>
      </c>
      <c r="F424" s="303" t="s">
        <v>261</v>
      </c>
      <c r="G424" s="306">
        <v>36752</v>
      </c>
      <c r="H424" s="307" t="str">
        <f t="shared" si="18"/>
        <v>August</v>
      </c>
      <c r="I424" s="308">
        <f t="shared" ca="1" si="19"/>
        <v>16</v>
      </c>
      <c r="J424" s="308" t="s">
        <v>276</v>
      </c>
      <c r="K424" s="309">
        <v>23380</v>
      </c>
      <c r="L424" s="310">
        <v>4</v>
      </c>
      <c r="Q424" s="264" t="s">
        <v>2714</v>
      </c>
      <c r="R424" s="265">
        <v>42262</v>
      </c>
      <c r="S424" s="265">
        <v>42736</v>
      </c>
      <c r="T424" s="39">
        <f t="shared" si="20"/>
        <v>474</v>
      </c>
    </row>
    <row r="425" spans="1:20">
      <c r="A425" s="291" t="s">
        <v>546</v>
      </c>
      <c r="B425" s="292" t="s">
        <v>280</v>
      </c>
      <c r="C425" s="293" t="s">
        <v>465</v>
      </c>
      <c r="D425" s="294">
        <v>647552282</v>
      </c>
      <c r="E425" s="295">
        <v>9193392642</v>
      </c>
      <c r="F425" s="293" t="s">
        <v>247</v>
      </c>
      <c r="G425" s="296">
        <v>35175</v>
      </c>
      <c r="H425" s="297" t="str">
        <f t="shared" si="18"/>
        <v>April</v>
      </c>
      <c r="I425" s="298">
        <f t="shared" ca="1" si="19"/>
        <v>20</v>
      </c>
      <c r="J425" s="298"/>
      <c r="K425" s="299">
        <v>35460</v>
      </c>
      <c r="L425" s="300">
        <v>3</v>
      </c>
      <c r="Q425" s="264" t="s">
        <v>2713</v>
      </c>
      <c r="R425" s="265">
        <v>41252</v>
      </c>
      <c r="S425" s="265">
        <v>41950</v>
      </c>
      <c r="T425" s="39">
        <f t="shared" si="20"/>
        <v>698</v>
      </c>
    </row>
    <row r="426" spans="1:20">
      <c r="A426" s="301" t="s">
        <v>547</v>
      </c>
      <c r="B426" s="302" t="s">
        <v>266</v>
      </c>
      <c r="C426" s="303" t="s">
        <v>1031</v>
      </c>
      <c r="D426" s="304">
        <v>495372474</v>
      </c>
      <c r="E426" s="305">
        <v>9194137278</v>
      </c>
      <c r="F426" s="303" t="s">
        <v>261</v>
      </c>
      <c r="G426" s="306">
        <v>37467</v>
      </c>
      <c r="H426" s="307" t="str">
        <f t="shared" si="18"/>
        <v>July</v>
      </c>
      <c r="I426" s="308">
        <f t="shared" ca="1" si="19"/>
        <v>14</v>
      </c>
      <c r="J426" s="308" t="s">
        <v>257</v>
      </c>
      <c r="K426" s="309">
        <v>31250</v>
      </c>
      <c r="L426" s="310">
        <v>2</v>
      </c>
      <c r="Q426" s="264" t="s">
        <v>2712</v>
      </c>
      <c r="R426" s="265">
        <v>42066</v>
      </c>
      <c r="S426" s="265">
        <v>42261</v>
      </c>
      <c r="T426" s="39">
        <f t="shared" si="20"/>
        <v>195</v>
      </c>
    </row>
    <row r="427" spans="1:20">
      <c r="A427" s="291" t="s">
        <v>691</v>
      </c>
      <c r="B427" s="292" t="s">
        <v>285</v>
      </c>
      <c r="C427" s="293" t="s">
        <v>705</v>
      </c>
      <c r="D427" s="294">
        <v>959568761</v>
      </c>
      <c r="E427" s="295">
        <v>9194744493</v>
      </c>
      <c r="F427" s="293" t="s">
        <v>256</v>
      </c>
      <c r="G427" s="296">
        <v>34367</v>
      </c>
      <c r="H427" s="297" t="str">
        <f t="shared" si="18"/>
        <v>February</v>
      </c>
      <c r="I427" s="298">
        <f t="shared" ca="1" si="19"/>
        <v>22</v>
      </c>
      <c r="J427" s="298" t="s">
        <v>267</v>
      </c>
      <c r="K427" s="299">
        <v>61470</v>
      </c>
      <c r="L427" s="300">
        <v>5</v>
      </c>
      <c r="Q427" s="264" t="s">
        <v>2711</v>
      </c>
      <c r="R427" s="265">
        <v>41032</v>
      </c>
      <c r="S427" s="265">
        <v>41812</v>
      </c>
      <c r="T427" s="39">
        <f t="shared" si="20"/>
        <v>780</v>
      </c>
    </row>
    <row r="428" spans="1:20">
      <c r="A428" s="301" t="s">
        <v>729</v>
      </c>
      <c r="B428" s="302" t="s">
        <v>271</v>
      </c>
      <c r="C428" s="303" t="s">
        <v>312</v>
      </c>
      <c r="D428" s="304">
        <v>831188207</v>
      </c>
      <c r="E428" s="305">
        <v>9192121334</v>
      </c>
      <c r="F428" s="303" t="s">
        <v>256</v>
      </c>
      <c r="G428" s="306">
        <v>38151</v>
      </c>
      <c r="H428" s="307" t="str">
        <f t="shared" si="18"/>
        <v>June</v>
      </c>
      <c r="I428" s="308">
        <f t="shared" ca="1" si="19"/>
        <v>12</v>
      </c>
      <c r="J428" s="308" t="s">
        <v>257</v>
      </c>
      <c r="K428" s="309">
        <v>71950</v>
      </c>
      <c r="L428" s="310">
        <v>5</v>
      </c>
      <c r="Q428" s="264" t="s">
        <v>2710</v>
      </c>
      <c r="R428" s="265">
        <v>41108</v>
      </c>
      <c r="S428" s="265">
        <v>41480</v>
      </c>
      <c r="T428" s="39">
        <f t="shared" si="20"/>
        <v>372</v>
      </c>
    </row>
    <row r="429" spans="1:20">
      <c r="A429" s="291" t="s">
        <v>986</v>
      </c>
      <c r="B429" s="292" t="s">
        <v>285</v>
      </c>
      <c r="C429" s="293" t="s">
        <v>930</v>
      </c>
      <c r="D429" s="294">
        <v>151532569</v>
      </c>
      <c r="E429" s="295">
        <v>2525202015</v>
      </c>
      <c r="F429" s="293" t="s">
        <v>247</v>
      </c>
      <c r="G429" s="296">
        <v>41473</v>
      </c>
      <c r="H429" s="297" t="str">
        <f t="shared" si="18"/>
        <v>July</v>
      </c>
      <c r="I429" s="298">
        <f t="shared" ca="1" si="19"/>
        <v>3</v>
      </c>
      <c r="J429" s="298"/>
      <c r="K429" s="299">
        <v>55510</v>
      </c>
      <c r="L429" s="300">
        <v>3</v>
      </c>
      <c r="Q429" s="264" t="s">
        <v>2709</v>
      </c>
      <c r="R429" s="265">
        <v>41942</v>
      </c>
      <c r="S429" s="265">
        <v>42747</v>
      </c>
      <c r="T429" s="39">
        <f t="shared" si="20"/>
        <v>805</v>
      </c>
    </row>
    <row r="430" spans="1:20">
      <c r="A430" s="301" t="s">
        <v>548</v>
      </c>
      <c r="B430" s="302" t="s">
        <v>245</v>
      </c>
      <c r="C430" s="303" t="s">
        <v>930</v>
      </c>
      <c r="D430" s="304">
        <v>667745362</v>
      </c>
      <c r="E430" s="305">
        <v>2522952173</v>
      </c>
      <c r="F430" s="303" t="s">
        <v>247</v>
      </c>
      <c r="G430" s="306">
        <v>40638</v>
      </c>
      <c r="H430" s="307" t="str">
        <f t="shared" si="18"/>
        <v>April</v>
      </c>
      <c r="I430" s="308">
        <f t="shared" ca="1" si="19"/>
        <v>5</v>
      </c>
      <c r="J430" s="308"/>
      <c r="K430" s="309">
        <v>86040</v>
      </c>
      <c r="L430" s="310">
        <v>5</v>
      </c>
      <c r="Q430" s="264" t="s">
        <v>2708</v>
      </c>
      <c r="R430" s="265">
        <v>41851</v>
      </c>
      <c r="S430" s="265">
        <v>42600</v>
      </c>
      <c r="T430" s="39">
        <f t="shared" si="20"/>
        <v>749</v>
      </c>
    </row>
    <row r="431" spans="1:20">
      <c r="A431" s="291" t="s">
        <v>900</v>
      </c>
      <c r="B431" s="292" t="s">
        <v>285</v>
      </c>
      <c r="C431" s="293" t="s">
        <v>930</v>
      </c>
      <c r="D431" s="294">
        <v>144722757</v>
      </c>
      <c r="E431" s="295">
        <v>9196060038</v>
      </c>
      <c r="F431" s="293" t="s">
        <v>247</v>
      </c>
      <c r="G431" s="296">
        <v>34472</v>
      </c>
      <c r="H431" s="297" t="str">
        <f t="shared" si="18"/>
        <v>May</v>
      </c>
      <c r="I431" s="298">
        <f t="shared" ca="1" si="19"/>
        <v>22</v>
      </c>
      <c r="J431" s="298"/>
      <c r="K431" s="299">
        <v>57500</v>
      </c>
      <c r="L431" s="300">
        <v>1</v>
      </c>
      <c r="Q431" s="264" t="s">
        <v>2707</v>
      </c>
      <c r="R431" s="265">
        <v>41033</v>
      </c>
      <c r="S431" s="265">
        <v>41378</v>
      </c>
      <c r="T431" s="39">
        <f t="shared" si="20"/>
        <v>345</v>
      </c>
    </row>
    <row r="432" spans="1:20">
      <c r="A432" s="301" t="s">
        <v>400</v>
      </c>
      <c r="B432" s="302" t="s">
        <v>285</v>
      </c>
      <c r="C432" s="303" t="s">
        <v>312</v>
      </c>
      <c r="D432" s="304">
        <v>856215418</v>
      </c>
      <c r="E432" s="305">
        <v>2526168483</v>
      </c>
      <c r="F432" s="303" t="s">
        <v>252</v>
      </c>
      <c r="G432" s="306">
        <v>37512</v>
      </c>
      <c r="H432" s="307" t="str">
        <f t="shared" si="18"/>
        <v>September</v>
      </c>
      <c r="I432" s="308">
        <f t="shared" ca="1" si="19"/>
        <v>14</v>
      </c>
      <c r="J432" s="308"/>
      <c r="K432" s="309">
        <v>30080</v>
      </c>
      <c r="L432" s="310">
        <v>3</v>
      </c>
      <c r="Q432" s="264" t="s">
        <v>2706</v>
      </c>
      <c r="R432" s="265">
        <v>41470</v>
      </c>
      <c r="S432" s="265">
        <v>42204</v>
      </c>
      <c r="T432" s="39">
        <f t="shared" si="20"/>
        <v>734</v>
      </c>
    </row>
    <row r="433" spans="1:20">
      <c r="A433" s="291" t="s">
        <v>692</v>
      </c>
      <c r="B433" s="292" t="s">
        <v>245</v>
      </c>
      <c r="C433" s="293" t="s">
        <v>312</v>
      </c>
      <c r="D433" s="294">
        <v>580960042</v>
      </c>
      <c r="E433" s="295">
        <v>9197528456</v>
      </c>
      <c r="F433" s="293" t="s">
        <v>247</v>
      </c>
      <c r="G433" s="296">
        <v>39950</v>
      </c>
      <c r="H433" s="297" t="str">
        <f t="shared" si="18"/>
        <v>May</v>
      </c>
      <c r="I433" s="298">
        <f t="shared" ca="1" si="19"/>
        <v>7</v>
      </c>
      <c r="J433" s="298"/>
      <c r="K433" s="299">
        <v>62150</v>
      </c>
      <c r="L433" s="300">
        <v>4</v>
      </c>
      <c r="Q433" s="264" t="s">
        <v>2705</v>
      </c>
      <c r="R433" s="265">
        <v>42079</v>
      </c>
      <c r="S433" s="265">
        <v>42363</v>
      </c>
      <c r="T433" s="39">
        <f t="shared" si="20"/>
        <v>284</v>
      </c>
    </row>
    <row r="434" spans="1:20">
      <c r="A434" s="301" t="s">
        <v>901</v>
      </c>
      <c r="B434" s="302" t="s">
        <v>251</v>
      </c>
      <c r="C434" s="303" t="s">
        <v>930</v>
      </c>
      <c r="D434" s="304">
        <v>995590510</v>
      </c>
      <c r="E434" s="305">
        <v>9191838930</v>
      </c>
      <c r="F434" s="303" t="s">
        <v>247</v>
      </c>
      <c r="G434" s="306">
        <v>41548</v>
      </c>
      <c r="H434" s="307" t="str">
        <f t="shared" si="18"/>
        <v>October</v>
      </c>
      <c r="I434" s="308">
        <f t="shared" ca="1" si="19"/>
        <v>3</v>
      </c>
      <c r="J434" s="308"/>
      <c r="K434" s="309">
        <v>42990</v>
      </c>
      <c r="L434" s="310">
        <v>4</v>
      </c>
      <c r="Q434" s="264" t="s">
        <v>2704</v>
      </c>
      <c r="R434" s="265">
        <v>41663</v>
      </c>
      <c r="S434" s="265">
        <v>42373</v>
      </c>
      <c r="T434" s="39">
        <f t="shared" si="20"/>
        <v>710</v>
      </c>
    </row>
    <row r="435" spans="1:20">
      <c r="A435" s="291" t="s">
        <v>340</v>
      </c>
      <c r="B435" s="292" t="s">
        <v>266</v>
      </c>
      <c r="C435" s="293" t="s">
        <v>856</v>
      </c>
      <c r="D435" s="294">
        <v>733881041</v>
      </c>
      <c r="E435" s="295">
        <v>2524072342</v>
      </c>
      <c r="F435" s="293" t="s">
        <v>252</v>
      </c>
      <c r="G435" s="296">
        <v>37467</v>
      </c>
      <c r="H435" s="297" t="str">
        <f t="shared" si="18"/>
        <v>July</v>
      </c>
      <c r="I435" s="298">
        <f t="shared" ca="1" si="19"/>
        <v>14</v>
      </c>
      <c r="J435" s="298"/>
      <c r="K435" s="299">
        <v>15552</v>
      </c>
      <c r="L435" s="300">
        <v>4</v>
      </c>
      <c r="Q435" s="264" t="s">
        <v>2703</v>
      </c>
      <c r="R435" s="265">
        <v>41187</v>
      </c>
      <c r="S435" s="265">
        <v>41588</v>
      </c>
      <c r="T435" s="39">
        <f t="shared" si="20"/>
        <v>401</v>
      </c>
    </row>
    <row r="436" spans="1:20">
      <c r="A436" s="301" t="s">
        <v>401</v>
      </c>
      <c r="B436" s="302" t="s">
        <v>285</v>
      </c>
      <c r="C436" s="303" t="s">
        <v>767</v>
      </c>
      <c r="D436" s="304">
        <v>115404531</v>
      </c>
      <c r="E436" s="305">
        <v>2522636321</v>
      </c>
      <c r="F436" s="303" t="s">
        <v>261</v>
      </c>
      <c r="G436" s="306">
        <v>39083</v>
      </c>
      <c r="H436" s="307" t="str">
        <f t="shared" si="18"/>
        <v>January</v>
      </c>
      <c r="I436" s="308">
        <f t="shared" ca="1" si="19"/>
        <v>9</v>
      </c>
      <c r="J436" s="308" t="s">
        <v>283</v>
      </c>
      <c r="K436" s="309">
        <v>32900</v>
      </c>
      <c r="L436" s="310">
        <v>2</v>
      </c>
      <c r="Q436" s="264" t="s">
        <v>2702</v>
      </c>
      <c r="R436" s="265">
        <v>41110</v>
      </c>
      <c r="S436" s="265">
        <v>41329</v>
      </c>
      <c r="T436" s="39">
        <f t="shared" si="20"/>
        <v>219</v>
      </c>
    </row>
    <row r="437" spans="1:20">
      <c r="A437" s="291" t="s">
        <v>549</v>
      </c>
      <c r="B437" s="292" t="s">
        <v>271</v>
      </c>
      <c r="C437" s="293" t="s">
        <v>626</v>
      </c>
      <c r="D437" s="294">
        <v>649234799</v>
      </c>
      <c r="E437" s="295">
        <v>2521588597</v>
      </c>
      <c r="F437" s="293" t="s">
        <v>256</v>
      </c>
      <c r="G437" s="296">
        <v>41119</v>
      </c>
      <c r="H437" s="297" t="str">
        <f t="shared" si="18"/>
        <v>July</v>
      </c>
      <c r="I437" s="298">
        <f t="shared" ca="1" si="19"/>
        <v>4</v>
      </c>
      <c r="J437" s="298" t="s">
        <v>283</v>
      </c>
      <c r="K437" s="299">
        <v>45260</v>
      </c>
      <c r="L437" s="300">
        <v>4</v>
      </c>
      <c r="Q437" s="264" t="s">
        <v>2701</v>
      </c>
      <c r="R437" s="265">
        <v>41253</v>
      </c>
      <c r="S437" s="265">
        <v>41374</v>
      </c>
      <c r="T437" s="39">
        <f t="shared" si="20"/>
        <v>121</v>
      </c>
    </row>
    <row r="438" spans="1:20">
      <c r="A438" s="301" t="s">
        <v>550</v>
      </c>
      <c r="B438" s="302" t="s">
        <v>271</v>
      </c>
      <c r="C438" s="303" t="s">
        <v>930</v>
      </c>
      <c r="D438" s="304">
        <v>317749924</v>
      </c>
      <c r="E438" s="305">
        <v>9193441810</v>
      </c>
      <c r="F438" s="303" t="s">
        <v>247</v>
      </c>
      <c r="G438" s="306">
        <v>34887</v>
      </c>
      <c r="H438" s="307" t="str">
        <f t="shared" si="18"/>
        <v>July</v>
      </c>
      <c r="I438" s="308">
        <f t="shared" ca="1" si="19"/>
        <v>21</v>
      </c>
      <c r="J438" s="308"/>
      <c r="K438" s="309">
        <v>63290</v>
      </c>
      <c r="L438" s="310">
        <v>5</v>
      </c>
      <c r="Q438" s="264" t="s">
        <v>2700</v>
      </c>
      <c r="R438" s="265">
        <v>41507</v>
      </c>
      <c r="S438" s="265">
        <v>41833</v>
      </c>
      <c r="T438" s="39">
        <f t="shared" si="20"/>
        <v>326</v>
      </c>
    </row>
    <row r="439" spans="1:20">
      <c r="A439" s="291" t="s">
        <v>987</v>
      </c>
      <c r="B439" s="292" t="s">
        <v>271</v>
      </c>
      <c r="C439" s="293" t="s">
        <v>767</v>
      </c>
      <c r="D439" s="294">
        <v>462650472</v>
      </c>
      <c r="E439" s="295">
        <v>2521276517</v>
      </c>
      <c r="F439" s="293" t="s">
        <v>247</v>
      </c>
      <c r="G439" s="296">
        <v>34312</v>
      </c>
      <c r="H439" s="297" t="str">
        <f t="shared" si="18"/>
        <v>December</v>
      </c>
      <c r="I439" s="298">
        <f t="shared" ca="1" si="19"/>
        <v>22</v>
      </c>
      <c r="J439" s="298"/>
      <c r="K439" s="299">
        <v>79380</v>
      </c>
      <c r="L439" s="300">
        <v>1</v>
      </c>
      <c r="Q439" s="264" t="s">
        <v>2699</v>
      </c>
      <c r="R439" s="265">
        <v>42129</v>
      </c>
      <c r="S439" s="265">
        <v>42939</v>
      </c>
      <c r="T439" s="39">
        <f t="shared" si="20"/>
        <v>810</v>
      </c>
    </row>
    <row r="440" spans="1:20">
      <c r="A440" s="301" t="s">
        <v>551</v>
      </c>
      <c r="B440" s="302" t="s">
        <v>271</v>
      </c>
      <c r="C440" s="303" t="s">
        <v>678</v>
      </c>
      <c r="D440" s="304">
        <v>397835298</v>
      </c>
      <c r="E440" s="305">
        <v>9196795200</v>
      </c>
      <c r="F440" s="303" t="s">
        <v>247</v>
      </c>
      <c r="G440" s="306">
        <v>41282</v>
      </c>
      <c r="H440" s="307" t="str">
        <f t="shared" si="18"/>
        <v>January</v>
      </c>
      <c r="I440" s="308">
        <f t="shared" ca="1" si="19"/>
        <v>3</v>
      </c>
      <c r="J440" s="308"/>
      <c r="K440" s="309">
        <v>75100</v>
      </c>
      <c r="L440" s="310">
        <v>4</v>
      </c>
      <c r="Q440" s="264" t="s">
        <v>2698</v>
      </c>
      <c r="R440" s="265">
        <v>42062</v>
      </c>
      <c r="S440" s="265">
        <v>42484</v>
      </c>
      <c r="T440" s="39">
        <f t="shared" si="20"/>
        <v>422</v>
      </c>
    </row>
    <row r="441" spans="1:20">
      <c r="A441" s="291" t="s">
        <v>300</v>
      </c>
      <c r="B441" s="292" t="s">
        <v>285</v>
      </c>
      <c r="C441" s="293" t="s">
        <v>465</v>
      </c>
      <c r="D441" s="294">
        <v>948480407</v>
      </c>
      <c r="E441" s="295">
        <v>9191449596</v>
      </c>
      <c r="F441" s="293" t="s">
        <v>247</v>
      </c>
      <c r="G441" s="296">
        <v>38544</v>
      </c>
      <c r="H441" s="297" t="str">
        <f t="shared" si="18"/>
        <v>July</v>
      </c>
      <c r="I441" s="298">
        <f t="shared" ca="1" si="19"/>
        <v>11</v>
      </c>
      <c r="J441" s="298"/>
      <c r="K441" s="299">
        <v>61370</v>
      </c>
      <c r="L441" s="300">
        <v>3</v>
      </c>
      <c r="Q441" s="264" t="s">
        <v>2697</v>
      </c>
      <c r="R441" s="265">
        <v>41597</v>
      </c>
      <c r="S441" s="265">
        <v>42249</v>
      </c>
      <c r="T441" s="39">
        <f t="shared" si="20"/>
        <v>652</v>
      </c>
    </row>
    <row r="442" spans="1:20">
      <c r="A442" s="301" t="s">
        <v>552</v>
      </c>
      <c r="B442" s="302" t="s">
        <v>271</v>
      </c>
      <c r="C442" s="303" t="s">
        <v>312</v>
      </c>
      <c r="D442" s="304">
        <v>504735443</v>
      </c>
      <c r="E442" s="305">
        <v>9191629556</v>
      </c>
      <c r="F442" s="303" t="s">
        <v>247</v>
      </c>
      <c r="G442" s="306">
        <v>36812</v>
      </c>
      <c r="H442" s="307" t="str">
        <f t="shared" si="18"/>
        <v>October</v>
      </c>
      <c r="I442" s="308">
        <f t="shared" ca="1" si="19"/>
        <v>16</v>
      </c>
      <c r="J442" s="308"/>
      <c r="K442" s="309">
        <v>63340</v>
      </c>
      <c r="L442" s="310">
        <v>3</v>
      </c>
      <c r="Q442" s="264" t="s">
        <v>2696</v>
      </c>
      <c r="R442" s="265">
        <v>41624</v>
      </c>
      <c r="S442" s="265">
        <v>42269</v>
      </c>
      <c r="T442" s="39">
        <f t="shared" si="20"/>
        <v>645</v>
      </c>
    </row>
    <row r="443" spans="1:20">
      <c r="A443" s="291" t="s">
        <v>553</v>
      </c>
      <c r="B443" s="292" t="s">
        <v>245</v>
      </c>
      <c r="C443" s="293" t="s">
        <v>856</v>
      </c>
      <c r="D443" s="294">
        <v>426014550</v>
      </c>
      <c r="E443" s="295">
        <v>2522889182</v>
      </c>
      <c r="F443" s="293" t="s">
        <v>256</v>
      </c>
      <c r="G443" s="296">
        <v>36361</v>
      </c>
      <c r="H443" s="297" t="str">
        <f t="shared" si="18"/>
        <v>July</v>
      </c>
      <c r="I443" s="298">
        <f t="shared" ca="1" si="19"/>
        <v>17</v>
      </c>
      <c r="J443" s="298" t="s">
        <v>276</v>
      </c>
      <c r="K443" s="299">
        <v>62965</v>
      </c>
      <c r="L443" s="300">
        <v>1</v>
      </c>
      <c r="Q443" s="264" t="s">
        <v>2695</v>
      </c>
      <c r="R443" s="265">
        <v>41250</v>
      </c>
      <c r="S443" s="265">
        <v>42073</v>
      </c>
      <c r="T443" s="39">
        <f t="shared" si="20"/>
        <v>823</v>
      </c>
    </row>
    <row r="444" spans="1:20">
      <c r="A444" s="301" t="s">
        <v>658</v>
      </c>
      <c r="B444" s="302" t="s">
        <v>285</v>
      </c>
      <c r="C444" s="303" t="s">
        <v>767</v>
      </c>
      <c r="D444" s="304">
        <v>468234190</v>
      </c>
      <c r="E444" s="305">
        <v>2521569304</v>
      </c>
      <c r="F444" s="303" t="s">
        <v>256</v>
      </c>
      <c r="G444" s="306">
        <v>36079</v>
      </c>
      <c r="H444" s="307" t="str">
        <f t="shared" si="18"/>
        <v>October</v>
      </c>
      <c r="I444" s="308">
        <f t="shared" ca="1" si="19"/>
        <v>18</v>
      </c>
      <c r="J444" s="308" t="s">
        <v>276</v>
      </c>
      <c r="K444" s="309">
        <v>72640</v>
      </c>
      <c r="L444" s="310">
        <v>3</v>
      </c>
      <c r="Q444" s="264" t="s">
        <v>2694</v>
      </c>
      <c r="R444" s="265">
        <v>41035</v>
      </c>
      <c r="S444" s="265">
        <v>41333</v>
      </c>
      <c r="T444" s="39">
        <f t="shared" si="20"/>
        <v>298</v>
      </c>
    </row>
    <row r="445" spans="1:20">
      <c r="A445" s="291" t="s">
        <v>701</v>
      </c>
      <c r="B445" s="292" t="s">
        <v>266</v>
      </c>
      <c r="C445" s="293" t="s">
        <v>767</v>
      </c>
      <c r="D445" s="294">
        <v>239847790</v>
      </c>
      <c r="E445" s="295">
        <v>2524045531</v>
      </c>
      <c r="F445" s="293" t="s">
        <v>247</v>
      </c>
      <c r="G445" s="296">
        <v>37285</v>
      </c>
      <c r="H445" s="297" t="str">
        <f t="shared" si="18"/>
        <v>January</v>
      </c>
      <c r="I445" s="298">
        <f t="shared" ca="1" si="19"/>
        <v>14</v>
      </c>
      <c r="J445" s="298"/>
      <c r="K445" s="299">
        <v>71300</v>
      </c>
      <c r="L445" s="300">
        <v>5</v>
      </c>
      <c r="Q445" s="264" t="s">
        <v>2693</v>
      </c>
      <c r="R445" s="265">
        <v>41304</v>
      </c>
      <c r="S445" s="265">
        <v>41837</v>
      </c>
      <c r="T445" s="39">
        <f t="shared" si="20"/>
        <v>533</v>
      </c>
    </row>
    <row r="446" spans="1:20">
      <c r="A446" s="301" t="s">
        <v>554</v>
      </c>
      <c r="B446" s="302" t="s">
        <v>271</v>
      </c>
      <c r="C446" s="303" t="s">
        <v>465</v>
      </c>
      <c r="D446" s="304">
        <v>708108747</v>
      </c>
      <c r="E446" s="305">
        <v>9192520526</v>
      </c>
      <c r="F446" s="303" t="s">
        <v>256</v>
      </c>
      <c r="G446" s="306">
        <v>38853</v>
      </c>
      <c r="H446" s="307" t="str">
        <f t="shared" si="18"/>
        <v>May</v>
      </c>
      <c r="I446" s="308">
        <f t="shared" ca="1" si="19"/>
        <v>10</v>
      </c>
      <c r="J446" s="308" t="s">
        <v>257</v>
      </c>
      <c r="K446" s="309">
        <v>75176</v>
      </c>
      <c r="L446" s="310">
        <v>3</v>
      </c>
      <c r="Q446" s="264" t="s">
        <v>2692</v>
      </c>
      <c r="R446" s="265">
        <v>41718</v>
      </c>
      <c r="S446" s="265">
        <v>42412</v>
      </c>
      <c r="T446" s="39">
        <f t="shared" si="20"/>
        <v>694</v>
      </c>
    </row>
    <row r="447" spans="1:20">
      <c r="A447" s="291" t="s">
        <v>555</v>
      </c>
      <c r="B447" s="292" t="s">
        <v>271</v>
      </c>
      <c r="C447" s="293" t="s">
        <v>767</v>
      </c>
      <c r="D447" s="294">
        <v>959750235</v>
      </c>
      <c r="E447" s="295">
        <v>2528488350</v>
      </c>
      <c r="F447" s="293" t="s">
        <v>256</v>
      </c>
      <c r="G447" s="296">
        <v>41047</v>
      </c>
      <c r="H447" s="297" t="str">
        <f t="shared" si="18"/>
        <v>May</v>
      </c>
      <c r="I447" s="298">
        <f t="shared" ca="1" si="19"/>
        <v>4</v>
      </c>
      <c r="J447" s="298" t="s">
        <v>257</v>
      </c>
      <c r="K447" s="299">
        <v>54190</v>
      </c>
      <c r="L447" s="300">
        <v>4</v>
      </c>
      <c r="Q447" s="264" t="s">
        <v>2691</v>
      </c>
      <c r="R447" s="265">
        <v>41020</v>
      </c>
      <c r="S447" s="265">
        <v>41775</v>
      </c>
      <c r="T447" s="39">
        <f t="shared" si="20"/>
        <v>755</v>
      </c>
    </row>
    <row r="448" spans="1:20">
      <c r="A448" s="301" t="s">
        <v>341</v>
      </c>
      <c r="B448" s="302" t="s">
        <v>245</v>
      </c>
      <c r="C448" s="303" t="s">
        <v>312</v>
      </c>
      <c r="D448" s="304">
        <v>365117800</v>
      </c>
      <c r="E448" s="305">
        <v>2524125146</v>
      </c>
      <c r="F448" s="303" t="s">
        <v>256</v>
      </c>
      <c r="G448" s="306">
        <v>38870</v>
      </c>
      <c r="H448" s="307" t="str">
        <f t="shared" si="18"/>
        <v>June</v>
      </c>
      <c r="I448" s="308">
        <f t="shared" ca="1" si="19"/>
        <v>10</v>
      </c>
      <c r="J448" s="308" t="s">
        <v>257</v>
      </c>
      <c r="K448" s="309">
        <v>66890</v>
      </c>
      <c r="L448" s="310">
        <v>5</v>
      </c>
      <c r="Q448" s="264" t="s">
        <v>2690</v>
      </c>
      <c r="R448" s="265">
        <v>41051</v>
      </c>
      <c r="S448" s="265">
        <v>41514</v>
      </c>
      <c r="T448" s="39">
        <f t="shared" si="20"/>
        <v>463</v>
      </c>
    </row>
    <row r="449" spans="1:20">
      <c r="A449" s="291" t="s">
        <v>556</v>
      </c>
      <c r="B449" s="292" t="s">
        <v>285</v>
      </c>
      <c r="C449" s="293" t="s">
        <v>626</v>
      </c>
      <c r="D449" s="294">
        <v>385074661</v>
      </c>
      <c r="E449" s="295">
        <v>2527451745</v>
      </c>
      <c r="F449" s="293" t="s">
        <v>256</v>
      </c>
      <c r="G449" s="296">
        <v>35785</v>
      </c>
      <c r="H449" s="297" t="str">
        <f t="shared" si="18"/>
        <v>December</v>
      </c>
      <c r="I449" s="298">
        <f t="shared" ca="1" si="19"/>
        <v>18</v>
      </c>
      <c r="J449" s="298" t="s">
        <v>276</v>
      </c>
      <c r="K449" s="299">
        <v>66920</v>
      </c>
      <c r="L449" s="300">
        <v>2</v>
      </c>
      <c r="Q449" s="264" t="s">
        <v>2689</v>
      </c>
      <c r="R449" s="265">
        <v>41679</v>
      </c>
      <c r="S449" s="265">
        <v>41853</v>
      </c>
      <c r="T449" s="39">
        <f t="shared" si="20"/>
        <v>174</v>
      </c>
    </row>
    <row r="450" spans="1:20">
      <c r="A450" s="301" t="s">
        <v>557</v>
      </c>
      <c r="B450" s="302" t="s">
        <v>271</v>
      </c>
      <c r="C450" s="303" t="s">
        <v>312</v>
      </c>
      <c r="D450" s="304">
        <v>436693732</v>
      </c>
      <c r="E450" s="305">
        <v>2524077699</v>
      </c>
      <c r="F450" s="303" t="s">
        <v>256</v>
      </c>
      <c r="G450" s="306">
        <v>38086</v>
      </c>
      <c r="H450" s="307" t="str">
        <f t="shared" si="18"/>
        <v>April</v>
      </c>
      <c r="I450" s="308">
        <f t="shared" ca="1" si="19"/>
        <v>12</v>
      </c>
      <c r="J450" s="308" t="s">
        <v>267</v>
      </c>
      <c r="K450" s="309">
        <v>62790</v>
      </c>
      <c r="L450" s="310">
        <v>2</v>
      </c>
      <c r="Q450" s="264" t="s">
        <v>2688</v>
      </c>
      <c r="R450" s="265">
        <v>41235</v>
      </c>
      <c r="S450" s="265">
        <v>41908</v>
      </c>
      <c r="T450" s="39">
        <f t="shared" si="20"/>
        <v>673</v>
      </c>
    </row>
    <row r="451" spans="1:20">
      <c r="A451" s="291" t="s">
        <v>558</v>
      </c>
      <c r="B451" s="292" t="s">
        <v>285</v>
      </c>
      <c r="C451" s="293" t="s">
        <v>391</v>
      </c>
      <c r="D451" s="294">
        <v>828996583</v>
      </c>
      <c r="E451" s="295">
        <v>2521282202</v>
      </c>
      <c r="F451" s="293" t="s">
        <v>252</v>
      </c>
      <c r="G451" s="296">
        <v>34093</v>
      </c>
      <c r="H451" s="297" t="str">
        <f t="shared" si="18"/>
        <v>May</v>
      </c>
      <c r="I451" s="298">
        <f t="shared" ca="1" si="19"/>
        <v>23</v>
      </c>
      <c r="J451" s="298"/>
      <c r="K451" s="299">
        <v>14712</v>
      </c>
      <c r="L451" s="300">
        <v>5</v>
      </c>
      <c r="Q451" s="264" t="s">
        <v>2687</v>
      </c>
      <c r="R451" s="265">
        <v>40932</v>
      </c>
      <c r="S451" s="265">
        <v>41927</v>
      </c>
      <c r="T451" s="39">
        <f t="shared" si="20"/>
        <v>995</v>
      </c>
    </row>
    <row r="452" spans="1:20">
      <c r="A452" s="301" t="s">
        <v>559</v>
      </c>
      <c r="B452" s="302" t="s">
        <v>251</v>
      </c>
      <c r="C452" s="303" t="s">
        <v>465</v>
      </c>
      <c r="D452" s="304">
        <v>240272873</v>
      </c>
      <c r="E452" s="305">
        <v>9198912054</v>
      </c>
      <c r="F452" s="303" t="s">
        <v>247</v>
      </c>
      <c r="G452" s="306">
        <v>39822</v>
      </c>
      <c r="H452" s="307" t="str">
        <f t="shared" si="18"/>
        <v>January</v>
      </c>
      <c r="I452" s="308">
        <f t="shared" ca="1" si="19"/>
        <v>7</v>
      </c>
      <c r="J452" s="308"/>
      <c r="K452" s="309">
        <v>80330</v>
      </c>
      <c r="L452" s="310">
        <v>4</v>
      </c>
      <c r="Q452" s="264" t="s">
        <v>2686</v>
      </c>
      <c r="R452" s="265">
        <v>41118</v>
      </c>
      <c r="S452" s="265">
        <v>41894</v>
      </c>
      <c r="T452" s="39">
        <f t="shared" si="20"/>
        <v>776</v>
      </c>
    </row>
    <row r="453" spans="1:20">
      <c r="A453" s="291" t="s">
        <v>902</v>
      </c>
      <c r="B453" s="292" t="s">
        <v>285</v>
      </c>
      <c r="C453" s="293" t="s">
        <v>465</v>
      </c>
      <c r="D453" s="294">
        <v>565952209</v>
      </c>
      <c r="E453" s="295">
        <v>2522889972</v>
      </c>
      <c r="F453" s="293" t="s">
        <v>256</v>
      </c>
      <c r="G453" s="296">
        <v>35881</v>
      </c>
      <c r="H453" s="297" t="str">
        <f t="shared" si="18"/>
        <v>March</v>
      </c>
      <c r="I453" s="298">
        <f t="shared" ca="1" si="19"/>
        <v>18</v>
      </c>
      <c r="J453" s="298" t="s">
        <v>283</v>
      </c>
      <c r="K453" s="299">
        <v>67050</v>
      </c>
      <c r="L453" s="300">
        <v>4</v>
      </c>
      <c r="Q453" s="264" t="s">
        <v>2685</v>
      </c>
      <c r="R453" s="265">
        <v>41498</v>
      </c>
      <c r="S453" s="265">
        <v>41804</v>
      </c>
      <c r="T453" s="39">
        <f t="shared" si="20"/>
        <v>306</v>
      </c>
    </row>
    <row r="454" spans="1:20">
      <c r="A454" s="301" t="s">
        <v>903</v>
      </c>
      <c r="B454" s="302" t="s">
        <v>245</v>
      </c>
      <c r="C454" s="303" t="s">
        <v>626</v>
      </c>
      <c r="D454" s="304">
        <v>917714039</v>
      </c>
      <c r="E454" s="305">
        <v>9194402150</v>
      </c>
      <c r="F454" s="303" t="s">
        <v>256</v>
      </c>
      <c r="G454" s="306">
        <v>36130</v>
      </c>
      <c r="H454" s="307" t="str">
        <f t="shared" ref="H454:H517" si="21">CHOOSE(MONTH(G454),"January","February","March","April","May","June","July","August","September","October","November","December")</f>
        <v>December</v>
      </c>
      <c r="I454" s="308">
        <f t="shared" ref="I454:I517" ca="1" si="22">DATEDIF(G454,TODAY(),"Y")</f>
        <v>17</v>
      </c>
      <c r="J454" s="308" t="s">
        <v>267</v>
      </c>
      <c r="K454" s="309">
        <v>70480</v>
      </c>
      <c r="L454" s="310">
        <v>4</v>
      </c>
      <c r="Q454" s="264" t="s">
        <v>2684</v>
      </c>
      <c r="R454" s="265">
        <v>41631</v>
      </c>
      <c r="S454" s="265">
        <v>41802</v>
      </c>
      <c r="T454" s="39">
        <f t="shared" ref="T454:T517" si="23">DATEDIF(R454,S454,"d")</f>
        <v>171</v>
      </c>
    </row>
    <row r="455" spans="1:20">
      <c r="A455" s="291" t="s">
        <v>560</v>
      </c>
      <c r="B455" s="292" t="s">
        <v>245</v>
      </c>
      <c r="C455" s="293" t="s">
        <v>312</v>
      </c>
      <c r="D455" s="294">
        <v>733413074</v>
      </c>
      <c r="E455" s="295">
        <v>9192224790</v>
      </c>
      <c r="F455" s="293" t="s">
        <v>247</v>
      </c>
      <c r="G455" s="296">
        <v>39880</v>
      </c>
      <c r="H455" s="297" t="str">
        <f t="shared" si="21"/>
        <v>March</v>
      </c>
      <c r="I455" s="298">
        <f t="shared" ca="1" si="22"/>
        <v>7</v>
      </c>
      <c r="J455" s="298"/>
      <c r="K455" s="299">
        <v>83070</v>
      </c>
      <c r="L455" s="300">
        <v>3</v>
      </c>
      <c r="Q455" s="264" t="s">
        <v>2683</v>
      </c>
      <c r="R455" s="265">
        <v>41266</v>
      </c>
      <c r="S455" s="265">
        <v>41482</v>
      </c>
      <c r="T455" s="39">
        <f t="shared" si="23"/>
        <v>216</v>
      </c>
    </row>
    <row r="456" spans="1:20">
      <c r="A456" s="301" t="s">
        <v>988</v>
      </c>
      <c r="B456" s="302" t="s">
        <v>285</v>
      </c>
      <c r="C456" s="303" t="s">
        <v>417</v>
      </c>
      <c r="D456" s="304">
        <v>425598783</v>
      </c>
      <c r="E456" s="305">
        <v>9191559081</v>
      </c>
      <c r="F456" s="303" t="s">
        <v>261</v>
      </c>
      <c r="G456" s="306">
        <v>35980</v>
      </c>
      <c r="H456" s="307" t="str">
        <f t="shared" si="21"/>
        <v>July</v>
      </c>
      <c r="I456" s="308">
        <f t="shared" ca="1" si="22"/>
        <v>18</v>
      </c>
      <c r="J456" s="308" t="s">
        <v>276</v>
      </c>
      <c r="K456" s="309">
        <v>21220</v>
      </c>
      <c r="L456" s="310">
        <v>3</v>
      </c>
      <c r="Q456" s="264" t="s">
        <v>2682</v>
      </c>
      <c r="R456" s="265">
        <v>41199</v>
      </c>
      <c r="S456" s="265">
        <v>41723</v>
      </c>
      <c r="T456" s="39">
        <f t="shared" si="23"/>
        <v>524</v>
      </c>
    </row>
    <row r="457" spans="1:20">
      <c r="A457" s="291" t="s">
        <v>460</v>
      </c>
      <c r="B457" s="292" t="s">
        <v>285</v>
      </c>
      <c r="C457" s="293" t="s">
        <v>930</v>
      </c>
      <c r="D457" s="294">
        <v>163350417</v>
      </c>
      <c r="E457" s="295">
        <v>2526466230</v>
      </c>
      <c r="F457" s="293" t="s">
        <v>256</v>
      </c>
      <c r="G457" s="296">
        <v>37582</v>
      </c>
      <c r="H457" s="297" t="str">
        <f t="shared" si="21"/>
        <v>November</v>
      </c>
      <c r="I457" s="298">
        <f t="shared" ca="1" si="22"/>
        <v>13</v>
      </c>
      <c r="J457" s="298" t="s">
        <v>262</v>
      </c>
      <c r="K457" s="299">
        <v>65320</v>
      </c>
      <c r="L457" s="300">
        <v>5</v>
      </c>
      <c r="Q457" s="264" t="s">
        <v>2681</v>
      </c>
      <c r="R457" s="265">
        <v>42071</v>
      </c>
      <c r="S457" s="265">
        <v>42261</v>
      </c>
      <c r="T457" s="39">
        <f t="shared" si="23"/>
        <v>190</v>
      </c>
    </row>
    <row r="458" spans="1:20">
      <c r="A458" s="301" t="s">
        <v>561</v>
      </c>
      <c r="B458" s="302" t="s">
        <v>285</v>
      </c>
      <c r="C458" s="303" t="s">
        <v>700</v>
      </c>
      <c r="D458" s="304">
        <v>974912089</v>
      </c>
      <c r="E458" s="305">
        <v>9192601200</v>
      </c>
      <c r="F458" s="303" t="s">
        <v>256</v>
      </c>
      <c r="G458" s="306">
        <v>35724</v>
      </c>
      <c r="H458" s="307" t="str">
        <f t="shared" si="21"/>
        <v>October</v>
      </c>
      <c r="I458" s="308">
        <f t="shared" ca="1" si="22"/>
        <v>19</v>
      </c>
      <c r="J458" s="308" t="s">
        <v>257</v>
      </c>
      <c r="K458" s="309">
        <v>63190</v>
      </c>
      <c r="L458" s="310">
        <v>1</v>
      </c>
      <c r="Q458" s="264" t="s">
        <v>2680</v>
      </c>
      <c r="R458" s="265">
        <v>41161</v>
      </c>
      <c r="S458" s="265">
        <v>41555</v>
      </c>
      <c r="T458" s="39">
        <f t="shared" si="23"/>
        <v>394</v>
      </c>
    </row>
    <row r="459" spans="1:20">
      <c r="A459" s="291" t="s">
        <v>402</v>
      </c>
      <c r="B459" s="292" t="s">
        <v>271</v>
      </c>
      <c r="C459" s="293" t="s">
        <v>465</v>
      </c>
      <c r="D459" s="294">
        <v>387517948</v>
      </c>
      <c r="E459" s="295">
        <v>9198213594</v>
      </c>
      <c r="F459" s="293" t="s">
        <v>256</v>
      </c>
      <c r="G459" s="296">
        <v>41544</v>
      </c>
      <c r="H459" s="297" t="str">
        <f t="shared" si="21"/>
        <v>September</v>
      </c>
      <c r="I459" s="298">
        <f t="shared" ca="1" si="22"/>
        <v>3</v>
      </c>
      <c r="J459" s="298" t="s">
        <v>257</v>
      </c>
      <c r="K459" s="299">
        <v>47440</v>
      </c>
      <c r="L459" s="300">
        <v>3</v>
      </c>
      <c r="Q459" s="264" t="s">
        <v>2679</v>
      </c>
      <c r="R459" s="265">
        <v>42126</v>
      </c>
      <c r="S459" s="265">
        <v>42601</v>
      </c>
      <c r="T459" s="39">
        <f t="shared" si="23"/>
        <v>475</v>
      </c>
    </row>
    <row r="460" spans="1:20">
      <c r="A460" s="301" t="s">
        <v>904</v>
      </c>
      <c r="B460" s="302" t="s">
        <v>285</v>
      </c>
      <c r="C460" s="303" t="s">
        <v>1031</v>
      </c>
      <c r="D460" s="304">
        <v>978092408</v>
      </c>
      <c r="E460" s="305">
        <v>9191888279</v>
      </c>
      <c r="F460" s="303" t="s">
        <v>247</v>
      </c>
      <c r="G460" s="306">
        <v>35435</v>
      </c>
      <c r="H460" s="307" t="str">
        <f t="shared" si="21"/>
        <v>January</v>
      </c>
      <c r="I460" s="308">
        <f t="shared" ca="1" si="22"/>
        <v>19</v>
      </c>
      <c r="J460" s="308"/>
      <c r="K460" s="309">
        <v>64720</v>
      </c>
      <c r="L460" s="310">
        <v>5</v>
      </c>
      <c r="Q460" s="264" t="s">
        <v>2678</v>
      </c>
      <c r="R460" s="265">
        <v>41511</v>
      </c>
      <c r="S460" s="265">
        <v>42420</v>
      </c>
      <c r="T460" s="39">
        <f t="shared" si="23"/>
        <v>909</v>
      </c>
    </row>
    <row r="461" spans="1:20">
      <c r="A461" s="291" t="s">
        <v>436</v>
      </c>
      <c r="B461" s="292" t="s">
        <v>266</v>
      </c>
      <c r="C461" s="293" t="s">
        <v>856</v>
      </c>
      <c r="D461" s="294">
        <v>313648228</v>
      </c>
      <c r="E461" s="295">
        <v>2524998145</v>
      </c>
      <c r="F461" s="293" t="s">
        <v>256</v>
      </c>
      <c r="G461" s="296">
        <v>38535</v>
      </c>
      <c r="H461" s="297" t="str">
        <f t="shared" si="21"/>
        <v>July</v>
      </c>
      <c r="I461" s="298">
        <f t="shared" ca="1" si="22"/>
        <v>11</v>
      </c>
      <c r="J461" s="298" t="s">
        <v>283</v>
      </c>
      <c r="K461" s="299">
        <v>82490</v>
      </c>
      <c r="L461" s="300">
        <v>5</v>
      </c>
      <c r="Q461" s="264" t="s">
        <v>2677</v>
      </c>
      <c r="R461" s="265">
        <v>41120</v>
      </c>
      <c r="S461" s="265">
        <v>41425</v>
      </c>
      <c r="T461" s="39">
        <f t="shared" si="23"/>
        <v>305</v>
      </c>
    </row>
    <row r="462" spans="1:20">
      <c r="A462" s="301" t="s">
        <v>1028</v>
      </c>
      <c r="B462" s="302" t="s">
        <v>271</v>
      </c>
      <c r="C462" s="303" t="s">
        <v>465</v>
      </c>
      <c r="D462" s="304">
        <v>147724014</v>
      </c>
      <c r="E462" s="305">
        <v>9192212512</v>
      </c>
      <c r="F462" s="303" t="s">
        <v>256</v>
      </c>
      <c r="G462" s="306">
        <v>36098</v>
      </c>
      <c r="H462" s="307" t="str">
        <f t="shared" si="21"/>
        <v>October</v>
      </c>
      <c r="I462" s="308">
        <f t="shared" ca="1" si="22"/>
        <v>18</v>
      </c>
      <c r="J462" s="308" t="s">
        <v>283</v>
      </c>
      <c r="K462" s="309">
        <v>44270</v>
      </c>
      <c r="L462" s="310">
        <v>2</v>
      </c>
      <c r="Q462" s="264" t="s">
        <v>2676</v>
      </c>
      <c r="R462" s="265">
        <v>41175</v>
      </c>
      <c r="S462" s="265">
        <v>42025</v>
      </c>
      <c r="T462" s="39">
        <f t="shared" si="23"/>
        <v>850</v>
      </c>
    </row>
    <row r="463" spans="1:20">
      <c r="A463" s="291" t="s">
        <v>693</v>
      </c>
      <c r="B463" s="292" t="s">
        <v>271</v>
      </c>
      <c r="C463" s="293" t="s">
        <v>465</v>
      </c>
      <c r="D463" s="294">
        <v>505966230</v>
      </c>
      <c r="E463" s="295">
        <v>9198038161</v>
      </c>
      <c r="F463" s="293" t="s">
        <v>256</v>
      </c>
      <c r="G463" s="296">
        <v>34903</v>
      </c>
      <c r="H463" s="297" t="str">
        <f t="shared" si="21"/>
        <v>July</v>
      </c>
      <c r="I463" s="298">
        <f t="shared" ca="1" si="22"/>
        <v>21</v>
      </c>
      <c r="J463" s="298" t="s">
        <v>283</v>
      </c>
      <c r="K463" s="299">
        <v>45500</v>
      </c>
      <c r="L463" s="300">
        <v>3</v>
      </c>
      <c r="Q463" s="264" t="s">
        <v>2675</v>
      </c>
      <c r="R463" s="265">
        <v>41626</v>
      </c>
      <c r="S463" s="265">
        <v>42391</v>
      </c>
      <c r="T463" s="39">
        <f t="shared" si="23"/>
        <v>765</v>
      </c>
    </row>
    <row r="464" spans="1:20">
      <c r="A464" s="301" t="s">
        <v>659</v>
      </c>
      <c r="B464" s="302" t="s">
        <v>280</v>
      </c>
      <c r="C464" s="303" t="s">
        <v>272</v>
      </c>
      <c r="D464" s="304">
        <v>415076748</v>
      </c>
      <c r="E464" s="305">
        <v>9195230846</v>
      </c>
      <c r="F464" s="303" t="s">
        <v>252</v>
      </c>
      <c r="G464" s="306">
        <v>34392</v>
      </c>
      <c r="H464" s="307" t="str">
        <f t="shared" si="21"/>
        <v>February</v>
      </c>
      <c r="I464" s="308">
        <f t="shared" ca="1" si="22"/>
        <v>22</v>
      </c>
      <c r="J464" s="308" t="s">
        <v>257</v>
      </c>
      <c r="K464" s="309">
        <v>29070</v>
      </c>
      <c r="L464" s="310">
        <v>3</v>
      </c>
      <c r="Q464" s="264" t="s">
        <v>2674</v>
      </c>
      <c r="R464" s="265">
        <v>42241</v>
      </c>
      <c r="S464" s="265">
        <v>42805</v>
      </c>
      <c r="T464" s="39">
        <f t="shared" si="23"/>
        <v>564</v>
      </c>
    </row>
    <row r="465" spans="1:20">
      <c r="A465" s="291" t="s">
        <v>989</v>
      </c>
      <c r="B465" s="292" t="s">
        <v>285</v>
      </c>
      <c r="C465" s="293" t="s">
        <v>456</v>
      </c>
      <c r="D465" s="294">
        <v>875920441</v>
      </c>
      <c r="E465" s="295">
        <v>9191715499</v>
      </c>
      <c r="F465" s="293" t="s">
        <v>261</v>
      </c>
      <c r="G465" s="296">
        <v>38415</v>
      </c>
      <c r="H465" s="297" t="str">
        <f t="shared" si="21"/>
        <v>March</v>
      </c>
      <c r="I465" s="298">
        <f t="shared" ca="1" si="22"/>
        <v>11</v>
      </c>
      <c r="J465" s="298" t="s">
        <v>276</v>
      </c>
      <c r="K465" s="299">
        <v>51800</v>
      </c>
      <c r="L465" s="300">
        <v>1</v>
      </c>
      <c r="Q465" s="264" t="s">
        <v>2673</v>
      </c>
      <c r="R465" s="265">
        <v>42097</v>
      </c>
      <c r="S465" s="265">
        <v>42500</v>
      </c>
      <c r="T465" s="39">
        <f t="shared" si="23"/>
        <v>403</v>
      </c>
    </row>
    <row r="466" spans="1:20">
      <c r="A466" s="301" t="s">
        <v>562</v>
      </c>
      <c r="B466" s="302" t="s">
        <v>285</v>
      </c>
      <c r="C466" s="303" t="s">
        <v>930</v>
      </c>
      <c r="D466" s="304">
        <v>695198896</v>
      </c>
      <c r="E466" s="305">
        <v>2523533906</v>
      </c>
      <c r="F466" s="303" t="s">
        <v>247</v>
      </c>
      <c r="G466" s="306">
        <v>36736</v>
      </c>
      <c r="H466" s="307" t="str">
        <f t="shared" si="21"/>
        <v>July</v>
      </c>
      <c r="I466" s="308">
        <f t="shared" ca="1" si="22"/>
        <v>16</v>
      </c>
      <c r="J466" s="308"/>
      <c r="K466" s="309">
        <v>45030</v>
      </c>
      <c r="L466" s="310">
        <v>3</v>
      </c>
      <c r="Q466" s="264" t="s">
        <v>2672</v>
      </c>
      <c r="R466" s="265">
        <v>42168</v>
      </c>
      <c r="S466" s="265">
        <v>42858</v>
      </c>
      <c r="T466" s="39">
        <f t="shared" si="23"/>
        <v>690</v>
      </c>
    </row>
    <row r="467" spans="1:20">
      <c r="A467" s="291" t="s">
        <v>905</v>
      </c>
      <c r="B467" s="292" t="s">
        <v>280</v>
      </c>
      <c r="C467" s="293" t="s">
        <v>618</v>
      </c>
      <c r="D467" s="294">
        <v>742946482</v>
      </c>
      <c r="E467" s="295">
        <v>9197077326</v>
      </c>
      <c r="F467" s="293" t="s">
        <v>256</v>
      </c>
      <c r="G467" s="296">
        <v>34742</v>
      </c>
      <c r="H467" s="297" t="str">
        <f t="shared" si="21"/>
        <v>February</v>
      </c>
      <c r="I467" s="298">
        <f t="shared" ca="1" si="22"/>
        <v>21</v>
      </c>
      <c r="J467" s="298" t="s">
        <v>257</v>
      </c>
      <c r="K467" s="299">
        <v>39160</v>
      </c>
      <c r="L467" s="300">
        <v>3</v>
      </c>
      <c r="Q467" s="264" t="s">
        <v>2671</v>
      </c>
      <c r="R467" s="265">
        <v>41020</v>
      </c>
      <c r="S467" s="265">
        <v>41847</v>
      </c>
      <c r="T467" s="39">
        <f t="shared" si="23"/>
        <v>827</v>
      </c>
    </row>
    <row r="468" spans="1:20">
      <c r="A468" s="301" t="s">
        <v>342</v>
      </c>
      <c r="B468" s="302" t="s">
        <v>271</v>
      </c>
      <c r="C468" s="303" t="s">
        <v>767</v>
      </c>
      <c r="D468" s="304">
        <v>638495756</v>
      </c>
      <c r="E468" s="305">
        <v>2528922252</v>
      </c>
      <c r="F468" s="303" t="s">
        <v>247</v>
      </c>
      <c r="G468" s="306">
        <v>34859</v>
      </c>
      <c r="H468" s="307" t="str">
        <f t="shared" si="21"/>
        <v>June</v>
      </c>
      <c r="I468" s="308">
        <f t="shared" ca="1" si="22"/>
        <v>21</v>
      </c>
      <c r="J468" s="308"/>
      <c r="K468" s="309">
        <v>44720</v>
      </c>
      <c r="L468" s="310">
        <v>2</v>
      </c>
      <c r="Q468" s="264" t="s">
        <v>2670</v>
      </c>
      <c r="R468" s="265">
        <v>41237</v>
      </c>
      <c r="S468" s="265">
        <v>41368</v>
      </c>
      <c r="T468" s="39">
        <f t="shared" si="23"/>
        <v>131</v>
      </c>
    </row>
    <row r="469" spans="1:20">
      <c r="A469" s="291" t="s">
        <v>730</v>
      </c>
      <c r="B469" s="292" t="s">
        <v>271</v>
      </c>
      <c r="C469" s="293" t="s">
        <v>767</v>
      </c>
      <c r="D469" s="294">
        <v>339488599</v>
      </c>
      <c r="E469" s="295">
        <v>9191267946</v>
      </c>
      <c r="F469" s="293" t="s">
        <v>247</v>
      </c>
      <c r="G469" s="296">
        <v>38314</v>
      </c>
      <c r="H469" s="297" t="str">
        <f t="shared" si="21"/>
        <v>November</v>
      </c>
      <c r="I469" s="298">
        <f t="shared" ca="1" si="22"/>
        <v>11</v>
      </c>
      <c r="J469" s="298"/>
      <c r="K469" s="299">
        <v>60070</v>
      </c>
      <c r="L469" s="300">
        <v>3</v>
      </c>
      <c r="Q469" s="264" t="s">
        <v>2669</v>
      </c>
      <c r="R469" s="265">
        <v>41123</v>
      </c>
      <c r="S469" s="265">
        <v>41660</v>
      </c>
      <c r="T469" s="39">
        <f t="shared" si="23"/>
        <v>537</v>
      </c>
    </row>
    <row r="470" spans="1:20">
      <c r="A470" s="301" t="s">
        <v>990</v>
      </c>
      <c r="B470" s="302" t="s">
        <v>285</v>
      </c>
      <c r="C470" s="303" t="s">
        <v>856</v>
      </c>
      <c r="D470" s="304">
        <v>420739404</v>
      </c>
      <c r="E470" s="305">
        <v>9197785583</v>
      </c>
      <c r="F470" s="303" t="s">
        <v>256</v>
      </c>
      <c r="G470" s="306">
        <v>34179</v>
      </c>
      <c r="H470" s="307" t="str">
        <f t="shared" si="21"/>
        <v>July</v>
      </c>
      <c r="I470" s="308">
        <f t="shared" ca="1" si="22"/>
        <v>23</v>
      </c>
      <c r="J470" s="308" t="s">
        <v>283</v>
      </c>
      <c r="K470" s="309">
        <v>24840</v>
      </c>
      <c r="L470" s="310">
        <v>1</v>
      </c>
      <c r="Q470" s="264" t="s">
        <v>2668</v>
      </c>
      <c r="R470" s="265">
        <v>41008</v>
      </c>
      <c r="S470" s="265">
        <v>41687</v>
      </c>
      <c r="T470" s="39">
        <f t="shared" si="23"/>
        <v>679</v>
      </c>
    </row>
    <row r="471" spans="1:20">
      <c r="A471" s="291" t="s">
        <v>824</v>
      </c>
      <c r="B471" s="292" t="s">
        <v>245</v>
      </c>
      <c r="C471" s="293" t="s">
        <v>767</v>
      </c>
      <c r="D471" s="294">
        <v>476243591</v>
      </c>
      <c r="E471" s="295">
        <v>9197188067</v>
      </c>
      <c r="F471" s="293" t="s">
        <v>256</v>
      </c>
      <c r="G471" s="296">
        <v>35899</v>
      </c>
      <c r="H471" s="297" t="str">
        <f t="shared" si="21"/>
        <v>April</v>
      </c>
      <c r="I471" s="298">
        <f t="shared" ca="1" si="22"/>
        <v>18</v>
      </c>
      <c r="J471" s="298" t="s">
        <v>257</v>
      </c>
      <c r="K471" s="299">
        <v>50570</v>
      </c>
      <c r="L471" s="300">
        <v>4</v>
      </c>
      <c r="Q471" s="264" t="s">
        <v>2667</v>
      </c>
      <c r="R471" s="265">
        <v>41404</v>
      </c>
      <c r="S471" s="265">
        <v>41789</v>
      </c>
      <c r="T471" s="39">
        <f t="shared" si="23"/>
        <v>385</v>
      </c>
    </row>
    <row r="472" spans="1:20">
      <c r="A472" s="301" t="s">
        <v>437</v>
      </c>
      <c r="B472" s="302" t="s">
        <v>251</v>
      </c>
      <c r="C472" s="303" t="s">
        <v>465</v>
      </c>
      <c r="D472" s="304">
        <v>338977629</v>
      </c>
      <c r="E472" s="305">
        <v>2524252315</v>
      </c>
      <c r="F472" s="303" t="s">
        <v>256</v>
      </c>
      <c r="G472" s="306">
        <v>36711</v>
      </c>
      <c r="H472" s="307" t="str">
        <f t="shared" si="21"/>
        <v>July</v>
      </c>
      <c r="I472" s="308">
        <f t="shared" ca="1" si="22"/>
        <v>16</v>
      </c>
      <c r="J472" s="308" t="s">
        <v>257</v>
      </c>
      <c r="K472" s="309">
        <v>78570</v>
      </c>
      <c r="L472" s="310">
        <v>1</v>
      </c>
      <c r="Q472" s="264" t="s">
        <v>2666</v>
      </c>
      <c r="R472" s="265">
        <v>42256</v>
      </c>
      <c r="S472" s="265">
        <v>42971</v>
      </c>
      <c r="T472" s="39">
        <f t="shared" si="23"/>
        <v>715</v>
      </c>
    </row>
    <row r="473" spans="1:20">
      <c r="A473" s="291" t="s">
        <v>825</v>
      </c>
      <c r="B473" s="292" t="s">
        <v>266</v>
      </c>
      <c r="C473" s="293" t="s">
        <v>767</v>
      </c>
      <c r="D473" s="294">
        <v>868364739</v>
      </c>
      <c r="E473" s="295">
        <v>9195255121</v>
      </c>
      <c r="F473" s="293" t="s">
        <v>261</v>
      </c>
      <c r="G473" s="296">
        <v>41203</v>
      </c>
      <c r="H473" s="297" t="str">
        <f t="shared" si="21"/>
        <v>October</v>
      </c>
      <c r="I473" s="298">
        <f t="shared" ca="1" si="22"/>
        <v>4</v>
      </c>
      <c r="J473" s="298" t="s">
        <v>257</v>
      </c>
      <c r="K473" s="299">
        <v>11810</v>
      </c>
      <c r="L473" s="300">
        <v>1</v>
      </c>
      <c r="Q473" s="264" t="s">
        <v>2665</v>
      </c>
      <c r="R473" s="265">
        <v>41375</v>
      </c>
      <c r="S473" s="265">
        <v>41848</v>
      </c>
      <c r="T473" s="39">
        <f t="shared" si="23"/>
        <v>473</v>
      </c>
    </row>
    <row r="474" spans="1:20">
      <c r="A474" s="301" t="s">
        <v>826</v>
      </c>
      <c r="B474" s="302" t="s">
        <v>245</v>
      </c>
      <c r="C474" s="303" t="s">
        <v>465</v>
      </c>
      <c r="D474" s="304">
        <v>427260216</v>
      </c>
      <c r="E474" s="305">
        <v>9198999194</v>
      </c>
      <c r="F474" s="303" t="s">
        <v>261</v>
      </c>
      <c r="G474" s="306">
        <v>35073</v>
      </c>
      <c r="H474" s="307" t="str">
        <f t="shared" si="21"/>
        <v>January</v>
      </c>
      <c r="I474" s="308">
        <f t="shared" ca="1" si="22"/>
        <v>20</v>
      </c>
      <c r="J474" s="308" t="s">
        <v>262</v>
      </c>
      <c r="K474" s="309">
        <v>18895</v>
      </c>
      <c r="L474" s="310">
        <v>4</v>
      </c>
      <c r="Q474" s="264" t="s">
        <v>2664</v>
      </c>
      <c r="R474" s="265">
        <v>42106</v>
      </c>
      <c r="S474" s="265">
        <v>43044</v>
      </c>
      <c r="T474" s="39">
        <f t="shared" si="23"/>
        <v>938</v>
      </c>
    </row>
    <row r="475" spans="1:20">
      <c r="A475" s="291" t="s">
        <v>731</v>
      </c>
      <c r="B475" s="292" t="s">
        <v>271</v>
      </c>
      <c r="C475" s="293" t="s">
        <v>930</v>
      </c>
      <c r="D475" s="294">
        <v>111616346</v>
      </c>
      <c r="E475" s="295">
        <v>2525717431</v>
      </c>
      <c r="F475" s="293" t="s">
        <v>247</v>
      </c>
      <c r="G475" s="296">
        <v>34416</v>
      </c>
      <c r="H475" s="297" t="str">
        <f t="shared" si="21"/>
        <v>March</v>
      </c>
      <c r="I475" s="298">
        <f t="shared" ca="1" si="22"/>
        <v>22</v>
      </c>
      <c r="J475" s="298"/>
      <c r="K475" s="299">
        <v>61134</v>
      </c>
      <c r="L475" s="300">
        <v>4</v>
      </c>
      <c r="Q475" s="264" t="s">
        <v>2663</v>
      </c>
      <c r="R475" s="265">
        <v>41819</v>
      </c>
      <c r="S475" s="265">
        <v>42510</v>
      </c>
      <c r="T475" s="39">
        <f t="shared" si="23"/>
        <v>691</v>
      </c>
    </row>
    <row r="476" spans="1:20">
      <c r="A476" s="301" t="s">
        <v>563</v>
      </c>
      <c r="B476" s="302" t="s">
        <v>271</v>
      </c>
      <c r="C476" s="303" t="s">
        <v>705</v>
      </c>
      <c r="D476" s="304">
        <v>934447306</v>
      </c>
      <c r="E476" s="305">
        <v>2525981242</v>
      </c>
      <c r="F476" s="303" t="s">
        <v>256</v>
      </c>
      <c r="G476" s="306">
        <v>35021</v>
      </c>
      <c r="H476" s="307" t="str">
        <f t="shared" si="21"/>
        <v>November</v>
      </c>
      <c r="I476" s="308">
        <f t="shared" ca="1" si="22"/>
        <v>20</v>
      </c>
      <c r="J476" s="308" t="s">
        <v>283</v>
      </c>
      <c r="K476" s="309">
        <v>73030</v>
      </c>
      <c r="L476" s="310">
        <v>5</v>
      </c>
      <c r="Q476" s="264" t="s">
        <v>2662</v>
      </c>
      <c r="R476" s="265">
        <v>42173</v>
      </c>
      <c r="S476" s="265">
        <v>43083</v>
      </c>
      <c r="T476" s="39">
        <f t="shared" si="23"/>
        <v>910</v>
      </c>
    </row>
    <row r="477" spans="1:20">
      <c r="A477" s="291" t="s">
        <v>991</v>
      </c>
      <c r="B477" s="292" t="s">
        <v>245</v>
      </c>
      <c r="C477" s="293" t="s">
        <v>312</v>
      </c>
      <c r="D477" s="294">
        <v>393393249</v>
      </c>
      <c r="E477" s="295">
        <v>9194980674</v>
      </c>
      <c r="F477" s="293" t="s">
        <v>247</v>
      </c>
      <c r="G477" s="296">
        <v>37380</v>
      </c>
      <c r="H477" s="297" t="str">
        <f t="shared" si="21"/>
        <v>May</v>
      </c>
      <c r="I477" s="298">
        <f t="shared" ca="1" si="22"/>
        <v>14</v>
      </c>
      <c r="J477" s="298"/>
      <c r="K477" s="299">
        <v>23560</v>
      </c>
      <c r="L477" s="300">
        <v>3</v>
      </c>
      <c r="Q477" s="264" t="s">
        <v>2661</v>
      </c>
      <c r="R477" s="265">
        <v>42286</v>
      </c>
      <c r="S477" s="265">
        <v>43240</v>
      </c>
      <c r="T477" s="39">
        <f t="shared" si="23"/>
        <v>954</v>
      </c>
    </row>
    <row r="478" spans="1:20">
      <c r="A478" s="301" t="s">
        <v>343</v>
      </c>
      <c r="B478" s="302" t="s">
        <v>251</v>
      </c>
      <c r="C478" s="303" t="s">
        <v>678</v>
      </c>
      <c r="D478" s="304">
        <v>755945415</v>
      </c>
      <c r="E478" s="305">
        <v>2524373324</v>
      </c>
      <c r="F478" s="303" t="s">
        <v>247</v>
      </c>
      <c r="G478" s="306">
        <v>41243</v>
      </c>
      <c r="H478" s="307" t="str">
        <f t="shared" si="21"/>
        <v>November</v>
      </c>
      <c r="I478" s="308">
        <f t="shared" ca="1" si="22"/>
        <v>3</v>
      </c>
      <c r="J478" s="308"/>
      <c r="K478" s="309">
        <v>74020</v>
      </c>
      <c r="L478" s="310">
        <v>2</v>
      </c>
      <c r="Q478" s="264" t="s">
        <v>2660</v>
      </c>
      <c r="R478" s="265">
        <v>41004</v>
      </c>
      <c r="S478" s="265">
        <v>41198</v>
      </c>
      <c r="T478" s="39">
        <f t="shared" si="23"/>
        <v>194</v>
      </c>
    </row>
    <row r="479" spans="1:20">
      <c r="A479" s="291" t="s">
        <v>906</v>
      </c>
      <c r="B479" s="292" t="s">
        <v>271</v>
      </c>
      <c r="C479" s="293" t="s">
        <v>767</v>
      </c>
      <c r="D479" s="294">
        <v>278129861</v>
      </c>
      <c r="E479" s="295">
        <v>9198561246</v>
      </c>
      <c r="F479" s="293" t="s">
        <v>247</v>
      </c>
      <c r="G479" s="296">
        <v>41314</v>
      </c>
      <c r="H479" s="297" t="str">
        <f t="shared" si="21"/>
        <v>February</v>
      </c>
      <c r="I479" s="298">
        <f t="shared" ca="1" si="22"/>
        <v>3</v>
      </c>
      <c r="J479" s="298"/>
      <c r="K479" s="299">
        <v>39550</v>
      </c>
      <c r="L479" s="300">
        <v>5</v>
      </c>
      <c r="Q479" s="264" t="s">
        <v>2659</v>
      </c>
      <c r="R479" s="265">
        <v>42187</v>
      </c>
      <c r="S479" s="265">
        <v>42426</v>
      </c>
      <c r="T479" s="39">
        <f t="shared" si="23"/>
        <v>239</v>
      </c>
    </row>
    <row r="480" spans="1:20">
      <c r="A480" s="301" t="s">
        <v>907</v>
      </c>
      <c r="B480" s="302" t="s">
        <v>245</v>
      </c>
      <c r="C480" s="303" t="s">
        <v>312</v>
      </c>
      <c r="D480" s="304">
        <v>822974734</v>
      </c>
      <c r="E480" s="305">
        <v>2524924736</v>
      </c>
      <c r="F480" s="303" t="s">
        <v>252</v>
      </c>
      <c r="G480" s="306">
        <v>37397</v>
      </c>
      <c r="H480" s="307" t="str">
        <f t="shared" si="21"/>
        <v>May</v>
      </c>
      <c r="I480" s="308">
        <f t="shared" ca="1" si="22"/>
        <v>14</v>
      </c>
      <c r="J480" s="308"/>
      <c r="K480" s="309">
        <v>33056</v>
      </c>
      <c r="L480" s="310">
        <v>5</v>
      </c>
      <c r="Q480" s="264" t="s">
        <v>2658</v>
      </c>
      <c r="R480" s="265">
        <v>41802</v>
      </c>
      <c r="S480" s="265">
        <v>42531</v>
      </c>
      <c r="T480" s="39">
        <f t="shared" si="23"/>
        <v>729</v>
      </c>
    </row>
    <row r="481" spans="1:20">
      <c r="A481" s="291" t="s">
        <v>732</v>
      </c>
      <c r="B481" s="292" t="s">
        <v>285</v>
      </c>
      <c r="C481" s="293" t="s">
        <v>417</v>
      </c>
      <c r="D481" s="294">
        <v>659766304</v>
      </c>
      <c r="E481" s="295">
        <v>9195876028</v>
      </c>
      <c r="F481" s="293" t="s">
        <v>256</v>
      </c>
      <c r="G481" s="296">
        <v>36411</v>
      </c>
      <c r="H481" s="297" t="str">
        <f t="shared" si="21"/>
        <v>September</v>
      </c>
      <c r="I481" s="298">
        <f t="shared" ca="1" si="22"/>
        <v>17</v>
      </c>
      <c r="J481" s="298" t="s">
        <v>283</v>
      </c>
      <c r="K481" s="299">
        <v>37750</v>
      </c>
      <c r="L481" s="300">
        <v>5</v>
      </c>
      <c r="Q481" s="264" t="s">
        <v>2657</v>
      </c>
      <c r="R481" s="265">
        <v>42187</v>
      </c>
      <c r="S481" s="265">
        <v>42711</v>
      </c>
      <c r="T481" s="39">
        <f t="shared" si="23"/>
        <v>524</v>
      </c>
    </row>
    <row r="482" spans="1:20">
      <c r="A482" s="301" t="s">
        <v>992</v>
      </c>
      <c r="B482" s="302" t="s">
        <v>271</v>
      </c>
      <c r="C482" s="303" t="s">
        <v>1025</v>
      </c>
      <c r="D482" s="304">
        <v>510700395</v>
      </c>
      <c r="E482" s="305">
        <v>9196690862</v>
      </c>
      <c r="F482" s="303" t="s">
        <v>256</v>
      </c>
      <c r="G482" s="306">
        <v>37901</v>
      </c>
      <c r="H482" s="307" t="str">
        <f t="shared" si="21"/>
        <v>October</v>
      </c>
      <c r="I482" s="308">
        <f t="shared" ca="1" si="22"/>
        <v>13</v>
      </c>
      <c r="J482" s="308" t="s">
        <v>257</v>
      </c>
      <c r="K482" s="309">
        <v>63670</v>
      </c>
      <c r="L482" s="310">
        <v>5</v>
      </c>
      <c r="Q482" s="264" t="s">
        <v>2656</v>
      </c>
      <c r="R482" s="265">
        <v>41904</v>
      </c>
      <c r="S482" s="265">
        <v>42164</v>
      </c>
      <c r="T482" s="39">
        <f t="shared" si="23"/>
        <v>260</v>
      </c>
    </row>
    <row r="483" spans="1:20">
      <c r="A483" s="291" t="s">
        <v>564</v>
      </c>
      <c r="B483" s="292" t="s">
        <v>271</v>
      </c>
      <c r="C483" s="293" t="s">
        <v>767</v>
      </c>
      <c r="D483" s="294">
        <v>867100310</v>
      </c>
      <c r="E483" s="295">
        <v>9191376854</v>
      </c>
      <c r="F483" s="293" t="s">
        <v>256</v>
      </c>
      <c r="G483" s="296">
        <v>37303</v>
      </c>
      <c r="H483" s="297" t="str">
        <f t="shared" si="21"/>
        <v>February</v>
      </c>
      <c r="I483" s="298">
        <f t="shared" ca="1" si="22"/>
        <v>14</v>
      </c>
      <c r="J483" s="298" t="s">
        <v>283</v>
      </c>
      <c r="K483" s="299">
        <v>65910</v>
      </c>
      <c r="L483" s="300">
        <v>5</v>
      </c>
      <c r="Q483" s="264" t="s">
        <v>2655</v>
      </c>
      <c r="R483" s="265">
        <v>41954</v>
      </c>
      <c r="S483" s="265">
        <v>42249</v>
      </c>
      <c r="T483" s="39">
        <f t="shared" si="23"/>
        <v>295</v>
      </c>
    </row>
    <row r="484" spans="1:20">
      <c r="A484" s="301" t="s">
        <v>344</v>
      </c>
      <c r="B484" s="302" t="s">
        <v>245</v>
      </c>
      <c r="C484" s="303" t="s">
        <v>930</v>
      </c>
      <c r="D484" s="304">
        <v>210491464</v>
      </c>
      <c r="E484" s="305">
        <v>9198405552</v>
      </c>
      <c r="F484" s="303" t="s">
        <v>256</v>
      </c>
      <c r="G484" s="306">
        <v>40512</v>
      </c>
      <c r="H484" s="307" t="str">
        <f t="shared" si="21"/>
        <v>November</v>
      </c>
      <c r="I484" s="308">
        <f t="shared" ca="1" si="22"/>
        <v>5</v>
      </c>
      <c r="J484" s="308" t="s">
        <v>257</v>
      </c>
      <c r="K484" s="309">
        <v>79380</v>
      </c>
      <c r="L484" s="310">
        <v>5</v>
      </c>
      <c r="Q484" s="264" t="s">
        <v>2654</v>
      </c>
      <c r="R484" s="265">
        <v>41312</v>
      </c>
      <c r="S484" s="265">
        <v>41902</v>
      </c>
      <c r="T484" s="39">
        <f t="shared" si="23"/>
        <v>590</v>
      </c>
    </row>
    <row r="485" spans="1:20">
      <c r="A485" s="291" t="s">
        <v>827</v>
      </c>
      <c r="B485" s="292" t="s">
        <v>285</v>
      </c>
      <c r="C485" s="293" t="s">
        <v>312</v>
      </c>
      <c r="D485" s="294">
        <v>951516517</v>
      </c>
      <c r="E485" s="295">
        <v>2524936058</v>
      </c>
      <c r="F485" s="293" t="s">
        <v>256</v>
      </c>
      <c r="G485" s="296">
        <v>34805</v>
      </c>
      <c r="H485" s="297" t="str">
        <f t="shared" si="21"/>
        <v>April</v>
      </c>
      <c r="I485" s="298">
        <f t="shared" ca="1" si="22"/>
        <v>21</v>
      </c>
      <c r="J485" s="298" t="s">
        <v>283</v>
      </c>
      <c r="K485" s="299">
        <v>71670</v>
      </c>
      <c r="L485" s="300">
        <v>4</v>
      </c>
      <c r="Q485" s="264" t="s">
        <v>2653</v>
      </c>
      <c r="R485" s="265">
        <v>41525</v>
      </c>
      <c r="S485" s="265">
        <v>41961</v>
      </c>
      <c r="T485" s="39">
        <f t="shared" si="23"/>
        <v>436</v>
      </c>
    </row>
    <row r="486" spans="1:20">
      <c r="A486" s="301" t="s">
        <v>414</v>
      </c>
      <c r="B486" s="302" t="s">
        <v>251</v>
      </c>
      <c r="C486" s="303" t="s">
        <v>272</v>
      </c>
      <c r="D486" s="304">
        <v>975603308</v>
      </c>
      <c r="E486" s="305">
        <v>9192693355</v>
      </c>
      <c r="F486" s="303" t="s">
        <v>256</v>
      </c>
      <c r="G486" s="306">
        <v>38314</v>
      </c>
      <c r="H486" s="307" t="str">
        <f t="shared" si="21"/>
        <v>November</v>
      </c>
      <c r="I486" s="308">
        <f t="shared" ca="1" si="22"/>
        <v>11</v>
      </c>
      <c r="J486" s="308" t="s">
        <v>257</v>
      </c>
      <c r="K486" s="309">
        <v>30780</v>
      </c>
      <c r="L486" s="310">
        <v>4</v>
      </c>
      <c r="Q486" s="264" t="s">
        <v>2652</v>
      </c>
      <c r="R486" s="265">
        <v>42112</v>
      </c>
      <c r="S486" s="265">
        <v>42969</v>
      </c>
      <c r="T486" s="39">
        <f t="shared" si="23"/>
        <v>857</v>
      </c>
    </row>
    <row r="487" spans="1:20">
      <c r="A487" s="291" t="s">
        <v>993</v>
      </c>
      <c r="B487" s="292" t="s">
        <v>245</v>
      </c>
      <c r="C487" s="293" t="s">
        <v>411</v>
      </c>
      <c r="D487" s="294">
        <v>885773638</v>
      </c>
      <c r="E487" s="295">
        <v>9196188082</v>
      </c>
      <c r="F487" s="293" t="s">
        <v>256</v>
      </c>
      <c r="G487" s="296">
        <v>37479</v>
      </c>
      <c r="H487" s="297" t="str">
        <f t="shared" si="21"/>
        <v>August</v>
      </c>
      <c r="I487" s="298">
        <f t="shared" ca="1" si="22"/>
        <v>14</v>
      </c>
      <c r="J487" s="298" t="s">
        <v>283</v>
      </c>
      <c r="K487" s="299">
        <v>75060</v>
      </c>
      <c r="L487" s="300">
        <v>5</v>
      </c>
      <c r="Q487" s="264" t="s">
        <v>2651</v>
      </c>
      <c r="R487" s="265">
        <v>40969</v>
      </c>
      <c r="S487" s="265">
        <v>41425</v>
      </c>
      <c r="T487" s="39">
        <f t="shared" si="23"/>
        <v>456</v>
      </c>
    </row>
    <row r="488" spans="1:20">
      <c r="A488" s="301" t="s">
        <v>438</v>
      </c>
      <c r="B488" s="302" t="s">
        <v>245</v>
      </c>
      <c r="C488" s="303" t="s">
        <v>705</v>
      </c>
      <c r="D488" s="304">
        <v>869524136</v>
      </c>
      <c r="E488" s="305">
        <v>9193640748</v>
      </c>
      <c r="F488" s="303" t="s">
        <v>256</v>
      </c>
      <c r="G488" s="306">
        <v>36249</v>
      </c>
      <c r="H488" s="307" t="str">
        <f t="shared" si="21"/>
        <v>March</v>
      </c>
      <c r="I488" s="308">
        <f t="shared" ca="1" si="22"/>
        <v>17</v>
      </c>
      <c r="J488" s="308" t="s">
        <v>283</v>
      </c>
      <c r="K488" s="309">
        <v>43410</v>
      </c>
      <c r="L488" s="310">
        <v>1</v>
      </c>
      <c r="Q488" s="264" t="s">
        <v>2650</v>
      </c>
      <c r="R488" s="265">
        <v>41474</v>
      </c>
      <c r="S488" s="265">
        <v>41973</v>
      </c>
      <c r="T488" s="39">
        <f t="shared" si="23"/>
        <v>499</v>
      </c>
    </row>
    <row r="489" spans="1:20">
      <c r="A489" s="291" t="s">
        <v>301</v>
      </c>
      <c r="B489" s="292" t="s">
        <v>251</v>
      </c>
      <c r="C489" s="293" t="s">
        <v>705</v>
      </c>
      <c r="D489" s="294">
        <v>761337848</v>
      </c>
      <c r="E489" s="295">
        <v>9193967339</v>
      </c>
      <c r="F489" s="293" t="s">
        <v>247</v>
      </c>
      <c r="G489" s="296">
        <v>35412</v>
      </c>
      <c r="H489" s="297" t="str">
        <f t="shared" si="21"/>
        <v>December</v>
      </c>
      <c r="I489" s="298">
        <f t="shared" ca="1" si="22"/>
        <v>19</v>
      </c>
      <c r="J489" s="298"/>
      <c r="K489" s="299">
        <v>66710</v>
      </c>
      <c r="L489" s="300">
        <v>2</v>
      </c>
      <c r="Q489" s="264" t="s">
        <v>2649</v>
      </c>
      <c r="R489" s="265">
        <v>42182</v>
      </c>
      <c r="S489" s="265">
        <v>42666</v>
      </c>
      <c r="T489" s="39">
        <f t="shared" si="23"/>
        <v>484</v>
      </c>
    </row>
    <row r="490" spans="1:20">
      <c r="A490" s="301" t="s">
        <v>345</v>
      </c>
      <c r="B490" s="302" t="s">
        <v>285</v>
      </c>
      <c r="C490" s="303" t="s">
        <v>678</v>
      </c>
      <c r="D490" s="304">
        <v>167646549</v>
      </c>
      <c r="E490" s="305">
        <v>9197187041</v>
      </c>
      <c r="F490" s="303" t="s">
        <v>247</v>
      </c>
      <c r="G490" s="306">
        <v>38713</v>
      </c>
      <c r="H490" s="307" t="str">
        <f t="shared" si="21"/>
        <v>December</v>
      </c>
      <c r="I490" s="308">
        <f t="shared" ca="1" si="22"/>
        <v>10</v>
      </c>
      <c r="J490" s="308"/>
      <c r="K490" s="309">
        <v>78100</v>
      </c>
      <c r="L490" s="310">
        <v>3</v>
      </c>
      <c r="Q490" s="264" t="s">
        <v>2648</v>
      </c>
      <c r="R490" s="265">
        <v>41907</v>
      </c>
      <c r="S490" s="265">
        <v>42794</v>
      </c>
      <c r="T490" s="39">
        <f t="shared" si="23"/>
        <v>887</v>
      </c>
    </row>
    <row r="491" spans="1:20">
      <c r="A491" s="291" t="s">
        <v>346</v>
      </c>
      <c r="B491" s="292" t="s">
        <v>285</v>
      </c>
      <c r="C491" s="293" t="s">
        <v>856</v>
      </c>
      <c r="D491" s="294">
        <v>693965055</v>
      </c>
      <c r="E491" s="295">
        <v>2527853314</v>
      </c>
      <c r="F491" s="293" t="s">
        <v>256</v>
      </c>
      <c r="G491" s="296">
        <v>34621</v>
      </c>
      <c r="H491" s="297" t="str">
        <f t="shared" si="21"/>
        <v>October</v>
      </c>
      <c r="I491" s="298">
        <f t="shared" ca="1" si="22"/>
        <v>22</v>
      </c>
      <c r="J491" s="298" t="s">
        <v>257</v>
      </c>
      <c r="K491" s="299">
        <v>68470</v>
      </c>
      <c r="L491" s="300">
        <v>4</v>
      </c>
      <c r="Q491" s="264" t="s">
        <v>2647</v>
      </c>
      <c r="R491" s="265">
        <v>41270</v>
      </c>
      <c r="S491" s="265">
        <v>41654</v>
      </c>
      <c r="T491" s="39">
        <f t="shared" si="23"/>
        <v>384</v>
      </c>
    </row>
    <row r="492" spans="1:20">
      <c r="A492" s="301" t="s">
        <v>403</v>
      </c>
      <c r="B492" s="302" t="s">
        <v>285</v>
      </c>
      <c r="C492" s="303" t="s">
        <v>930</v>
      </c>
      <c r="D492" s="304">
        <v>471064761</v>
      </c>
      <c r="E492" s="305">
        <v>9191800673</v>
      </c>
      <c r="F492" s="303" t="s">
        <v>252</v>
      </c>
      <c r="G492" s="306">
        <v>35735</v>
      </c>
      <c r="H492" s="307" t="str">
        <f t="shared" si="21"/>
        <v>November</v>
      </c>
      <c r="I492" s="308">
        <f t="shared" ca="1" si="22"/>
        <v>19</v>
      </c>
      <c r="J492" s="308"/>
      <c r="K492" s="309">
        <v>26944</v>
      </c>
      <c r="L492" s="310">
        <v>4</v>
      </c>
      <c r="Q492" s="264" t="s">
        <v>2646</v>
      </c>
      <c r="R492" s="265">
        <v>42043</v>
      </c>
      <c r="S492" s="265">
        <v>42857</v>
      </c>
      <c r="T492" s="39">
        <f t="shared" si="23"/>
        <v>814</v>
      </c>
    </row>
    <row r="493" spans="1:20">
      <c r="A493" s="291" t="s">
        <v>439</v>
      </c>
      <c r="B493" s="292" t="s">
        <v>280</v>
      </c>
      <c r="C493" s="293" t="s">
        <v>465</v>
      </c>
      <c r="D493" s="294">
        <v>396727504</v>
      </c>
      <c r="E493" s="295">
        <v>9193204992</v>
      </c>
      <c r="F493" s="293" t="s">
        <v>247</v>
      </c>
      <c r="G493" s="296">
        <v>37510</v>
      </c>
      <c r="H493" s="297" t="str">
        <f t="shared" si="21"/>
        <v>September</v>
      </c>
      <c r="I493" s="298">
        <f t="shared" ca="1" si="22"/>
        <v>14</v>
      </c>
      <c r="J493" s="298"/>
      <c r="K493" s="299">
        <v>41840</v>
      </c>
      <c r="L493" s="300">
        <v>2</v>
      </c>
      <c r="Q493" s="264" t="s">
        <v>2645</v>
      </c>
      <c r="R493" s="265">
        <v>41180</v>
      </c>
      <c r="S493" s="265">
        <v>41572</v>
      </c>
      <c r="T493" s="39">
        <f t="shared" si="23"/>
        <v>392</v>
      </c>
    </row>
    <row r="494" spans="1:20">
      <c r="A494" s="301" t="s">
        <v>694</v>
      </c>
      <c r="B494" s="302" t="s">
        <v>271</v>
      </c>
      <c r="C494" s="303" t="s">
        <v>465</v>
      </c>
      <c r="D494" s="304">
        <v>257249459</v>
      </c>
      <c r="E494" s="305">
        <v>9197775023</v>
      </c>
      <c r="F494" s="303" t="s">
        <v>247</v>
      </c>
      <c r="G494" s="306">
        <v>37547</v>
      </c>
      <c r="H494" s="307" t="str">
        <f t="shared" si="21"/>
        <v>October</v>
      </c>
      <c r="I494" s="308">
        <f t="shared" ca="1" si="22"/>
        <v>14</v>
      </c>
      <c r="J494" s="308"/>
      <c r="K494" s="309">
        <v>57600</v>
      </c>
      <c r="L494" s="310">
        <v>3</v>
      </c>
      <c r="Q494" s="264" t="s">
        <v>2644</v>
      </c>
      <c r="R494" s="265">
        <v>41029</v>
      </c>
      <c r="S494" s="265">
        <v>41986</v>
      </c>
      <c r="T494" s="39">
        <f t="shared" si="23"/>
        <v>957</v>
      </c>
    </row>
    <row r="495" spans="1:20">
      <c r="A495" s="291" t="s">
        <v>347</v>
      </c>
      <c r="B495" s="292" t="s">
        <v>280</v>
      </c>
      <c r="C495" s="293" t="s">
        <v>930</v>
      </c>
      <c r="D495" s="294">
        <v>276873359</v>
      </c>
      <c r="E495" s="295">
        <v>2522304625</v>
      </c>
      <c r="F495" s="293" t="s">
        <v>256</v>
      </c>
      <c r="G495" s="296">
        <v>40081</v>
      </c>
      <c r="H495" s="297" t="str">
        <f t="shared" si="21"/>
        <v>September</v>
      </c>
      <c r="I495" s="298">
        <f t="shared" ca="1" si="22"/>
        <v>7</v>
      </c>
      <c r="J495" s="298" t="s">
        <v>267</v>
      </c>
      <c r="K495" s="299">
        <v>25690</v>
      </c>
      <c r="L495" s="300">
        <v>2</v>
      </c>
      <c r="Q495" s="264" t="s">
        <v>2643</v>
      </c>
      <c r="R495" s="265">
        <v>41839</v>
      </c>
      <c r="S495" s="265">
        <v>42549</v>
      </c>
      <c r="T495" s="39">
        <f t="shared" si="23"/>
        <v>710</v>
      </c>
    </row>
    <row r="496" spans="1:20">
      <c r="A496" s="301" t="s">
        <v>389</v>
      </c>
      <c r="B496" s="302" t="s">
        <v>251</v>
      </c>
      <c r="C496" s="303" t="s">
        <v>930</v>
      </c>
      <c r="D496" s="304">
        <v>635240617</v>
      </c>
      <c r="E496" s="305">
        <v>9192259651</v>
      </c>
      <c r="F496" s="303" t="s">
        <v>256</v>
      </c>
      <c r="G496" s="306">
        <v>37753</v>
      </c>
      <c r="H496" s="307" t="str">
        <f t="shared" si="21"/>
        <v>May</v>
      </c>
      <c r="I496" s="308">
        <f t="shared" ca="1" si="22"/>
        <v>13</v>
      </c>
      <c r="J496" s="308" t="s">
        <v>283</v>
      </c>
      <c r="K496" s="309">
        <v>47630</v>
      </c>
      <c r="L496" s="310">
        <v>3</v>
      </c>
      <c r="Q496" s="264" t="s">
        <v>2642</v>
      </c>
      <c r="R496" s="265">
        <v>41408</v>
      </c>
      <c r="S496" s="265">
        <v>41769</v>
      </c>
      <c r="T496" s="39">
        <f t="shared" si="23"/>
        <v>361</v>
      </c>
    </row>
    <row r="497" spans="1:20">
      <c r="A497" s="291" t="s">
        <v>440</v>
      </c>
      <c r="B497" s="292" t="s">
        <v>285</v>
      </c>
      <c r="C497" s="293" t="s">
        <v>272</v>
      </c>
      <c r="D497" s="294">
        <v>768681542</v>
      </c>
      <c r="E497" s="295">
        <v>8021673267</v>
      </c>
      <c r="F497" s="293" t="s">
        <v>256</v>
      </c>
      <c r="G497" s="296">
        <v>36374</v>
      </c>
      <c r="H497" s="297" t="str">
        <f t="shared" si="21"/>
        <v>August</v>
      </c>
      <c r="I497" s="298">
        <f t="shared" ca="1" si="22"/>
        <v>17</v>
      </c>
      <c r="J497" s="298" t="s">
        <v>257</v>
      </c>
      <c r="K497" s="299">
        <v>60830</v>
      </c>
      <c r="L497" s="300">
        <v>2</v>
      </c>
      <c r="Q497" s="264" t="s">
        <v>2641</v>
      </c>
      <c r="R497" s="265">
        <v>42084</v>
      </c>
      <c r="S497" s="265">
        <v>42956</v>
      </c>
      <c r="T497" s="39">
        <f t="shared" si="23"/>
        <v>872</v>
      </c>
    </row>
    <row r="498" spans="1:20">
      <c r="A498" s="301" t="s">
        <v>908</v>
      </c>
      <c r="B498" s="302" t="s">
        <v>285</v>
      </c>
      <c r="C498" s="303" t="s">
        <v>930</v>
      </c>
      <c r="D498" s="304">
        <v>283476654</v>
      </c>
      <c r="E498" s="305">
        <v>9197049910</v>
      </c>
      <c r="F498" s="303" t="s">
        <v>256</v>
      </c>
      <c r="G498" s="306">
        <v>34591</v>
      </c>
      <c r="H498" s="307" t="str">
        <f t="shared" si="21"/>
        <v>September</v>
      </c>
      <c r="I498" s="308">
        <f t="shared" ca="1" si="22"/>
        <v>22</v>
      </c>
      <c r="J498" s="308" t="s">
        <v>262</v>
      </c>
      <c r="K498" s="309">
        <v>46550</v>
      </c>
      <c r="L498" s="310">
        <v>4</v>
      </c>
      <c r="Q498" s="264" t="s">
        <v>2640</v>
      </c>
      <c r="R498" s="265">
        <v>41492</v>
      </c>
      <c r="S498" s="265">
        <v>42423</v>
      </c>
      <c r="T498" s="39">
        <f t="shared" si="23"/>
        <v>931</v>
      </c>
    </row>
    <row r="499" spans="1:20">
      <c r="A499" s="291" t="s">
        <v>281</v>
      </c>
      <c r="B499" s="292" t="s">
        <v>285</v>
      </c>
      <c r="C499" s="293" t="s">
        <v>465</v>
      </c>
      <c r="D499" s="294">
        <v>930282755</v>
      </c>
      <c r="E499" s="295">
        <v>9192380636</v>
      </c>
      <c r="F499" s="293" t="s">
        <v>261</v>
      </c>
      <c r="G499" s="296">
        <v>36099</v>
      </c>
      <c r="H499" s="297" t="str">
        <f t="shared" si="21"/>
        <v>October</v>
      </c>
      <c r="I499" s="298">
        <f t="shared" ca="1" si="22"/>
        <v>18</v>
      </c>
      <c r="J499" s="298" t="s">
        <v>257</v>
      </c>
      <c r="K499" s="299">
        <v>46285</v>
      </c>
      <c r="L499" s="300">
        <v>5</v>
      </c>
      <c r="Q499" s="264" t="s">
        <v>2639</v>
      </c>
      <c r="R499" s="265">
        <v>42042</v>
      </c>
      <c r="S499" s="265">
        <v>42925</v>
      </c>
      <c r="T499" s="39">
        <f t="shared" si="23"/>
        <v>883</v>
      </c>
    </row>
    <row r="500" spans="1:20">
      <c r="A500" s="301" t="s">
        <v>441</v>
      </c>
      <c r="B500" s="302" t="s">
        <v>271</v>
      </c>
      <c r="C500" s="303" t="s">
        <v>296</v>
      </c>
      <c r="D500" s="304">
        <v>216607562</v>
      </c>
      <c r="E500" s="305">
        <v>2521593705</v>
      </c>
      <c r="F500" s="303" t="s">
        <v>256</v>
      </c>
      <c r="G500" s="306">
        <v>36369</v>
      </c>
      <c r="H500" s="307" t="str">
        <f t="shared" si="21"/>
        <v>July</v>
      </c>
      <c r="I500" s="308">
        <f t="shared" ca="1" si="22"/>
        <v>17</v>
      </c>
      <c r="J500" s="308" t="s">
        <v>283</v>
      </c>
      <c r="K500" s="309">
        <v>49360</v>
      </c>
      <c r="L500" s="310">
        <v>2</v>
      </c>
      <c r="Q500" s="264" t="s">
        <v>2638</v>
      </c>
      <c r="R500" s="265">
        <v>42104</v>
      </c>
      <c r="S500" s="265">
        <v>42292</v>
      </c>
      <c r="T500" s="39">
        <f t="shared" si="23"/>
        <v>188</v>
      </c>
    </row>
    <row r="501" spans="1:20">
      <c r="A501" s="291" t="s">
        <v>1034</v>
      </c>
      <c r="B501" s="292" t="s">
        <v>271</v>
      </c>
      <c r="C501" s="293" t="s">
        <v>465</v>
      </c>
      <c r="D501" s="294">
        <v>280304785</v>
      </c>
      <c r="E501" s="295">
        <v>2525918708</v>
      </c>
      <c r="F501" s="293" t="s">
        <v>256</v>
      </c>
      <c r="G501" s="296">
        <v>36906</v>
      </c>
      <c r="H501" s="297" t="str">
        <f t="shared" si="21"/>
        <v>January</v>
      </c>
      <c r="I501" s="298">
        <f t="shared" ca="1" si="22"/>
        <v>15</v>
      </c>
      <c r="J501" s="298" t="s">
        <v>257</v>
      </c>
      <c r="K501" s="299">
        <v>40340</v>
      </c>
      <c r="L501" s="300">
        <v>2</v>
      </c>
      <c r="Q501" s="264" t="s">
        <v>2637</v>
      </c>
      <c r="R501" s="265">
        <v>42111</v>
      </c>
      <c r="S501" s="265">
        <v>42358</v>
      </c>
      <c r="T501" s="39">
        <f t="shared" si="23"/>
        <v>247</v>
      </c>
    </row>
    <row r="502" spans="1:20">
      <c r="A502" s="301" t="s">
        <v>733</v>
      </c>
      <c r="B502" s="302" t="s">
        <v>271</v>
      </c>
      <c r="C502" s="303" t="s">
        <v>856</v>
      </c>
      <c r="D502" s="304">
        <v>272659955</v>
      </c>
      <c r="E502" s="305">
        <v>9194127875</v>
      </c>
      <c r="F502" s="303" t="s">
        <v>256</v>
      </c>
      <c r="G502" s="306">
        <v>35195</v>
      </c>
      <c r="H502" s="307" t="str">
        <f t="shared" si="21"/>
        <v>May</v>
      </c>
      <c r="I502" s="308">
        <f t="shared" ca="1" si="22"/>
        <v>20</v>
      </c>
      <c r="J502" s="308" t="s">
        <v>267</v>
      </c>
      <c r="K502" s="309">
        <v>48490</v>
      </c>
      <c r="L502" s="310">
        <v>2</v>
      </c>
      <c r="Q502" s="264" t="s">
        <v>2636</v>
      </c>
      <c r="R502" s="265">
        <v>41236</v>
      </c>
      <c r="S502" s="265">
        <v>41823</v>
      </c>
      <c r="T502" s="39">
        <f t="shared" si="23"/>
        <v>587</v>
      </c>
    </row>
    <row r="503" spans="1:20">
      <c r="A503" s="291" t="s">
        <v>565</v>
      </c>
      <c r="B503" s="292" t="s">
        <v>271</v>
      </c>
      <c r="C503" s="293" t="s">
        <v>465</v>
      </c>
      <c r="D503" s="294">
        <v>698869555</v>
      </c>
      <c r="E503" s="295">
        <v>2526052545</v>
      </c>
      <c r="F503" s="293" t="s">
        <v>261</v>
      </c>
      <c r="G503" s="296">
        <v>37413</v>
      </c>
      <c r="H503" s="297" t="str">
        <f t="shared" si="21"/>
        <v>June</v>
      </c>
      <c r="I503" s="298">
        <f t="shared" ca="1" si="22"/>
        <v>14</v>
      </c>
      <c r="J503" s="298" t="s">
        <v>267</v>
      </c>
      <c r="K503" s="299">
        <v>41615</v>
      </c>
      <c r="L503" s="300">
        <v>1</v>
      </c>
      <c r="Q503" s="264" t="s">
        <v>2635</v>
      </c>
      <c r="R503" s="265">
        <v>42285</v>
      </c>
      <c r="S503" s="265">
        <v>42444</v>
      </c>
      <c r="T503" s="39">
        <f t="shared" si="23"/>
        <v>159</v>
      </c>
    </row>
    <row r="504" spans="1:20">
      <c r="A504" s="301" t="s">
        <v>734</v>
      </c>
      <c r="B504" s="302" t="s">
        <v>266</v>
      </c>
      <c r="C504" s="303" t="s">
        <v>705</v>
      </c>
      <c r="D504" s="304">
        <v>851400058</v>
      </c>
      <c r="E504" s="305">
        <v>9196012031</v>
      </c>
      <c r="F504" s="303" t="s">
        <v>261</v>
      </c>
      <c r="G504" s="306">
        <v>41303</v>
      </c>
      <c r="H504" s="307" t="str">
        <f t="shared" si="21"/>
        <v>January</v>
      </c>
      <c r="I504" s="308">
        <f t="shared" ca="1" si="22"/>
        <v>3</v>
      </c>
      <c r="J504" s="308" t="s">
        <v>257</v>
      </c>
      <c r="K504" s="309">
        <v>16925</v>
      </c>
      <c r="L504" s="310">
        <v>1</v>
      </c>
      <c r="Q504" s="264" t="s">
        <v>2634</v>
      </c>
      <c r="R504" s="265">
        <v>41392</v>
      </c>
      <c r="S504" s="265">
        <v>42310</v>
      </c>
      <c r="T504" s="39">
        <f t="shared" si="23"/>
        <v>918</v>
      </c>
    </row>
    <row r="505" spans="1:20">
      <c r="A505" s="291" t="s">
        <v>994</v>
      </c>
      <c r="B505" s="292" t="s">
        <v>285</v>
      </c>
      <c r="C505" s="293" t="s">
        <v>465</v>
      </c>
      <c r="D505" s="294">
        <v>251824309</v>
      </c>
      <c r="E505" s="295">
        <v>9197950668</v>
      </c>
      <c r="F505" s="293" t="s">
        <v>247</v>
      </c>
      <c r="G505" s="296">
        <v>37639</v>
      </c>
      <c r="H505" s="297" t="str">
        <f t="shared" si="21"/>
        <v>January</v>
      </c>
      <c r="I505" s="298">
        <f t="shared" ca="1" si="22"/>
        <v>13</v>
      </c>
      <c r="J505" s="298"/>
      <c r="K505" s="299">
        <v>45420</v>
      </c>
      <c r="L505" s="300">
        <v>1</v>
      </c>
      <c r="Q505" s="264" t="s">
        <v>2633</v>
      </c>
      <c r="R505" s="265">
        <v>41273</v>
      </c>
      <c r="S505" s="265">
        <v>41620</v>
      </c>
      <c r="T505" s="39">
        <f t="shared" si="23"/>
        <v>347</v>
      </c>
    </row>
    <row r="506" spans="1:20">
      <c r="A506" s="301" t="s">
        <v>995</v>
      </c>
      <c r="B506" s="302" t="s">
        <v>285</v>
      </c>
      <c r="C506" s="303" t="s">
        <v>312</v>
      </c>
      <c r="D506" s="304">
        <v>667812117</v>
      </c>
      <c r="E506" s="305">
        <v>2526396432</v>
      </c>
      <c r="F506" s="303" t="s">
        <v>256</v>
      </c>
      <c r="G506" s="306">
        <v>34656</v>
      </c>
      <c r="H506" s="307" t="str">
        <f t="shared" si="21"/>
        <v>November</v>
      </c>
      <c r="I506" s="308">
        <f t="shared" ca="1" si="22"/>
        <v>21</v>
      </c>
      <c r="J506" s="308" t="s">
        <v>262</v>
      </c>
      <c r="K506" s="309">
        <v>31830</v>
      </c>
      <c r="L506" s="310">
        <v>3</v>
      </c>
      <c r="Q506" s="264" t="s">
        <v>2632</v>
      </c>
      <c r="R506" s="265">
        <v>42040</v>
      </c>
      <c r="S506" s="265">
        <v>42631</v>
      </c>
      <c r="T506" s="39">
        <f t="shared" si="23"/>
        <v>591</v>
      </c>
    </row>
    <row r="507" spans="1:20">
      <c r="A507" s="291" t="s">
        <v>566</v>
      </c>
      <c r="B507" s="292" t="s">
        <v>285</v>
      </c>
      <c r="C507" s="293" t="s">
        <v>372</v>
      </c>
      <c r="D507" s="294">
        <v>207506781</v>
      </c>
      <c r="E507" s="295">
        <v>9194125294</v>
      </c>
      <c r="F507" s="293" t="s">
        <v>256</v>
      </c>
      <c r="G507" s="296">
        <v>40833</v>
      </c>
      <c r="H507" s="297" t="str">
        <f t="shared" si="21"/>
        <v>October</v>
      </c>
      <c r="I507" s="298">
        <f t="shared" ca="1" si="22"/>
        <v>5</v>
      </c>
      <c r="J507" s="298" t="s">
        <v>257</v>
      </c>
      <c r="K507" s="299">
        <v>76440</v>
      </c>
      <c r="L507" s="300">
        <v>3</v>
      </c>
      <c r="Q507" s="264" t="s">
        <v>2631</v>
      </c>
      <c r="R507" s="265">
        <v>41373</v>
      </c>
      <c r="S507" s="265">
        <v>41774</v>
      </c>
      <c r="T507" s="39">
        <f t="shared" si="23"/>
        <v>401</v>
      </c>
    </row>
    <row r="508" spans="1:20">
      <c r="A508" s="301" t="s">
        <v>695</v>
      </c>
      <c r="B508" s="302" t="s">
        <v>280</v>
      </c>
      <c r="C508" s="303" t="s">
        <v>456</v>
      </c>
      <c r="D508" s="304">
        <v>746497232</v>
      </c>
      <c r="E508" s="305">
        <v>9196681578</v>
      </c>
      <c r="F508" s="303" t="s">
        <v>247</v>
      </c>
      <c r="G508" s="306">
        <v>37583</v>
      </c>
      <c r="H508" s="307" t="str">
        <f t="shared" si="21"/>
        <v>November</v>
      </c>
      <c r="I508" s="308">
        <f t="shared" ca="1" si="22"/>
        <v>13</v>
      </c>
      <c r="J508" s="308" t="s">
        <v>283</v>
      </c>
      <c r="K508" s="309">
        <v>69410</v>
      </c>
      <c r="L508" s="310">
        <v>4</v>
      </c>
      <c r="Q508" s="264" t="s">
        <v>2630</v>
      </c>
      <c r="R508" s="265">
        <v>41936</v>
      </c>
      <c r="S508" s="265">
        <v>42828</v>
      </c>
      <c r="T508" s="39">
        <f t="shared" si="23"/>
        <v>892</v>
      </c>
    </row>
    <row r="509" spans="1:20">
      <c r="A509" s="291" t="s">
        <v>909</v>
      </c>
      <c r="B509" s="292" t="s">
        <v>245</v>
      </c>
      <c r="C509" s="293" t="s">
        <v>246</v>
      </c>
      <c r="D509" s="294">
        <v>948195711</v>
      </c>
      <c r="E509" s="295">
        <v>2523539786</v>
      </c>
      <c r="F509" s="293" t="s">
        <v>247</v>
      </c>
      <c r="G509" s="296">
        <v>40057</v>
      </c>
      <c r="H509" s="297" t="str">
        <f t="shared" si="21"/>
        <v>September</v>
      </c>
      <c r="I509" s="298">
        <f t="shared" ca="1" si="22"/>
        <v>7</v>
      </c>
      <c r="J509" s="298"/>
      <c r="K509" s="299">
        <v>42540</v>
      </c>
      <c r="L509" s="300">
        <v>5</v>
      </c>
      <c r="Q509" s="264" t="s">
        <v>2629</v>
      </c>
      <c r="R509" s="265">
        <v>41907</v>
      </c>
      <c r="S509" s="265">
        <v>42315</v>
      </c>
      <c r="T509" s="39">
        <f t="shared" si="23"/>
        <v>408</v>
      </c>
    </row>
    <row r="510" spans="1:20">
      <c r="A510" s="301" t="s">
        <v>735</v>
      </c>
      <c r="B510" s="302" t="s">
        <v>285</v>
      </c>
      <c r="C510" s="303" t="s">
        <v>296</v>
      </c>
      <c r="D510" s="304">
        <v>237359447</v>
      </c>
      <c r="E510" s="305">
        <v>9195882405</v>
      </c>
      <c r="F510" s="303" t="s">
        <v>256</v>
      </c>
      <c r="G510" s="306">
        <v>35211</v>
      </c>
      <c r="H510" s="307" t="str">
        <f t="shared" si="21"/>
        <v>May</v>
      </c>
      <c r="I510" s="308">
        <f t="shared" ca="1" si="22"/>
        <v>20</v>
      </c>
      <c r="J510" s="308" t="s">
        <v>257</v>
      </c>
      <c r="K510" s="309">
        <v>73440</v>
      </c>
      <c r="L510" s="310">
        <v>1</v>
      </c>
      <c r="Q510" s="264" t="s">
        <v>2628</v>
      </c>
      <c r="R510" s="265">
        <v>41764</v>
      </c>
      <c r="S510" s="265">
        <v>42019</v>
      </c>
      <c r="T510" s="39">
        <f t="shared" si="23"/>
        <v>255</v>
      </c>
    </row>
    <row r="511" spans="1:20">
      <c r="A511" s="291" t="s">
        <v>377</v>
      </c>
      <c r="B511" s="292" t="s">
        <v>245</v>
      </c>
      <c r="C511" s="293" t="s">
        <v>767</v>
      </c>
      <c r="D511" s="294">
        <v>174159111</v>
      </c>
      <c r="E511" s="295">
        <v>9191675237</v>
      </c>
      <c r="F511" s="293" t="s">
        <v>256</v>
      </c>
      <c r="G511" s="296">
        <v>36196</v>
      </c>
      <c r="H511" s="297" t="str">
        <f t="shared" si="21"/>
        <v>February</v>
      </c>
      <c r="I511" s="298">
        <f t="shared" ca="1" si="22"/>
        <v>17</v>
      </c>
      <c r="J511" s="298" t="s">
        <v>262</v>
      </c>
      <c r="K511" s="299">
        <v>72700</v>
      </c>
      <c r="L511" s="300">
        <v>5</v>
      </c>
      <c r="Q511" s="264" t="s">
        <v>2627</v>
      </c>
      <c r="R511" s="265">
        <v>42050</v>
      </c>
      <c r="S511" s="265">
        <v>42803</v>
      </c>
      <c r="T511" s="39">
        <f t="shared" si="23"/>
        <v>753</v>
      </c>
    </row>
    <row r="512" spans="1:20">
      <c r="A512" s="301" t="s">
        <v>442</v>
      </c>
      <c r="B512" s="302" t="s">
        <v>251</v>
      </c>
      <c r="C512" s="303" t="s">
        <v>856</v>
      </c>
      <c r="D512" s="304">
        <v>593584018</v>
      </c>
      <c r="E512" s="305">
        <v>9194626281</v>
      </c>
      <c r="F512" s="303" t="s">
        <v>256</v>
      </c>
      <c r="G512" s="306">
        <v>34364</v>
      </c>
      <c r="H512" s="307" t="str">
        <f t="shared" si="21"/>
        <v>January</v>
      </c>
      <c r="I512" s="308">
        <f t="shared" ca="1" si="22"/>
        <v>22</v>
      </c>
      <c r="J512" s="308" t="s">
        <v>257</v>
      </c>
      <c r="K512" s="309">
        <v>67920</v>
      </c>
      <c r="L512" s="310">
        <v>4</v>
      </c>
      <c r="Q512" s="264" t="s">
        <v>2626</v>
      </c>
      <c r="R512" s="265">
        <v>41623</v>
      </c>
      <c r="S512" s="265">
        <v>42494</v>
      </c>
      <c r="T512" s="39">
        <f t="shared" si="23"/>
        <v>871</v>
      </c>
    </row>
    <row r="513" spans="1:20">
      <c r="A513" s="291" t="s">
        <v>255</v>
      </c>
      <c r="B513" s="292" t="s">
        <v>251</v>
      </c>
      <c r="C513" s="293" t="s">
        <v>626</v>
      </c>
      <c r="D513" s="294">
        <v>662974752</v>
      </c>
      <c r="E513" s="295">
        <v>2526040465</v>
      </c>
      <c r="F513" s="293" t="s">
        <v>256</v>
      </c>
      <c r="G513" s="296">
        <v>37302</v>
      </c>
      <c r="H513" s="297" t="str">
        <f t="shared" si="21"/>
        <v>February</v>
      </c>
      <c r="I513" s="298">
        <f t="shared" ca="1" si="22"/>
        <v>14</v>
      </c>
      <c r="J513" s="298" t="s">
        <v>283</v>
      </c>
      <c r="K513" s="299">
        <v>51410</v>
      </c>
      <c r="L513" s="300">
        <v>4</v>
      </c>
      <c r="Q513" s="264" t="s">
        <v>2625</v>
      </c>
      <c r="R513" s="265">
        <v>41294</v>
      </c>
      <c r="S513" s="265">
        <v>41407</v>
      </c>
      <c r="T513" s="39">
        <f t="shared" si="23"/>
        <v>113</v>
      </c>
    </row>
    <row r="514" spans="1:20">
      <c r="A514" s="301" t="s">
        <v>996</v>
      </c>
      <c r="B514" s="302" t="s">
        <v>245</v>
      </c>
      <c r="C514" s="303" t="s">
        <v>465</v>
      </c>
      <c r="D514" s="304">
        <v>865073824</v>
      </c>
      <c r="E514" s="305">
        <v>2524785979</v>
      </c>
      <c r="F514" s="303" t="s">
        <v>256</v>
      </c>
      <c r="G514" s="306">
        <v>35451</v>
      </c>
      <c r="H514" s="307" t="str">
        <f t="shared" si="21"/>
        <v>January</v>
      </c>
      <c r="I514" s="308">
        <f t="shared" ca="1" si="22"/>
        <v>19</v>
      </c>
      <c r="J514" s="308" t="s">
        <v>276</v>
      </c>
      <c r="K514" s="309">
        <v>34480</v>
      </c>
      <c r="L514" s="310">
        <v>3</v>
      </c>
      <c r="Q514" s="264" t="s">
        <v>2624</v>
      </c>
      <c r="R514" s="265">
        <v>41456</v>
      </c>
      <c r="S514" s="265">
        <v>41661</v>
      </c>
      <c r="T514" s="39">
        <f t="shared" si="23"/>
        <v>205</v>
      </c>
    </row>
    <row r="515" spans="1:20">
      <c r="A515" s="291" t="s">
        <v>404</v>
      </c>
      <c r="B515" s="292" t="s">
        <v>285</v>
      </c>
      <c r="C515" s="293" t="s">
        <v>930</v>
      </c>
      <c r="D515" s="294">
        <v>800685434</v>
      </c>
      <c r="E515" s="295">
        <v>2525821616</v>
      </c>
      <c r="F515" s="293" t="s">
        <v>256</v>
      </c>
      <c r="G515" s="296">
        <v>37866</v>
      </c>
      <c r="H515" s="297" t="str">
        <f t="shared" si="21"/>
        <v>September</v>
      </c>
      <c r="I515" s="298">
        <f t="shared" ca="1" si="22"/>
        <v>13</v>
      </c>
      <c r="J515" s="298" t="s">
        <v>276</v>
      </c>
      <c r="K515" s="299">
        <v>49930</v>
      </c>
      <c r="L515" s="300">
        <v>1</v>
      </c>
      <c r="Q515" s="264" t="s">
        <v>2623</v>
      </c>
      <c r="R515" s="265">
        <v>41549</v>
      </c>
      <c r="S515" s="265">
        <v>42184</v>
      </c>
      <c r="T515" s="39">
        <f t="shared" si="23"/>
        <v>635</v>
      </c>
    </row>
    <row r="516" spans="1:20">
      <c r="A516" s="301" t="s">
        <v>567</v>
      </c>
      <c r="B516" s="302" t="s">
        <v>271</v>
      </c>
      <c r="C516" s="303" t="s">
        <v>767</v>
      </c>
      <c r="D516" s="304">
        <v>191359642</v>
      </c>
      <c r="E516" s="305">
        <v>2528687353</v>
      </c>
      <c r="F516" s="303" t="s">
        <v>256</v>
      </c>
      <c r="G516" s="306">
        <v>34271</v>
      </c>
      <c r="H516" s="307" t="str">
        <f t="shared" si="21"/>
        <v>October</v>
      </c>
      <c r="I516" s="308">
        <f t="shared" ca="1" si="22"/>
        <v>23</v>
      </c>
      <c r="J516" s="308" t="s">
        <v>257</v>
      </c>
      <c r="K516" s="309">
        <v>24090</v>
      </c>
      <c r="L516" s="310">
        <v>4</v>
      </c>
      <c r="Q516" s="264" t="s">
        <v>2622</v>
      </c>
      <c r="R516" s="265">
        <v>41171</v>
      </c>
      <c r="S516" s="265">
        <v>41595</v>
      </c>
      <c r="T516" s="39">
        <f t="shared" si="23"/>
        <v>424</v>
      </c>
    </row>
    <row r="517" spans="1:20">
      <c r="A517" s="291" t="s">
        <v>997</v>
      </c>
      <c r="B517" s="292" t="s">
        <v>280</v>
      </c>
      <c r="C517" s="293" t="s">
        <v>767</v>
      </c>
      <c r="D517" s="294">
        <v>422463024</v>
      </c>
      <c r="E517" s="295">
        <v>9193876146</v>
      </c>
      <c r="F517" s="293" t="s">
        <v>256</v>
      </c>
      <c r="G517" s="296">
        <v>35603</v>
      </c>
      <c r="H517" s="297" t="str">
        <f t="shared" si="21"/>
        <v>June</v>
      </c>
      <c r="I517" s="298">
        <f t="shared" ca="1" si="22"/>
        <v>19</v>
      </c>
      <c r="J517" s="298" t="s">
        <v>262</v>
      </c>
      <c r="K517" s="299">
        <v>88820</v>
      </c>
      <c r="L517" s="300">
        <v>2</v>
      </c>
      <c r="Q517" s="264" t="s">
        <v>2621</v>
      </c>
      <c r="R517" s="265">
        <v>41477</v>
      </c>
      <c r="S517" s="265">
        <v>41701</v>
      </c>
      <c r="T517" s="39">
        <f t="shared" si="23"/>
        <v>224</v>
      </c>
    </row>
    <row r="518" spans="1:20">
      <c r="A518" s="301" t="s">
        <v>568</v>
      </c>
      <c r="B518" s="302" t="s">
        <v>245</v>
      </c>
      <c r="C518" s="303" t="s">
        <v>312</v>
      </c>
      <c r="D518" s="304">
        <v>721173550</v>
      </c>
      <c r="E518" s="305">
        <v>2528356334</v>
      </c>
      <c r="F518" s="303" t="s">
        <v>256</v>
      </c>
      <c r="G518" s="306">
        <v>34696</v>
      </c>
      <c r="H518" s="307" t="str">
        <f t="shared" ref="H518:H581" si="24">CHOOSE(MONTH(G518),"January","February","March","April","May","June","July","August","September","October","November","December")</f>
        <v>December</v>
      </c>
      <c r="I518" s="308">
        <f t="shared" ref="I518:I581" ca="1" si="25">DATEDIF(G518,TODAY(),"Y")</f>
        <v>21</v>
      </c>
      <c r="J518" s="308" t="s">
        <v>257</v>
      </c>
      <c r="K518" s="309">
        <v>71150</v>
      </c>
      <c r="L518" s="310">
        <v>2</v>
      </c>
      <c r="Q518" s="264" t="s">
        <v>2620</v>
      </c>
      <c r="R518" s="265">
        <v>42060</v>
      </c>
      <c r="S518" s="265">
        <v>42608</v>
      </c>
      <c r="T518" s="39">
        <f t="shared" ref="T518:T581" si="26">DATEDIF(R518,S518,"d")</f>
        <v>548</v>
      </c>
    </row>
    <row r="519" spans="1:20">
      <c r="A519" s="291" t="s">
        <v>761</v>
      </c>
      <c r="B519" s="292" t="s">
        <v>285</v>
      </c>
      <c r="C519" s="293" t="s">
        <v>930</v>
      </c>
      <c r="D519" s="294">
        <v>380304349</v>
      </c>
      <c r="E519" s="295">
        <v>2526129939</v>
      </c>
      <c r="F519" s="293" t="s">
        <v>256</v>
      </c>
      <c r="G519" s="296">
        <v>37459</v>
      </c>
      <c r="H519" s="297" t="str">
        <f t="shared" si="24"/>
        <v>July</v>
      </c>
      <c r="I519" s="298">
        <f t="shared" ca="1" si="25"/>
        <v>14</v>
      </c>
      <c r="J519" s="298" t="s">
        <v>283</v>
      </c>
      <c r="K519" s="299">
        <v>35460</v>
      </c>
      <c r="L519" s="300">
        <v>1</v>
      </c>
      <c r="Q519" s="264" t="s">
        <v>2619</v>
      </c>
      <c r="R519" s="265">
        <v>41624</v>
      </c>
      <c r="S519" s="265">
        <v>42578</v>
      </c>
      <c r="T519" s="39">
        <f t="shared" si="26"/>
        <v>954</v>
      </c>
    </row>
    <row r="520" spans="1:20">
      <c r="A520" s="301" t="s">
        <v>569</v>
      </c>
      <c r="B520" s="302" t="s">
        <v>245</v>
      </c>
      <c r="C520" s="303" t="s">
        <v>465</v>
      </c>
      <c r="D520" s="304">
        <v>136620388</v>
      </c>
      <c r="E520" s="305">
        <v>9195119214</v>
      </c>
      <c r="F520" s="303" t="s">
        <v>256</v>
      </c>
      <c r="G520" s="306">
        <v>36624</v>
      </c>
      <c r="H520" s="307" t="str">
        <f t="shared" si="24"/>
        <v>April</v>
      </c>
      <c r="I520" s="308">
        <f t="shared" ca="1" si="25"/>
        <v>16</v>
      </c>
      <c r="J520" s="308" t="s">
        <v>262</v>
      </c>
      <c r="K520" s="309">
        <v>70020</v>
      </c>
      <c r="L520" s="310">
        <v>3</v>
      </c>
      <c r="Q520" s="264" t="s">
        <v>2618</v>
      </c>
      <c r="R520" s="265">
        <v>42340</v>
      </c>
      <c r="S520" s="265">
        <v>42753</v>
      </c>
      <c r="T520" s="39">
        <f t="shared" si="26"/>
        <v>413</v>
      </c>
    </row>
    <row r="521" spans="1:20">
      <c r="A521" s="291" t="s">
        <v>570</v>
      </c>
      <c r="B521" s="292" t="s">
        <v>245</v>
      </c>
      <c r="C521" s="293" t="s">
        <v>767</v>
      </c>
      <c r="D521" s="294">
        <v>160184934</v>
      </c>
      <c r="E521" s="295">
        <v>9191191599</v>
      </c>
      <c r="F521" s="293" t="s">
        <v>261</v>
      </c>
      <c r="G521" s="296">
        <v>35703</v>
      </c>
      <c r="H521" s="297" t="str">
        <f t="shared" si="24"/>
        <v>September</v>
      </c>
      <c r="I521" s="298">
        <f t="shared" ca="1" si="25"/>
        <v>19</v>
      </c>
      <c r="J521" s="298" t="s">
        <v>283</v>
      </c>
      <c r="K521" s="299">
        <v>10700</v>
      </c>
      <c r="L521" s="300">
        <v>4</v>
      </c>
      <c r="Q521" s="264" t="s">
        <v>2617</v>
      </c>
      <c r="R521" s="265">
        <v>42341</v>
      </c>
      <c r="S521" s="265">
        <v>43040</v>
      </c>
      <c r="T521" s="39">
        <f t="shared" si="26"/>
        <v>699</v>
      </c>
    </row>
    <row r="522" spans="1:20">
      <c r="A522" s="301" t="s">
        <v>1029</v>
      </c>
      <c r="B522" s="302" t="s">
        <v>271</v>
      </c>
      <c r="C522" s="303" t="s">
        <v>465</v>
      </c>
      <c r="D522" s="304">
        <v>676030562</v>
      </c>
      <c r="E522" s="305">
        <v>9198253211</v>
      </c>
      <c r="F522" s="303" t="s">
        <v>256</v>
      </c>
      <c r="G522" s="306">
        <v>36605</v>
      </c>
      <c r="H522" s="307" t="str">
        <f t="shared" si="24"/>
        <v>March</v>
      </c>
      <c r="I522" s="308">
        <f t="shared" ca="1" si="25"/>
        <v>16</v>
      </c>
      <c r="J522" s="308" t="s">
        <v>257</v>
      </c>
      <c r="K522" s="309">
        <v>60100</v>
      </c>
      <c r="L522" s="310">
        <v>1</v>
      </c>
      <c r="Q522" s="264" t="s">
        <v>2616</v>
      </c>
      <c r="R522" s="265">
        <v>41901</v>
      </c>
      <c r="S522" s="265">
        <v>42884</v>
      </c>
      <c r="T522" s="39">
        <f t="shared" si="26"/>
        <v>983</v>
      </c>
    </row>
    <row r="523" spans="1:20">
      <c r="A523" s="291" t="s">
        <v>660</v>
      </c>
      <c r="B523" s="292" t="s">
        <v>245</v>
      </c>
      <c r="C523" s="293" t="s">
        <v>465</v>
      </c>
      <c r="D523" s="294">
        <v>561968668</v>
      </c>
      <c r="E523" s="295">
        <v>2522433774</v>
      </c>
      <c r="F523" s="293" t="s">
        <v>256</v>
      </c>
      <c r="G523" s="296">
        <v>39719</v>
      </c>
      <c r="H523" s="297" t="str">
        <f t="shared" si="24"/>
        <v>September</v>
      </c>
      <c r="I523" s="298">
        <f t="shared" ca="1" si="25"/>
        <v>8</v>
      </c>
      <c r="J523" s="298" t="s">
        <v>262</v>
      </c>
      <c r="K523" s="299">
        <v>76584</v>
      </c>
      <c r="L523" s="300">
        <v>1</v>
      </c>
      <c r="Q523" s="264" t="s">
        <v>2615</v>
      </c>
      <c r="R523" s="265">
        <v>42120</v>
      </c>
      <c r="S523" s="265">
        <v>43079</v>
      </c>
      <c r="T523" s="39">
        <f t="shared" si="26"/>
        <v>959</v>
      </c>
    </row>
    <row r="524" spans="1:20">
      <c r="A524" s="301" t="s">
        <v>910</v>
      </c>
      <c r="B524" s="302" t="s">
        <v>280</v>
      </c>
      <c r="C524" s="303" t="s">
        <v>465</v>
      </c>
      <c r="D524" s="304">
        <v>596008829</v>
      </c>
      <c r="E524" s="305">
        <v>9198721709</v>
      </c>
      <c r="F524" s="303" t="s">
        <v>247</v>
      </c>
      <c r="G524" s="306">
        <v>36921</v>
      </c>
      <c r="H524" s="307" t="str">
        <f t="shared" si="24"/>
        <v>January</v>
      </c>
      <c r="I524" s="308">
        <f t="shared" ca="1" si="25"/>
        <v>15</v>
      </c>
      <c r="J524" s="308"/>
      <c r="K524" s="309">
        <v>45050</v>
      </c>
      <c r="L524" s="310">
        <v>1</v>
      </c>
      <c r="Q524" s="264" t="s">
        <v>2614</v>
      </c>
      <c r="R524" s="265">
        <v>41171</v>
      </c>
      <c r="S524" s="265">
        <v>41630</v>
      </c>
      <c r="T524" s="39">
        <f t="shared" si="26"/>
        <v>459</v>
      </c>
    </row>
    <row r="525" spans="1:20">
      <c r="A525" s="291" t="s">
        <v>571</v>
      </c>
      <c r="B525" s="292" t="s">
        <v>245</v>
      </c>
      <c r="C525" s="293" t="s">
        <v>626</v>
      </c>
      <c r="D525" s="294">
        <v>980960186</v>
      </c>
      <c r="E525" s="295">
        <v>9191517218</v>
      </c>
      <c r="F525" s="293" t="s">
        <v>261</v>
      </c>
      <c r="G525" s="296">
        <v>40008</v>
      </c>
      <c r="H525" s="297" t="str">
        <f t="shared" si="24"/>
        <v>July</v>
      </c>
      <c r="I525" s="298">
        <f t="shared" ca="1" si="25"/>
        <v>7</v>
      </c>
      <c r="J525" s="298" t="s">
        <v>283</v>
      </c>
      <c r="K525" s="299">
        <v>47705</v>
      </c>
      <c r="L525" s="300">
        <v>5</v>
      </c>
      <c r="Q525" s="264" t="s">
        <v>2613</v>
      </c>
      <c r="R525" s="265">
        <v>42104</v>
      </c>
      <c r="S525" s="265">
        <v>42245</v>
      </c>
      <c r="T525" s="39">
        <f t="shared" si="26"/>
        <v>141</v>
      </c>
    </row>
    <row r="526" spans="1:20">
      <c r="A526" s="301" t="s">
        <v>572</v>
      </c>
      <c r="B526" s="302" t="s">
        <v>271</v>
      </c>
      <c r="C526" s="303" t="s">
        <v>930</v>
      </c>
      <c r="D526" s="304">
        <v>375875723</v>
      </c>
      <c r="E526" s="305">
        <v>2526026842</v>
      </c>
      <c r="F526" s="303" t="s">
        <v>247</v>
      </c>
      <c r="G526" s="306">
        <v>35633</v>
      </c>
      <c r="H526" s="307" t="str">
        <f t="shared" si="24"/>
        <v>July</v>
      </c>
      <c r="I526" s="308">
        <f t="shared" ca="1" si="25"/>
        <v>19</v>
      </c>
      <c r="J526" s="308"/>
      <c r="K526" s="309">
        <v>64263</v>
      </c>
      <c r="L526" s="310">
        <v>3</v>
      </c>
      <c r="Q526" s="264" t="s">
        <v>2612</v>
      </c>
      <c r="R526" s="265">
        <v>42094</v>
      </c>
      <c r="S526" s="265">
        <v>42446</v>
      </c>
      <c r="T526" s="39">
        <f t="shared" si="26"/>
        <v>352</v>
      </c>
    </row>
    <row r="527" spans="1:20">
      <c r="A527" s="291" t="s">
        <v>573</v>
      </c>
      <c r="B527" s="292" t="s">
        <v>271</v>
      </c>
      <c r="C527" s="293" t="s">
        <v>465</v>
      </c>
      <c r="D527" s="294">
        <v>512405919</v>
      </c>
      <c r="E527" s="295">
        <v>9195858234</v>
      </c>
      <c r="F527" s="293" t="s">
        <v>256</v>
      </c>
      <c r="G527" s="296">
        <v>38346</v>
      </c>
      <c r="H527" s="297" t="str">
        <f t="shared" si="24"/>
        <v>December</v>
      </c>
      <c r="I527" s="298">
        <f t="shared" ca="1" si="25"/>
        <v>11</v>
      </c>
      <c r="J527" s="298" t="s">
        <v>267</v>
      </c>
      <c r="K527" s="299">
        <v>64130</v>
      </c>
      <c r="L527" s="300">
        <v>1</v>
      </c>
      <c r="Q527" s="264" t="s">
        <v>2611</v>
      </c>
      <c r="R527" s="265">
        <v>41589</v>
      </c>
      <c r="S527" s="265">
        <v>41701</v>
      </c>
      <c r="T527" s="39">
        <f t="shared" si="26"/>
        <v>112</v>
      </c>
    </row>
    <row r="528" spans="1:20">
      <c r="A528" s="301" t="s">
        <v>998</v>
      </c>
      <c r="B528" s="302" t="s">
        <v>266</v>
      </c>
      <c r="C528" s="303" t="s">
        <v>750</v>
      </c>
      <c r="D528" s="304">
        <v>834061135</v>
      </c>
      <c r="E528" s="305">
        <v>9198472270</v>
      </c>
      <c r="F528" s="303" t="s">
        <v>256</v>
      </c>
      <c r="G528" s="306">
        <v>34423</v>
      </c>
      <c r="H528" s="307" t="str">
        <f t="shared" si="24"/>
        <v>March</v>
      </c>
      <c r="I528" s="308">
        <f t="shared" ca="1" si="25"/>
        <v>22</v>
      </c>
      <c r="J528" s="308" t="s">
        <v>267</v>
      </c>
      <c r="K528" s="309">
        <v>44560</v>
      </c>
      <c r="L528" s="310">
        <v>2</v>
      </c>
      <c r="Q528" s="264" t="s">
        <v>2610</v>
      </c>
      <c r="R528" s="265">
        <v>41002</v>
      </c>
      <c r="S528" s="265">
        <v>41900</v>
      </c>
      <c r="T528" s="39">
        <f t="shared" si="26"/>
        <v>898</v>
      </c>
    </row>
    <row r="529" spans="1:20">
      <c r="A529" s="291" t="s">
        <v>574</v>
      </c>
      <c r="B529" s="292" t="s">
        <v>271</v>
      </c>
      <c r="C529" s="293" t="s">
        <v>856</v>
      </c>
      <c r="D529" s="294">
        <v>705186668</v>
      </c>
      <c r="E529" s="295">
        <v>9193922813</v>
      </c>
      <c r="F529" s="293" t="s">
        <v>252</v>
      </c>
      <c r="G529" s="296">
        <v>35090</v>
      </c>
      <c r="H529" s="297" t="str">
        <f t="shared" si="24"/>
        <v>January</v>
      </c>
      <c r="I529" s="298">
        <f t="shared" ca="1" si="25"/>
        <v>20</v>
      </c>
      <c r="J529" s="298"/>
      <c r="K529" s="299">
        <v>26484</v>
      </c>
      <c r="L529" s="300">
        <v>5</v>
      </c>
      <c r="Q529" s="264" t="s">
        <v>2609</v>
      </c>
      <c r="R529" s="265">
        <v>41741</v>
      </c>
      <c r="S529" s="265">
        <v>42561</v>
      </c>
      <c r="T529" s="39">
        <f t="shared" si="26"/>
        <v>820</v>
      </c>
    </row>
    <row r="530" spans="1:20">
      <c r="A530" s="301" t="s">
        <v>405</v>
      </c>
      <c r="B530" s="302" t="s">
        <v>271</v>
      </c>
      <c r="C530" s="303" t="s">
        <v>930</v>
      </c>
      <c r="D530" s="304">
        <v>750006979</v>
      </c>
      <c r="E530" s="305">
        <v>2528444054</v>
      </c>
      <c r="F530" s="303" t="s">
        <v>261</v>
      </c>
      <c r="G530" s="306">
        <v>34952</v>
      </c>
      <c r="H530" s="307" t="str">
        <f t="shared" si="24"/>
        <v>September</v>
      </c>
      <c r="I530" s="308">
        <f t="shared" ca="1" si="25"/>
        <v>21</v>
      </c>
      <c r="J530" s="308" t="s">
        <v>267</v>
      </c>
      <c r="K530" s="309">
        <v>27710</v>
      </c>
      <c r="L530" s="310">
        <v>3</v>
      </c>
      <c r="Q530" s="264" t="s">
        <v>2608</v>
      </c>
      <c r="R530" s="265">
        <v>41571</v>
      </c>
      <c r="S530" s="265">
        <v>42571</v>
      </c>
      <c r="T530" s="39">
        <f t="shared" si="26"/>
        <v>1000</v>
      </c>
    </row>
    <row r="531" spans="1:20">
      <c r="A531" s="291" t="s">
        <v>348</v>
      </c>
      <c r="B531" s="292" t="s">
        <v>285</v>
      </c>
      <c r="C531" s="293" t="s">
        <v>465</v>
      </c>
      <c r="D531" s="294">
        <v>597131266</v>
      </c>
      <c r="E531" s="295">
        <v>9195043141</v>
      </c>
      <c r="F531" s="293" t="s">
        <v>256</v>
      </c>
      <c r="G531" s="296">
        <v>36613</v>
      </c>
      <c r="H531" s="297" t="str">
        <f t="shared" si="24"/>
        <v>March</v>
      </c>
      <c r="I531" s="298">
        <f t="shared" ca="1" si="25"/>
        <v>16</v>
      </c>
      <c r="J531" s="298" t="s">
        <v>262</v>
      </c>
      <c r="K531" s="299">
        <v>66430</v>
      </c>
      <c r="L531" s="300">
        <v>2</v>
      </c>
      <c r="Q531" s="264" t="s">
        <v>2607</v>
      </c>
      <c r="R531" s="265">
        <v>41428</v>
      </c>
      <c r="S531" s="265">
        <v>41702</v>
      </c>
      <c r="T531" s="39">
        <f t="shared" si="26"/>
        <v>274</v>
      </c>
    </row>
    <row r="532" spans="1:20">
      <c r="A532" s="301" t="s">
        <v>575</v>
      </c>
      <c r="B532" s="302" t="s">
        <v>285</v>
      </c>
      <c r="C532" s="303" t="s">
        <v>856</v>
      </c>
      <c r="D532" s="304">
        <v>983047016</v>
      </c>
      <c r="E532" s="305">
        <v>9198451642</v>
      </c>
      <c r="F532" s="303" t="s">
        <v>247</v>
      </c>
      <c r="G532" s="306">
        <v>39703</v>
      </c>
      <c r="H532" s="307" t="str">
        <f t="shared" si="24"/>
        <v>September</v>
      </c>
      <c r="I532" s="308">
        <f t="shared" ca="1" si="25"/>
        <v>8</v>
      </c>
      <c r="J532" s="308"/>
      <c r="K532" s="309">
        <v>85930</v>
      </c>
      <c r="L532" s="310">
        <v>2</v>
      </c>
      <c r="Q532" s="264" t="s">
        <v>2606</v>
      </c>
      <c r="R532" s="265">
        <v>42048</v>
      </c>
      <c r="S532" s="265">
        <v>42651</v>
      </c>
      <c r="T532" s="39">
        <f t="shared" si="26"/>
        <v>603</v>
      </c>
    </row>
    <row r="533" spans="1:20">
      <c r="A533" s="291" t="s">
        <v>576</v>
      </c>
      <c r="B533" s="292" t="s">
        <v>271</v>
      </c>
      <c r="C533" s="293" t="s">
        <v>767</v>
      </c>
      <c r="D533" s="294">
        <v>209846975</v>
      </c>
      <c r="E533" s="295">
        <v>2522639452</v>
      </c>
      <c r="F533" s="293" t="s">
        <v>261</v>
      </c>
      <c r="G533" s="296">
        <v>38159</v>
      </c>
      <c r="H533" s="297" t="str">
        <f t="shared" si="24"/>
        <v>June</v>
      </c>
      <c r="I533" s="298">
        <f t="shared" ca="1" si="25"/>
        <v>12</v>
      </c>
      <c r="J533" s="298" t="s">
        <v>276</v>
      </c>
      <c r="K533" s="299">
        <v>12545</v>
      </c>
      <c r="L533" s="300">
        <v>4</v>
      </c>
      <c r="Q533" s="264" t="s">
        <v>2605</v>
      </c>
      <c r="R533" s="265">
        <v>41707</v>
      </c>
      <c r="S533" s="265">
        <v>42492</v>
      </c>
      <c r="T533" s="39">
        <f t="shared" si="26"/>
        <v>785</v>
      </c>
    </row>
    <row r="534" spans="1:20">
      <c r="A534" s="301" t="s">
        <v>736</v>
      </c>
      <c r="B534" s="302" t="s">
        <v>280</v>
      </c>
      <c r="C534" s="303" t="s">
        <v>391</v>
      </c>
      <c r="D534" s="304">
        <v>581823751</v>
      </c>
      <c r="E534" s="305">
        <v>2528577225</v>
      </c>
      <c r="F534" s="303" t="s">
        <v>247</v>
      </c>
      <c r="G534" s="306">
        <v>38577</v>
      </c>
      <c r="H534" s="307" t="str">
        <f t="shared" si="24"/>
        <v>August</v>
      </c>
      <c r="I534" s="308">
        <f t="shared" ca="1" si="25"/>
        <v>11</v>
      </c>
      <c r="J534" s="308"/>
      <c r="K534" s="309">
        <v>73390</v>
      </c>
      <c r="L534" s="310">
        <v>2</v>
      </c>
      <c r="Q534" s="264" t="s">
        <v>2604</v>
      </c>
      <c r="R534" s="265">
        <v>42302</v>
      </c>
      <c r="S534" s="265">
        <v>43194</v>
      </c>
      <c r="T534" s="39">
        <f t="shared" si="26"/>
        <v>892</v>
      </c>
    </row>
    <row r="535" spans="1:20">
      <c r="A535" s="291" t="s">
        <v>310</v>
      </c>
      <c r="B535" s="292" t="s">
        <v>266</v>
      </c>
      <c r="C535" s="293" t="s">
        <v>465</v>
      </c>
      <c r="D535" s="294">
        <v>378189642</v>
      </c>
      <c r="E535" s="295">
        <v>2526228199</v>
      </c>
      <c r="F535" s="293" t="s">
        <v>247</v>
      </c>
      <c r="G535" s="296">
        <v>38809</v>
      </c>
      <c r="H535" s="297" t="str">
        <f t="shared" si="24"/>
        <v>April</v>
      </c>
      <c r="I535" s="298">
        <f t="shared" ca="1" si="25"/>
        <v>10</v>
      </c>
      <c r="J535" s="298"/>
      <c r="K535" s="299">
        <v>64220</v>
      </c>
      <c r="L535" s="300">
        <v>5</v>
      </c>
      <c r="Q535" s="264" t="s">
        <v>2603</v>
      </c>
      <c r="R535" s="265">
        <v>42161</v>
      </c>
      <c r="S535" s="265">
        <v>42347</v>
      </c>
      <c r="T535" s="39">
        <f t="shared" si="26"/>
        <v>186</v>
      </c>
    </row>
    <row r="536" spans="1:20">
      <c r="A536" s="301" t="s">
        <v>282</v>
      </c>
      <c r="B536" s="302" t="s">
        <v>271</v>
      </c>
      <c r="C536" s="303" t="s">
        <v>465</v>
      </c>
      <c r="D536" s="304">
        <v>380653169</v>
      </c>
      <c r="E536" s="305">
        <v>9194743535</v>
      </c>
      <c r="F536" s="303" t="s">
        <v>256</v>
      </c>
      <c r="G536" s="306">
        <v>35061</v>
      </c>
      <c r="H536" s="307" t="str">
        <f t="shared" si="24"/>
        <v>December</v>
      </c>
      <c r="I536" s="308">
        <f t="shared" ca="1" si="25"/>
        <v>20</v>
      </c>
      <c r="J536" s="308" t="s">
        <v>283</v>
      </c>
      <c r="K536" s="309">
        <v>81980</v>
      </c>
      <c r="L536" s="310">
        <v>2</v>
      </c>
      <c r="Q536" s="264" t="s">
        <v>2602</v>
      </c>
      <c r="R536" s="265">
        <v>42283</v>
      </c>
      <c r="S536" s="265">
        <v>42720</v>
      </c>
      <c r="T536" s="39">
        <f t="shared" si="26"/>
        <v>437</v>
      </c>
    </row>
    <row r="537" spans="1:20">
      <c r="A537" s="291" t="s">
        <v>577</v>
      </c>
      <c r="B537" s="292" t="s">
        <v>271</v>
      </c>
      <c r="C537" s="293" t="s">
        <v>767</v>
      </c>
      <c r="D537" s="294">
        <v>379340654</v>
      </c>
      <c r="E537" s="295">
        <v>9198642893</v>
      </c>
      <c r="F537" s="293" t="s">
        <v>256</v>
      </c>
      <c r="G537" s="296">
        <v>36900</v>
      </c>
      <c r="H537" s="297" t="str">
        <f t="shared" si="24"/>
        <v>January</v>
      </c>
      <c r="I537" s="298">
        <f t="shared" ca="1" si="25"/>
        <v>15</v>
      </c>
      <c r="J537" s="298" t="s">
        <v>276</v>
      </c>
      <c r="K537" s="299">
        <v>36890</v>
      </c>
      <c r="L537" s="300">
        <v>1</v>
      </c>
      <c r="Q537" s="264" t="s">
        <v>2601</v>
      </c>
      <c r="R537" s="265">
        <v>42130</v>
      </c>
      <c r="S537" s="265">
        <v>42948</v>
      </c>
      <c r="T537" s="39">
        <f t="shared" si="26"/>
        <v>818</v>
      </c>
    </row>
    <row r="538" spans="1:20">
      <c r="A538" s="301" t="s">
        <v>578</v>
      </c>
      <c r="B538" s="302" t="s">
        <v>245</v>
      </c>
      <c r="C538" s="303" t="s">
        <v>312</v>
      </c>
      <c r="D538" s="304">
        <v>474999228</v>
      </c>
      <c r="E538" s="305">
        <v>9193848677</v>
      </c>
      <c r="F538" s="303" t="s">
        <v>247</v>
      </c>
      <c r="G538" s="306">
        <v>36997</v>
      </c>
      <c r="H538" s="307" t="str">
        <f t="shared" si="24"/>
        <v>April</v>
      </c>
      <c r="I538" s="308">
        <f t="shared" ca="1" si="25"/>
        <v>15</v>
      </c>
      <c r="J538" s="308"/>
      <c r="K538" s="309">
        <v>76930</v>
      </c>
      <c r="L538" s="310">
        <v>1</v>
      </c>
      <c r="Q538" s="264" t="s">
        <v>2600</v>
      </c>
      <c r="R538" s="265">
        <v>41650</v>
      </c>
      <c r="S538" s="265">
        <v>42410</v>
      </c>
      <c r="T538" s="39">
        <f t="shared" si="26"/>
        <v>760</v>
      </c>
    </row>
    <row r="539" spans="1:20">
      <c r="A539" s="291" t="s">
        <v>349</v>
      </c>
      <c r="B539" s="292" t="s">
        <v>245</v>
      </c>
      <c r="C539" s="293" t="s">
        <v>767</v>
      </c>
      <c r="D539" s="294">
        <v>643979374</v>
      </c>
      <c r="E539" s="295">
        <v>2521230519</v>
      </c>
      <c r="F539" s="293" t="s">
        <v>247</v>
      </c>
      <c r="G539" s="296">
        <v>36451</v>
      </c>
      <c r="H539" s="297" t="str">
        <f t="shared" si="24"/>
        <v>October</v>
      </c>
      <c r="I539" s="298">
        <f t="shared" ca="1" si="25"/>
        <v>17</v>
      </c>
      <c r="J539" s="298"/>
      <c r="K539" s="299">
        <v>49530</v>
      </c>
      <c r="L539" s="300">
        <v>4</v>
      </c>
      <c r="Q539" s="264" t="s">
        <v>2599</v>
      </c>
      <c r="R539" s="265">
        <v>41467</v>
      </c>
      <c r="S539" s="265">
        <v>41968</v>
      </c>
      <c r="T539" s="39">
        <f t="shared" si="26"/>
        <v>501</v>
      </c>
    </row>
    <row r="540" spans="1:20">
      <c r="A540" s="301" t="s">
        <v>350</v>
      </c>
      <c r="B540" s="302" t="s">
        <v>271</v>
      </c>
      <c r="C540" s="303" t="s">
        <v>465</v>
      </c>
      <c r="D540" s="304">
        <v>470719383</v>
      </c>
      <c r="E540" s="305">
        <v>9197848542</v>
      </c>
      <c r="F540" s="303" t="s">
        <v>256</v>
      </c>
      <c r="G540" s="306">
        <v>36919</v>
      </c>
      <c r="H540" s="307" t="str">
        <f t="shared" si="24"/>
        <v>January</v>
      </c>
      <c r="I540" s="308">
        <f t="shared" ca="1" si="25"/>
        <v>15</v>
      </c>
      <c r="J540" s="308" t="s">
        <v>257</v>
      </c>
      <c r="K540" s="309">
        <v>75120</v>
      </c>
      <c r="L540" s="310">
        <v>5</v>
      </c>
      <c r="Q540" s="264" t="s">
        <v>2598</v>
      </c>
      <c r="R540" s="265">
        <v>41372</v>
      </c>
      <c r="S540" s="265">
        <v>41670</v>
      </c>
      <c r="T540" s="39">
        <f t="shared" si="26"/>
        <v>298</v>
      </c>
    </row>
    <row r="541" spans="1:20">
      <c r="A541" s="291" t="s">
        <v>696</v>
      </c>
      <c r="B541" s="292" t="s">
        <v>285</v>
      </c>
      <c r="C541" s="293" t="s">
        <v>767</v>
      </c>
      <c r="D541" s="294">
        <v>938723321</v>
      </c>
      <c r="E541" s="295">
        <v>9196456972</v>
      </c>
      <c r="F541" s="293" t="s">
        <v>247</v>
      </c>
      <c r="G541" s="296">
        <v>40253</v>
      </c>
      <c r="H541" s="297" t="str">
        <f t="shared" si="24"/>
        <v>March</v>
      </c>
      <c r="I541" s="298">
        <f t="shared" ca="1" si="25"/>
        <v>6</v>
      </c>
      <c r="J541" s="298"/>
      <c r="K541" s="299">
        <v>89640</v>
      </c>
      <c r="L541" s="300">
        <v>4</v>
      </c>
      <c r="Q541" s="264" t="s">
        <v>2597</v>
      </c>
      <c r="R541" s="265">
        <v>41395</v>
      </c>
      <c r="S541" s="265">
        <v>41544</v>
      </c>
      <c r="T541" s="39">
        <f t="shared" si="26"/>
        <v>149</v>
      </c>
    </row>
    <row r="542" spans="1:20">
      <c r="A542" s="301" t="s">
        <v>351</v>
      </c>
      <c r="B542" s="302" t="s">
        <v>266</v>
      </c>
      <c r="C542" s="303" t="s">
        <v>767</v>
      </c>
      <c r="D542" s="304">
        <v>289103201</v>
      </c>
      <c r="E542" s="305">
        <v>9192921836</v>
      </c>
      <c r="F542" s="303" t="s">
        <v>256</v>
      </c>
      <c r="G542" s="306">
        <v>40127</v>
      </c>
      <c r="H542" s="307" t="str">
        <f t="shared" si="24"/>
        <v>November</v>
      </c>
      <c r="I542" s="308">
        <f t="shared" ca="1" si="25"/>
        <v>7</v>
      </c>
      <c r="J542" s="308" t="s">
        <v>257</v>
      </c>
      <c r="K542" s="309">
        <v>73830</v>
      </c>
      <c r="L542" s="310">
        <v>2</v>
      </c>
      <c r="Q542" s="264" t="s">
        <v>2596</v>
      </c>
      <c r="R542" s="265">
        <v>41225</v>
      </c>
      <c r="S542" s="265">
        <v>41672</v>
      </c>
      <c r="T542" s="39">
        <f t="shared" si="26"/>
        <v>447</v>
      </c>
    </row>
    <row r="543" spans="1:20">
      <c r="A543" s="291" t="s">
        <v>302</v>
      </c>
      <c r="B543" s="292" t="s">
        <v>285</v>
      </c>
      <c r="C543" s="293" t="s">
        <v>417</v>
      </c>
      <c r="D543" s="294">
        <v>393051351</v>
      </c>
      <c r="E543" s="295">
        <v>9197508998</v>
      </c>
      <c r="F543" s="293" t="s">
        <v>261</v>
      </c>
      <c r="G543" s="296">
        <v>36096</v>
      </c>
      <c r="H543" s="297" t="str">
        <f t="shared" si="24"/>
        <v>October</v>
      </c>
      <c r="I543" s="298">
        <f t="shared" ca="1" si="25"/>
        <v>18</v>
      </c>
      <c r="J543" s="298" t="s">
        <v>276</v>
      </c>
      <c r="K543" s="299">
        <v>32835</v>
      </c>
      <c r="L543" s="300">
        <v>2</v>
      </c>
      <c r="Q543" s="264" t="s">
        <v>2595</v>
      </c>
      <c r="R543" s="265">
        <v>42285</v>
      </c>
      <c r="S543" s="265">
        <v>42493</v>
      </c>
      <c r="T543" s="39">
        <f t="shared" si="26"/>
        <v>208</v>
      </c>
    </row>
    <row r="544" spans="1:20">
      <c r="A544" s="301" t="s">
        <v>579</v>
      </c>
      <c r="B544" s="302" t="s">
        <v>245</v>
      </c>
      <c r="C544" s="303" t="s">
        <v>417</v>
      </c>
      <c r="D544" s="304">
        <v>870601943</v>
      </c>
      <c r="E544" s="305">
        <v>9196097340</v>
      </c>
      <c r="F544" s="303" t="s">
        <v>247</v>
      </c>
      <c r="G544" s="306">
        <v>35671</v>
      </c>
      <c r="H544" s="307" t="str">
        <f t="shared" si="24"/>
        <v>August</v>
      </c>
      <c r="I544" s="308">
        <f t="shared" ca="1" si="25"/>
        <v>19</v>
      </c>
      <c r="J544" s="308"/>
      <c r="K544" s="309">
        <v>45040</v>
      </c>
      <c r="L544" s="310">
        <v>5</v>
      </c>
      <c r="Q544" s="264" t="s">
        <v>2594</v>
      </c>
      <c r="R544" s="265">
        <v>41515</v>
      </c>
      <c r="S544" s="265">
        <v>42183</v>
      </c>
      <c r="T544" s="39">
        <f t="shared" si="26"/>
        <v>668</v>
      </c>
    </row>
    <row r="545" spans="1:20">
      <c r="A545" s="291" t="s">
        <v>352</v>
      </c>
      <c r="B545" s="292" t="s">
        <v>271</v>
      </c>
      <c r="C545" s="293" t="s">
        <v>930</v>
      </c>
      <c r="D545" s="294">
        <v>159594851</v>
      </c>
      <c r="E545" s="295">
        <v>9194084456</v>
      </c>
      <c r="F545" s="293" t="s">
        <v>256</v>
      </c>
      <c r="G545" s="296">
        <v>41590</v>
      </c>
      <c r="H545" s="297" t="str">
        <f t="shared" si="24"/>
        <v>November</v>
      </c>
      <c r="I545" s="298">
        <f t="shared" ca="1" si="25"/>
        <v>2</v>
      </c>
      <c r="J545" s="298" t="s">
        <v>276</v>
      </c>
      <c r="K545" s="299">
        <v>40260</v>
      </c>
      <c r="L545" s="300">
        <v>5</v>
      </c>
      <c r="Q545" s="264" t="s">
        <v>2593</v>
      </c>
      <c r="R545" s="265">
        <v>40971</v>
      </c>
      <c r="S545" s="265">
        <v>41204</v>
      </c>
      <c r="T545" s="39">
        <f t="shared" si="26"/>
        <v>233</v>
      </c>
    </row>
    <row r="546" spans="1:20">
      <c r="A546" s="301" t="s">
        <v>284</v>
      </c>
      <c r="B546" s="302" t="s">
        <v>285</v>
      </c>
      <c r="C546" s="303" t="s">
        <v>465</v>
      </c>
      <c r="D546" s="304">
        <v>110547055</v>
      </c>
      <c r="E546" s="305">
        <v>2526966637</v>
      </c>
      <c r="F546" s="303" t="s">
        <v>261</v>
      </c>
      <c r="G546" s="306">
        <v>37270</v>
      </c>
      <c r="H546" s="307" t="str">
        <f t="shared" si="24"/>
        <v>January</v>
      </c>
      <c r="I546" s="308">
        <f t="shared" ca="1" si="25"/>
        <v>14</v>
      </c>
      <c r="J546" s="308" t="s">
        <v>283</v>
      </c>
      <c r="K546" s="309">
        <v>11065</v>
      </c>
      <c r="L546" s="310">
        <v>1</v>
      </c>
      <c r="Q546" s="264" t="s">
        <v>2592</v>
      </c>
      <c r="R546" s="265">
        <v>41740</v>
      </c>
      <c r="S546" s="265">
        <v>42490</v>
      </c>
      <c r="T546" s="39">
        <f t="shared" si="26"/>
        <v>750</v>
      </c>
    </row>
    <row r="547" spans="1:20">
      <c r="A547" s="291" t="s">
        <v>828</v>
      </c>
      <c r="B547" s="292" t="s">
        <v>266</v>
      </c>
      <c r="C547" s="293" t="s">
        <v>465</v>
      </c>
      <c r="D547" s="294">
        <v>858800513</v>
      </c>
      <c r="E547" s="295">
        <v>9193547588</v>
      </c>
      <c r="F547" s="293" t="s">
        <v>256</v>
      </c>
      <c r="G547" s="296">
        <v>40222</v>
      </c>
      <c r="H547" s="297" t="str">
        <f t="shared" si="24"/>
        <v>February</v>
      </c>
      <c r="I547" s="298">
        <f t="shared" ca="1" si="25"/>
        <v>6</v>
      </c>
      <c r="J547" s="298" t="s">
        <v>262</v>
      </c>
      <c r="K547" s="299">
        <v>71030</v>
      </c>
      <c r="L547" s="300">
        <v>3</v>
      </c>
      <c r="Q547" s="264" t="s">
        <v>2591</v>
      </c>
      <c r="R547" s="265">
        <v>41145</v>
      </c>
      <c r="S547" s="265">
        <v>41869</v>
      </c>
      <c r="T547" s="39">
        <f t="shared" si="26"/>
        <v>724</v>
      </c>
    </row>
    <row r="548" spans="1:20">
      <c r="A548" s="301" t="s">
        <v>580</v>
      </c>
      <c r="B548" s="302" t="s">
        <v>285</v>
      </c>
      <c r="C548" s="303" t="s">
        <v>626</v>
      </c>
      <c r="D548" s="304">
        <v>294161481</v>
      </c>
      <c r="E548" s="305">
        <v>2521201242</v>
      </c>
      <c r="F548" s="303" t="s">
        <v>261</v>
      </c>
      <c r="G548" s="306">
        <v>37004</v>
      </c>
      <c r="H548" s="307" t="str">
        <f t="shared" si="24"/>
        <v>April</v>
      </c>
      <c r="I548" s="308">
        <f t="shared" ca="1" si="25"/>
        <v>15</v>
      </c>
      <c r="J548" s="308" t="s">
        <v>257</v>
      </c>
      <c r="K548" s="309">
        <v>47885</v>
      </c>
      <c r="L548" s="310">
        <v>1</v>
      </c>
      <c r="Q548" s="264" t="s">
        <v>2590</v>
      </c>
      <c r="R548" s="265">
        <v>42218</v>
      </c>
      <c r="S548" s="265">
        <v>42318</v>
      </c>
      <c r="T548" s="39">
        <f t="shared" si="26"/>
        <v>100</v>
      </c>
    </row>
    <row r="549" spans="1:20">
      <c r="A549" s="291" t="s">
        <v>661</v>
      </c>
      <c r="B549" s="292" t="s">
        <v>271</v>
      </c>
      <c r="C549" s="293" t="s">
        <v>767</v>
      </c>
      <c r="D549" s="294">
        <v>336025451</v>
      </c>
      <c r="E549" s="295">
        <v>2522344526</v>
      </c>
      <c r="F549" s="293" t="s">
        <v>247</v>
      </c>
      <c r="G549" s="296">
        <v>35388</v>
      </c>
      <c r="H549" s="297" t="str">
        <f t="shared" si="24"/>
        <v>November</v>
      </c>
      <c r="I549" s="298">
        <f t="shared" ca="1" si="25"/>
        <v>19</v>
      </c>
      <c r="J549" s="298"/>
      <c r="K549" s="299">
        <v>56650</v>
      </c>
      <c r="L549" s="300">
        <v>1</v>
      </c>
      <c r="Q549" s="264" t="s">
        <v>2589</v>
      </c>
      <c r="R549" s="265">
        <v>41390</v>
      </c>
      <c r="S549" s="265">
        <v>42107</v>
      </c>
      <c r="T549" s="39">
        <f t="shared" si="26"/>
        <v>717</v>
      </c>
    </row>
    <row r="550" spans="1:20">
      <c r="A550" s="301" t="s">
        <v>353</v>
      </c>
      <c r="B550" s="302" t="s">
        <v>271</v>
      </c>
      <c r="C550" s="303" t="s">
        <v>750</v>
      </c>
      <c r="D550" s="304">
        <v>967826310</v>
      </c>
      <c r="E550" s="305">
        <v>9196100410</v>
      </c>
      <c r="F550" s="303" t="s">
        <v>256</v>
      </c>
      <c r="G550" s="306">
        <v>34230</v>
      </c>
      <c r="H550" s="307" t="str">
        <f t="shared" si="24"/>
        <v>September</v>
      </c>
      <c r="I550" s="308">
        <f t="shared" ca="1" si="25"/>
        <v>23</v>
      </c>
      <c r="J550" s="308" t="s">
        <v>276</v>
      </c>
      <c r="K550" s="309">
        <v>35320</v>
      </c>
      <c r="L550" s="310">
        <v>3</v>
      </c>
      <c r="Q550" s="264" t="s">
        <v>2588</v>
      </c>
      <c r="R550" s="265">
        <v>42363</v>
      </c>
      <c r="S550" s="265">
        <v>43079</v>
      </c>
      <c r="T550" s="39">
        <f t="shared" si="26"/>
        <v>716</v>
      </c>
    </row>
    <row r="551" spans="1:20">
      <c r="A551" s="291" t="s">
        <v>911</v>
      </c>
      <c r="B551" s="292" t="s">
        <v>266</v>
      </c>
      <c r="C551" s="293" t="s">
        <v>930</v>
      </c>
      <c r="D551" s="294">
        <v>929694686</v>
      </c>
      <c r="E551" s="295">
        <v>9194483888</v>
      </c>
      <c r="F551" s="293" t="s">
        <v>256</v>
      </c>
      <c r="G551" s="296">
        <v>41446</v>
      </c>
      <c r="H551" s="297" t="str">
        <f t="shared" si="24"/>
        <v>June</v>
      </c>
      <c r="I551" s="298">
        <f t="shared" ca="1" si="25"/>
        <v>3</v>
      </c>
      <c r="J551" s="298" t="s">
        <v>283</v>
      </c>
      <c r="K551" s="299">
        <v>70730</v>
      </c>
      <c r="L551" s="300">
        <v>1</v>
      </c>
      <c r="Q551" s="264" t="s">
        <v>2587</v>
      </c>
      <c r="R551" s="265">
        <v>41626</v>
      </c>
      <c r="S551" s="265">
        <v>41931</v>
      </c>
      <c r="T551" s="39">
        <f t="shared" si="26"/>
        <v>305</v>
      </c>
    </row>
    <row r="552" spans="1:20">
      <c r="A552" s="301" t="s">
        <v>999</v>
      </c>
      <c r="B552" s="302" t="s">
        <v>266</v>
      </c>
      <c r="C552" s="303" t="s">
        <v>381</v>
      </c>
      <c r="D552" s="304">
        <v>452692136</v>
      </c>
      <c r="E552" s="305">
        <v>2524106437</v>
      </c>
      <c r="F552" s="303" t="s">
        <v>256</v>
      </c>
      <c r="G552" s="306">
        <v>36424</v>
      </c>
      <c r="H552" s="307" t="str">
        <f t="shared" si="24"/>
        <v>September</v>
      </c>
      <c r="I552" s="308">
        <f t="shared" ca="1" si="25"/>
        <v>17</v>
      </c>
      <c r="J552" s="308" t="s">
        <v>267</v>
      </c>
      <c r="K552" s="309">
        <v>26510</v>
      </c>
      <c r="L552" s="310">
        <v>1</v>
      </c>
      <c r="Q552" s="264" t="s">
        <v>2586</v>
      </c>
      <c r="R552" s="265">
        <v>42028</v>
      </c>
      <c r="S552" s="265">
        <v>42715</v>
      </c>
      <c r="T552" s="39">
        <f t="shared" si="26"/>
        <v>687</v>
      </c>
    </row>
    <row r="553" spans="1:20">
      <c r="A553" s="291" t="s">
        <v>1000</v>
      </c>
      <c r="B553" s="292" t="s">
        <v>271</v>
      </c>
      <c r="C553" s="293" t="s">
        <v>465</v>
      </c>
      <c r="D553" s="294">
        <v>843064707</v>
      </c>
      <c r="E553" s="295">
        <v>9192687844</v>
      </c>
      <c r="F553" s="293" t="s">
        <v>247</v>
      </c>
      <c r="G553" s="296">
        <v>41590</v>
      </c>
      <c r="H553" s="297" t="str">
        <f t="shared" si="24"/>
        <v>November</v>
      </c>
      <c r="I553" s="298">
        <f t="shared" ca="1" si="25"/>
        <v>2</v>
      </c>
      <c r="J553" s="298"/>
      <c r="K553" s="299">
        <v>57110</v>
      </c>
      <c r="L553" s="300">
        <v>3</v>
      </c>
      <c r="Q553" s="264" t="s">
        <v>2585</v>
      </c>
      <c r="R553" s="265">
        <v>41379</v>
      </c>
      <c r="S553" s="265">
        <v>41988</v>
      </c>
      <c r="T553" s="39">
        <f t="shared" si="26"/>
        <v>609</v>
      </c>
    </row>
    <row r="554" spans="1:20">
      <c r="A554" s="301" t="s">
        <v>415</v>
      </c>
      <c r="B554" s="302" t="s">
        <v>285</v>
      </c>
      <c r="C554" s="303" t="s">
        <v>391</v>
      </c>
      <c r="D554" s="304">
        <v>694800128</v>
      </c>
      <c r="E554" s="305">
        <v>9197111802</v>
      </c>
      <c r="F554" s="303" t="s">
        <v>256</v>
      </c>
      <c r="G554" s="306">
        <v>37179</v>
      </c>
      <c r="H554" s="307" t="str">
        <f t="shared" si="24"/>
        <v>October</v>
      </c>
      <c r="I554" s="308">
        <f t="shared" ca="1" si="25"/>
        <v>15</v>
      </c>
      <c r="J554" s="308" t="s">
        <v>283</v>
      </c>
      <c r="K554" s="309">
        <v>61330</v>
      </c>
      <c r="L554" s="310">
        <v>1</v>
      </c>
      <c r="Q554" s="264" t="s">
        <v>2584</v>
      </c>
      <c r="R554" s="265">
        <v>42280</v>
      </c>
      <c r="S554" s="265">
        <v>43103</v>
      </c>
      <c r="T554" s="39">
        <f t="shared" si="26"/>
        <v>823</v>
      </c>
    </row>
    <row r="555" spans="1:20">
      <c r="A555" s="291" t="s">
        <v>829</v>
      </c>
      <c r="B555" s="292" t="s">
        <v>266</v>
      </c>
      <c r="C555" s="293" t="s">
        <v>465</v>
      </c>
      <c r="D555" s="294">
        <v>165917010</v>
      </c>
      <c r="E555" s="295">
        <v>2527038033</v>
      </c>
      <c r="F555" s="293" t="s">
        <v>247</v>
      </c>
      <c r="G555" s="296">
        <v>35581</v>
      </c>
      <c r="H555" s="297" t="str">
        <f t="shared" si="24"/>
        <v>May</v>
      </c>
      <c r="I555" s="298">
        <f t="shared" ca="1" si="25"/>
        <v>19</v>
      </c>
      <c r="J555" s="298"/>
      <c r="K555" s="299">
        <v>80690</v>
      </c>
      <c r="L555" s="300">
        <v>3</v>
      </c>
      <c r="Q555" s="264" t="s">
        <v>2583</v>
      </c>
      <c r="R555" s="265">
        <v>42136</v>
      </c>
      <c r="S555" s="265">
        <v>42791</v>
      </c>
      <c r="T555" s="39">
        <f t="shared" si="26"/>
        <v>655</v>
      </c>
    </row>
    <row r="556" spans="1:20">
      <c r="A556" s="301" t="s">
        <v>662</v>
      </c>
      <c r="B556" s="302" t="s">
        <v>251</v>
      </c>
      <c r="C556" s="303" t="s">
        <v>626</v>
      </c>
      <c r="D556" s="304">
        <v>345817459</v>
      </c>
      <c r="E556" s="305">
        <v>9195594427</v>
      </c>
      <c r="F556" s="303" t="s">
        <v>247</v>
      </c>
      <c r="G556" s="306">
        <v>37109</v>
      </c>
      <c r="H556" s="307" t="str">
        <f t="shared" si="24"/>
        <v>August</v>
      </c>
      <c r="I556" s="308">
        <f t="shared" ca="1" si="25"/>
        <v>15</v>
      </c>
      <c r="J556" s="308"/>
      <c r="K556" s="309">
        <v>31270</v>
      </c>
      <c r="L556" s="310">
        <v>5</v>
      </c>
      <c r="Q556" s="264" t="s">
        <v>2582</v>
      </c>
      <c r="R556" s="265">
        <v>41470</v>
      </c>
      <c r="S556" s="265">
        <v>42442</v>
      </c>
      <c r="T556" s="39">
        <f t="shared" si="26"/>
        <v>972</v>
      </c>
    </row>
    <row r="557" spans="1:20">
      <c r="A557" s="291" t="s">
        <v>461</v>
      </c>
      <c r="B557" s="292" t="s">
        <v>280</v>
      </c>
      <c r="C557" s="293" t="s">
        <v>312</v>
      </c>
      <c r="D557" s="294">
        <v>247276092</v>
      </c>
      <c r="E557" s="295">
        <v>2522636516</v>
      </c>
      <c r="F557" s="293" t="s">
        <v>247</v>
      </c>
      <c r="G557" s="296">
        <v>36029</v>
      </c>
      <c r="H557" s="297" t="str">
        <f t="shared" si="24"/>
        <v>August</v>
      </c>
      <c r="I557" s="298">
        <f t="shared" ca="1" si="25"/>
        <v>18</v>
      </c>
      <c r="J557" s="298"/>
      <c r="K557" s="299">
        <v>64390</v>
      </c>
      <c r="L557" s="300">
        <v>2</v>
      </c>
      <c r="Q557" s="264" t="s">
        <v>2581</v>
      </c>
      <c r="R557" s="265">
        <v>41062</v>
      </c>
      <c r="S557" s="265">
        <v>41336</v>
      </c>
      <c r="T557" s="39">
        <f t="shared" si="26"/>
        <v>274</v>
      </c>
    </row>
    <row r="558" spans="1:20">
      <c r="A558" s="301" t="s">
        <v>406</v>
      </c>
      <c r="B558" s="302" t="s">
        <v>285</v>
      </c>
      <c r="C558" s="303" t="s">
        <v>930</v>
      </c>
      <c r="D558" s="304">
        <v>771110153</v>
      </c>
      <c r="E558" s="305">
        <v>9196799516</v>
      </c>
      <c r="F558" s="303" t="s">
        <v>256</v>
      </c>
      <c r="G558" s="306">
        <v>40193</v>
      </c>
      <c r="H558" s="307" t="str">
        <f t="shared" si="24"/>
        <v>January</v>
      </c>
      <c r="I558" s="308">
        <f t="shared" ca="1" si="25"/>
        <v>6</v>
      </c>
      <c r="J558" s="308" t="s">
        <v>257</v>
      </c>
      <c r="K558" s="309">
        <v>24980</v>
      </c>
      <c r="L558" s="310">
        <v>3</v>
      </c>
      <c r="Q558" s="264" t="s">
        <v>2580</v>
      </c>
      <c r="R558" s="265">
        <v>41719</v>
      </c>
      <c r="S558" s="265">
        <v>42119</v>
      </c>
      <c r="T558" s="39">
        <f t="shared" si="26"/>
        <v>400</v>
      </c>
    </row>
    <row r="559" spans="1:20">
      <c r="A559" s="291" t="s">
        <v>663</v>
      </c>
      <c r="B559" s="292" t="s">
        <v>285</v>
      </c>
      <c r="C559" s="293" t="s">
        <v>767</v>
      </c>
      <c r="D559" s="294">
        <v>965916299</v>
      </c>
      <c r="E559" s="295">
        <v>9193552027</v>
      </c>
      <c r="F559" s="293" t="s">
        <v>256</v>
      </c>
      <c r="G559" s="296">
        <v>36603</v>
      </c>
      <c r="H559" s="297" t="str">
        <f t="shared" si="24"/>
        <v>March</v>
      </c>
      <c r="I559" s="298">
        <f t="shared" ca="1" si="25"/>
        <v>16</v>
      </c>
      <c r="J559" s="298" t="s">
        <v>262</v>
      </c>
      <c r="K559" s="299">
        <v>24340</v>
      </c>
      <c r="L559" s="300">
        <v>4</v>
      </c>
      <c r="Q559" s="264" t="s">
        <v>2579</v>
      </c>
      <c r="R559" s="265">
        <v>41444</v>
      </c>
      <c r="S559" s="265">
        <v>42118</v>
      </c>
      <c r="T559" s="39">
        <f t="shared" si="26"/>
        <v>674</v>
      </c>
    </row>
    <row r="560" spans="1:20">
      <c r="A560" s="301" t="s">
        <v>443</v>
      </c>
      <c r="B560" s="302" t="s">
        <v>271</v>
      </c>
      <c r="C560" s="303" t="s">
        <v>930</v>
      </c>
      <c r="D560" s="304">
        <v>793256568</v>
      </c>
      <c r="E560" s="305">
        <v>9196999991</v>
      </c>
      <c r="F560" s="303" t="s">
        <v>256</v>
      </c>
      <c r="G560" s="306">
        <v>36274</v>
      </c>
      <c r="H560" s="307" t="str">
        <f t="shared" si="24"/>
        <v>April</v>
      </c>
      <c r="I560" s="308">
        <f t="shared" ca="1" si="25"/>
        <v>17</v>
      </c>
      <c r="J560" s="308" t="s">
        <v>257</v>
      </c>
      <c r="K560" s="309">
        <v>27130</v>
      </c>
      <c r="L560" s="310">
        <v>5</v>
      </c>
      <c r="Q560" s="264" t="s">
        <v>2578</v>
      </c>
      <c r="R560" s="265">
        <v>40976</v>
      </c>
      <c r="S560" s="265">
        <v>41677</v>
      </c>
      <c r="T560" s="39">
        <f t="shared" si="26"/>
        <v>701</v>
      </c>
    </row>
    <row r="561" spans="1:20">
      <c r="A561" s="291" t="s">
        <v>737</v>
      </c>
      <c r="B561" s="292" t="s">
        <v>245</v>
      </c>
      <c r="C561" s="293" t="s">
        <v>296</v>
      </c>
      <c r="D561" s="294">
        <v>796079833</v>
      </c>
      <c r="E561" s="295">
        <v>2525327906</v>
      </c>
      <c r="F561" s="293" t="s">
        <v>261</v>
      </c>
      <c r="G561" s="296">
        <v>36474</v>
      </c>
      <c r="H561" s="297" t="str">
        <f t="shared" si="24"/>
        <v>November</v>
      </c>
      <c r="I561" s="298">
        <f t="shared" ca="1" si="25"/>
        <v>17</v>
      </c>
      <c r="J561" s="298" t="s">
        <v>257</v>
      </c>
      <c r="K561" s="299">
        <v>11025</v>
      </c>
      <c r="L561" s="300">
        <v>1</v>
      </c>
      <c r="Q561" s="264" t="s">
        <v>2577</v>
      </c>
      <c r="R561" s="265">
        <v>41039</v>
      </c>
      <c r="S561" s="265">
        <v>41304</v>
      </c>
      <c r="T561" s="39">
        <f t="shared" si="26"/>
        <v>265</v>
      </c>
    </row>
    <row r="562" spans="1:20">
      <c r="A562" s="301" t="s">
        <v>830</v>
      </c>
      <c r="B562" s="302" t="s">
        <v>245</v>
      </c>
      <c r="C562" s="303" t="s">
        <v>930</v>
      </c>
      <c r="D562" s="304">
        <v>683670378</v>
      </c>
      <c r="E562" s="305">
        <v>9196259106</v>
      </c>
      <c r="F562" s="303" t="s">
        <v>256</v>
      </c>
      <c r="G562" s="306">
        <v>39257</v>
      </c>
      <c r="H562" s="307" t="str">
        <f t="shared" si="24"/>
        <v>June</v>
      </c>
      <c r="I562" s="308">
        <f t="shared" ca="1" si="25"/>
        <v>9</v>
      </c>
      <c r="J562" s="308" t="s">
        <v>283</v>
      </c>
      <c r="K562" s="309">
        <v>81340</v>
      </c>
      <c r="L562" s="310">
        <v>2</v>
      </c>
      <c r="Q562" s="264" t="s">
        <v>2576</v>
      </c>
      <c r="R562" s="265">
        <v>41142</v>
      </c>
      <c r="S562" s="265">
        <v>41957</v>
      </c>
      <c r="T562" s="39">
        <f t="shared" si="26"/>
        <v>815</v>
      </c>
    </row>
    <row r="563" spans="1:20">
      <c r="A563" s="291" t="s">
        <v>664</v>
      </c>
      <c r="B563" s="292" t="s">
        <v>271</v>
      </c>
      <c r="C563" s="293" t="s">
        <v>705</v>
      </c>
      <c r="D563" s="294">
        <v>931977751</v>
      </c>
      <c r="E563" s="295">
        <v>9194471952</v>
      </c>
      <c r="F563" s="293" t="s">
        <v>256</v>
      </c>
      <c r="G563" s="296">
        <v>35811</v>
      </c>
      <c r="H563" s="297" t="str">
        <f t="shared" si="24"/>
        <v>January</v>
      </c>
      <c r="I563" s="298">
        <f t="shared" ca="1" si="25"/>
        <v>18</v>
      </c>
      <c r="J563" s="298" t="s">
        <v>257</v>
      </c>
      <c r="K563" s="299">
        <v>25830</v>
      </c>
      <c r="L563" s="300">
        <v>5</v>
      </c>
      <c r="Q563" s="264" t="s">
        <v>2575</v>
      </c>
      <c r="R563" s="265">
        <v>41764</v>
      </c>
      <c r="S563" s="265">
        <v>41913</v>
      </c>
      <c r="T563" s="39">
        <f t="shared" si="26"/>
        <v>149</v>
      </c>
    </row>
    <row r="564" spans="1:20">
      <c r="A564" s="301" t="s">
        <v>665</v>
      </c>
      <c r="B564" s="302" t="s">
        <v>271</v>
      </c>
      <c r="C564" s="303" t="s">
        <v>312</v>
      </c>
      <c r="D564" s="304">
        <v>721169660</v>
      </c>
      <c r="E564" s="305">
        <v>2526711140</v>
      </c>
      <c r="F564" s="303" t="s">
        <v>256</v>
      </c>
      <c r="G564" s="306">
        <v>41184</v>
      </c>
      <c r="H564" s="307" t="str">
        <f t="shared" si="24"/>
        <v>October</v>
      </c>
      <c r="I564" s="308">
        <f t="shared" ca="1" si="25"/>
        <v>4</v>
      </c>
      <c r="J564" s="308" t="s">
        <v>262</v>
      </c>
      <c r="K564" s="309">
        <v>38730</v>
      </c>
      <c r="L564" s="310">
        <v>1</v>
      </c>
      <c r="Q564" s="264" t="s">
        <v>2574</v>
      </c>
      <c r="R564" s="265">
        <v>40964</v>
      </c>
      <c r="S564" s="265">
        <v>41690</v>
      </c>
      <c r="T564" s="39">
        <f t="shared" si="26"/>
        <v>726</v>
      </c>
    </row>
    <row r="565" spans="1:20">
      <c r="A565" s="291" t="s">
        <v>581</v>
      </c>
      <c r="B565" s="292" t="s">
        <v>271</v>
      </c>
      <c r="C565" s="293" t="s">
        <v>767</v>
      </c>
      <c r="D565" s="294">
        <v>317193890</v>
      </c>
      <c r="E565" s="295">
        <v>9192350434</v>
      </c>
      <c r="F565" s="293" t="s">
        <v>256</v>
      </c>
      <c r="G565" s="296">
        <v>35079</v>
      </c>
      <c r="H565" s="297" t="str">
        <f t="shared" si="24"/>
        <v>January</v>
      </c>
      <c r="I565" s="298">
        <f t="shared" ca="1" si="25"/>
        <v>20</v>
      </c>
      <c r="J565" s="298" t="s">
        <v>267</v>
      </c>
      <c r="K565" s="299">
        <v>69420</v>
      </c>
      <c r="L565" s="300">
        <v>2</v>
      </c>
      <c r="Q565" s="264" t="s">
        <v>2573</v>
      </c>
      <c r="R565" s="265">
        <v>41703</v>
      </c>
      <c r="S565" s="265">
        <v>42514</v>
      </c>
      <c r="T565" s="39">
        <f t="shared" si="26"/>
        <v>811</v>
      </c>
    </row>
    <row r="566" spans="1:20">
      <c r="A566" s="301" t="s">
        <v>582</v>
      </c>
      <c r="B566" s="302" t="s">
        <v>266</v>
      </c>
      <c r="C566" s="303" t="s">
        <v>417</v>
      </c>
      <c r="D566" s="304">
        <v>956291859</v>
      </c>
      <c r="E566" s="305">
        <v>2521156902</v>
      </c>
      <c r="F566" s="303" t="s">
        <v>247</v>
      </c>
      <c r="G566" s="306">
        <v>41169</v>
      </c>
      <c r="H566" s="307" t="str">
        <f t="shared" si="24"/>
        <v>September</v>
      </c>
      <c r="I566" s="308">
        <f t="shared" ca="1" si="25"/>
        <v>4</v>
      </c>
      <c r="J566" s="308"/>
      <c r="K566" s="309">
        <v>45710</v>
      </c>
      <c r="L566" s="310">
        <v>3</v>
      </c>
      <c r="Q566" s="264" t="s">
        <v>2572</v>
      </c>
      <c r="R566" s="265">
        <v>41130</v>
      </c>
      <c r="S566" s="265">
        <v>41978</v>
      </c>
      <c r="T566" s="39">
        <f t="shared" si="26"/>
        <v>848</v>
      </c>
    </row>
    <row r="567" spans="1:20">
      <c r="A567" s="291" t="s">
        <v>444</v>
      </c>
      <c r="B567" s="292" t="s">
        <v>245</v>
      </c>
      <c r="C567" s="293" t="s">
        <v>626</v>
      </c>
      <c r="D567" s="294">
        <v>261920277</v>
      </c>
      <c r="E567" s="295">
        <v>2524272773</v>
      </c>
      <c r="F567" s="293" t="s">
        <v>256</v>
      </c>
      <c r="G567" s="296">
        <v>36766</v>
      </c>
      <c r="H567" s="297" t="str">
        <f t="shared" si="24"/>
        <v>August</v>
      </c>
      <c r="I567" s="298">
        <f t="shared" ca="1" si="25"/>
        <v>16</v>
      </c>
      <c r="J567" s="298" t="s">
        <v>276</v>
      </c>
      <c r="K567" s="299">
        <v>86830</v>
      </c>
      <c r="L567" s="300">
        <v>3</v>
      </c>
      <c r="Q567" s="264" t="s">
        <v>2571</v>
      </c>
      <c r="R567" s="265">
        <v>41043</v>
      </c>
      <c r="S567" s="265">
        <v>41463</v>
      </c>
      <c r="T567" s="39">
        <f t="shared" si="26"/>
        <v>420</v>
      </c>
    </row>
    <row r="568" spans="1:20">
      <c r="A568" s="301" t="s">
        <v>583</v>
      </c>
      <c r="B568" s="302" t="s">
        <v>285</v>
      </c>
      <c r="C568" s="303" t="s">
        <v>856</v>
      </c>
      <c r="D568" s="304">
        <v>125540405</v>
      </c>
      <c r="E568" s="305">
        <v>2524589262</v>
      </c>
      <c r="F568" s="303" t="s">
        <v>256</v>
      </c>
      <c r="G568" s="306">
        <v>37155</v>
      </c>
      <c r="H568" s="307" t="str">
        <f t="shared" si="24"/>
        <v>September</v>
      </c>
      <c r="I568" s="308">
        <f t="shared" ca="1" si="25"/>
        <v>15</v>
      </c>
      <c r="J568" s="308" t="s">
        <v>257</v>
      </c>
      <c r="K568" s="309">
        <v>58410</v>
      </c>
      <c r="L568" s="310">
        <v>5</v>
      </c>
      <c r="Q568" s="264" t="s">
        <v>2570</v>
      </c>
      <c r="R568" s="265">
        <v>41504</v>
      </c>
      <c r="S568" s="265">
        <v>41641</v>
      </c>
      <c r="T568" s="39">
        <f t="shared" si="26"/>
        <v>137</v>
      </c>
    </row>
    <row r="569" spans="1:20">
      <c r="A569" s="291" t="s">
        <v>584</v>
      </c>
      <c r="B569" s="292" t="s">
        <v>271</v>
      </c>
      <c r="C569" s="293" t="s">
        <v>391</v>
      </c>
      <c r="D569" s="294">
        <v>197789466</v>
      </c>
      <c r="E569" s="295">
        <v>9191472895</v>
      </c>
      <c r="F569" s="293" t="s">
        <v>247</v>
      </c>
      <c r="G569" s="296">
        <v>36647</v>
      </c>
      <c r="H569" s="297" t="str">
        <f t="shared" si="24"/>
        <v>May</v>
      </c>
      <c r="I569" s="298">
        <f t="shared" ca="1" si="25"/>
        <v>16</v>
      </c>
      <c r="J569" s="298"/>
      <c r="K569" s="299">
        <v>76020</v>
      </c>
      <c r="L569" s="300">
        <v>1</v>
      </c>
      <c r="Q569" s="264" t="s">
        <v>2569</v>
      </c>
      <c r="R569" s="265">
        <v>41122</v>
      </c>
      <c r="S569" s="265">
        <v>41623</v>
      </c>
      <c r="T569" s="39">
        <f t="shared" si="26"/>
        <v>501</v>
      </c>
    </row>
    <row r="570" spans="1:20">
      <c r="A570" s="301" t="s">
        <v>354</v>
      </c>
      <c r="B570" s="302" t="s">
        <v>280</v>
      </c>
      <c r="C570" s="303" t="s">
        <v>417</v>
      </c>
      <c r="D570" s="304">
        <v>291841866</v>
      </c>
      <c r="E570" s="305">
        <v>9191534053</v>
      </c>
      <c r="F570" s="303" t="s">
        <v>256</v>
      </c>
      <c r="G570" s="306">
        <v>34782</v>
      </c>
      <c r="H570" s="307" t="str">
        <f t="shared" si="24"/>
        <v>March</v>
      </c>
      <c r="I570" s="308">
        <f t="shared" ca="1" si="25"/>
        <v>21</v>
      </c>
      <c r="J570" s="308" t="s">
        <v>257</v>
      </c>
      <c r="K570" s="309">
        <v>64510</v>
      </c>
      <c r="L570" s="310">
        <v>3</v>
      </c>
      <c r="Q570" s="264" t="s">
        <v>2568</v>
      </c>
      <c r="R570" s="265">
        <v>41666</v>
      </c>
      <c r="S570" s="265">
        <v>41921</v>
      </c>
      <c r="T570" s="39">
        <f t="shared" si="26"/>
        <v>255</v>
      </c>
    </row>
    <row r="571" spans="1:20">
      <c r="A571" s="291" t="s">
        <v>1035</v>
      </c>
      <c r="B571" s="292" t="s">
        <v>245</v>
      </c>
      <c r="C571" s="293" t="s">
        <v>465</v>
      </c>
      <c r="D571" s="294">
        <v>684054281</v>
      </c>
      <c r="E571" s="295">
        <v>2522888726</v>
      </c>
      <c r="F571" s="293" t="s">
        <v>256</v>
      </c>
      <c r="G571" s="296">
        <v>39056</v>
      </c>
      <c r="H571" s="297" t="str">
        <f t="shared" si="24"/>
        <v>December</v>
      </c>
      <c r="I571" s="298">
        <f t="shared" ca="1" si="25"/>
        <v>9</v>
      </c>
      <c r="J571" s="298" t="s">
        <v>257</v>
      </c>
      <c r="K571" s="299">
        <v>47340</v>
      </c>
      <c r="L571" s="300">
        <v>2</v>
      </c>
      <c r="Q571" s="264" t="s">
        <v>2567</v>
      </c>
      <c r="R571" s="265">
        <v>42226</v>
      </c>
      <c r="S571" s="265">
        <v>42338</v>
      </c>
      <c r="T571" s="39">
        <f t="shared" si="26"/>
        <v>112</v>
      </c>
    </row>
    <row r="572" spans="1:20">
      <c r="A572" s="301" t="s">
        <v>585</v>
      </c>
      <c r="B572" s="302" t="s">
        <v>280</v>
      </c>
      <c r="C572" s="303" t="s">
        <v>930</v>
      </c>
      <c r="D572" s="304">
        <v>723066626</v>
      </c>
      <c r="E572" s="305">
        <v>2525399385</v>
      </c>
      <c r="F572" s="303" t="s">
        <v>247</v>
      </c>
      <c r="G572" s="306">
        <v>39348</v>
      </c>
      <c r="H572" s="307" t="str">
        <f t="shared" si="24"/>
        <v>September</v>
      </c>
      <c r="I572" s="308">
        <f t="shared" ca="1" si="25"/>
        <v>9</v>
      </c>
      <c r="J572" s="308"/>
      <c r="K572" s="309">
        <v>32880</v>
      </c>
      <c r="L572" s="310">
        <v>3</v>
      </c>
      <c r="Q572" s="264" t="s">
        <v>2566</v>
      </c>
      <c r="R572" s="265">
        <v>40967</v>
      </c>
      <c r="S572" s="265">
        <v>41648</v>
      </c>
      <c r="T572" s="39">
        <f t="shared" si="26"/>
        <v>681</v>
      </c>
    </row>
    <row r="573" spans="1:20">
      <c r="A573" s="291" t="s">
        <v>1001</v>
      </c>
      <c r="B573" s="292" t="s">
        <v>245</v>
      </c>
      <c r="C573" s="293" t="s">
        <v>417</v>
      </c>
      <c r="D573" s="294">
        <v>429283827</v>
      </c>
      <c r="E573" s="295">
        <v>9195508095</v>
      </c>
      <c r="F573" s="293" t="s">
        <v>256</v>
      </c>
      <c r="G573" s="296">
        <v>37553</v>
      </c>
      <c r="H573" s="297" t="str">
        <f t="shared" si="24"/>
        <v>October</v>
      </c>
      <c r="I573" s="298">
        <f t="shared" ca="1" si="25"/>
        <v>14</v>
      </c>
      <c r="J573" s="298" t="s">
        <v>283</v>
      </c>
      <c r="K573" s="299">
        <v>71380</v>
      </c>
      <c r="L573" s="300">
        <v>2</v>
      </c>
      <c r="Q573" s="264" t="s">
        <v>2565</v>
      </c>
      <c r="R573" s="265">
        <v>41000</v>
      </c>
      <c r="S573" s="265">
        <v>41477</v>
      </c>
      <c r="T573" s="39">
        <f t="shared" si="26"/>
        <v>477</v>
      </c>
    </row>
    <row r="574" spans="1:20">
      <c r="A574" s="301" t="s">
        <v>831</v>
      </c>
      <c r="B574" s="302" t="s">
        <v>285</v>
      </c>
      <c r="C574" s="303" t="s">
        <v>381</v>
      </c>
      <c r="D574" s="304">
        <v>510190628</v>
      </c>
      <c r="E574" s="305">
        <v>2527405629</v>
      </c>
      <c r="F574" s="303" t="s">
        <v>256</v>
      </c>
      <c r="G574" s="306">
        <v>40057</v>
      </c>
      <c r="H574" s="307" t="str">
        <f t="shared" si="24"/>
        <v>September</v>
      </c>
      <c r="I574" s="308">
        <f t="shared" ca="1" si="25"/>
        <v>7</v>
      </c>
      <c r="J574" s="308" t="s">
        <v>283</v>
      </c>
      <c r="K574" s="309">
        <v>43680</v>
      </c>
      <c r="L574" s="310">
        <v>5</v>
      </c>
      <c r="Q574" s="264" t="s">
        <v>2564</v>
      </c>
      <c r="R574" s="265">
        <v>40937</v>
      </c>
      <c r="S574" s="265">
        <v>41384</v>
      </c>
      <c r="T574" s="39">
        <f t="shared" si="26"/>
        <v>447</v>
      </c>
    </row>
    <row r="575" spans="1:20">
      <c r="A575" s="291" t="s">
        <v>738</v>
      </c>
      <c r="B575" s="292" t="s">
        <v>280</v>
      </c>
      <c r="C575" s="293" t="s">
        <v>626</v>
      </c>
      <c r="D575" s="294">
        <v>991764142</v>
      </c>
      <c r="E575" s="295">
        <v>9192490678</v>
      </c>
      <c r="F575" s="293" t="s">
        <v>247</v>
      </c>
      <c r="G575" s="296">
        <v>35857</v>
      </c>
      <c r="H575" s="297" t="str">
        <f t="shared" si="24"/>
        <v>March</v>
      </c>
      <c r="I575" s="298">
        <f t="shared" ca="1" si="25"/>
        <v>18</v>
      </c>
      <c r="J575" s="298"/>
      <c r="K575" s="299">
        <v>81930</v>
      </c>
      <c r="L575" s="300">
        <v>5</v>
      </c>
      <c r="Q575" s="264" t="s">
        <v>2563</v>
      </c>
      <c r="R575" s="265">
        <v>41217</v>
      </c>
      <c r="S575" s="265">
        <v>42044</v>
      </c>
      <c r="T575" s="39">
        <f t="shared" si="26"/>
        <v>827</v>
      </c>
    </row>
    <row r="576" spans="1:20">
      <c r="A576" s="301" t="s">
        <v>407</v>
      </c>
      <c r="B576" s="302" t="s">
        <v>271</v>
      </c>
      <c r="C576" s="303" t="s">
        <v>417</v>
      </c>
      <c r="D576" s="304">
        <v>736688620</v>
      </c>
      <c r="E576" s="305">
        <v>2524562999</v>
      </c>
      <c r="F576" s="303" t="s">
        <v>261</v>
      </c>
      <c r="G576" s="306">
        <v>40678</v>
      </c>
      <c r="H576" s="307" t="str">
        <f t="shared" si="24"/>
        <v>May</v>
      </c>
      <c r="I576" s="308">
        <f t="shared" ca="1" si="25"/>
        <v>5</v>
      </c>
      <c r="J576" s="308" t="s">
        <v>257</v>
      </c>
      <c r="K576" s="309">
        <v>39515</v>
      </c>
      <c r="L576" s="310">
        <v>5</v>
      </c>
      <c r="Q576" s="264" t="s">
        <v>2562</v>
      </c>
      <c r="R576" s="265">
        <v>41557</v>
      </c>
      <c r="S576" s="265">
        <v>42157</v>
      </c>
      <c r="T576" s="39">
        <f t="shared" si="26"/>
        <v>600</v>
      </c>
    </row>
    <row r="577" spans="1:20">
      <c r="A577" s="291" t="s">
        <v>622</v>
      </c>
      <c r="B577" s="292" t="s">
        <v>285</v>
      </c>
      <c r="C577" s="293" t="s">
        <v>312</v>
      </c>
      <c r="D577" s="294">
        <v>427811310</v>
      </c>
      <c r="E577" s="295">
        <v>9191362796</v>
      </c>
      <c r="F577" s="293" t="s">
        <v>247</v>
      </c>
      <c r="G577" s="296">
        <v>39817</v>
      </c>
      <c r="H577" s="297" t="str">
        <f t="shared" si="24"/>
        <v>January</v>
      </c>
      <c r="I577" s="298">
        <f t="shared" ca="1" si="25"/>
        <v>7</v>
      </c>
      <c r="J577" s="298"/>
      <c r="K577" s="299">
        <v>89310</v>
      </c>
      <c r="L577" s="300">
        <v>5</v>
      </c>
      <c r="Q577" s="264" t="s">
        <v>2561</v>
      </c>
      <c r="R577" s="265">
        <v>41888</v>
      </c>
      <c r="S577" s="265">
        <v>42022</v>
      </c>
      <c r="T577" s="39">
        <f t="shared" si="26"/>
        <v>134</v>
      </c>
    </row>
    <row r="578" spans="1:20">
      <c r="A578" s="301" t="s">
        <v>445</v>
      </c>
      <c r="B578" s="302" t="s">
        <v>245</v>
      </c>
      <c r="C578" s="303" t="s">
        <v>930</v>
      </c>
      <c r="D578" s="304">
        <v>145495793</v>
      </c>
      <c r="E578" s="305">
        <v>2521603964</v>
      </c>
      <c r="F578" s="303" t="s">
        <v>261</v>
      </c>
      <c r="G578" s="306">
        <v>35870</v>
      </c>
      <c r="H578" s="307" t="str">
        <f t="shared" si="24"/>
        <v>March</v>
      </c>
      <c r="I578" s="308">
        <f t="shared" ca="1" si="25"/>
        <v>18</v>
      </c>
      <c r="J578" s="308" t="s">
        <v>276</v>
      </c>
      <c r="K578" s="309">
        <v>23000</v>
      </c>
      <c r="L578" s="310">
        <v>4</v>
      </c>
      <c r="Q578" s="264" t="s">
        <v>2560</v>
      </c>
      <c r="R578" s="265">
        <v>41284</v>
      </c>
      <c r="S578" s="265">
        <v>41679</v>
      </c>
      <c r="T578" s="39">
        <f t="shared" si="26"/>
        <v>395</v>
      </c>
    </row>
    <row r="579" spans="1:20">
      <c r="A579" s="291" t="s">
        <v>587</v>
      </c>
      <c r="B579" s="292" t="s">
        <v>271</v>
      </c>
      <c r="C579" s="293" t="s">
        <v>391</v>
      </c>
      <c r="D579" s="294">
        <v>526188716</v>
      </c>
      <c r="E579" s="295">
        <v>2527230063</v>
      </c>
      <c r="F579" s="293" t="s">
        <v>247</v>
      </c>
      <c r="G579" s="296">
        <v>36869</v>
      </c>
      <c r="H579" s="297" t="str">
        <f t="shared" si="24"/>
        <v>December</v>
      </c>
      <c r="I579" s="298">
        <f t="shared" ca="1" si="25"/>
        <v>15</v>
      </c>
      <c r="J579" s="298"/>
      <c r="K579" s="299">
        <v>64470</v>
      </c>
      <c r="L579" s="300">
        <v>3</v>
      </c>
      <c r="Q579" s="264" t="s">
        <v>2559</v>
      </c>
      <c r="R579" s="265">
        <v>41471</v>
      </c>
      <c r="S579" s="265">
        <v>42232</v>
      </c>
      <c r="T579" s="39">
        <f t="shared" si="26"/>
        <v>761</v>
      </c>
    </row>
    <row r="580" spans="1:20">
      <c r="A580" s="301" t="s">
        <v>666</v>
      </c>
      <c r="B580" s="302" t="s">
        <v>285</v>
      </c>
      <c r="C580" s="303" t="s">
        <v>312</v>
      </c>
      <c r="D580" s="304">
        <v>129397083</v>
      </c>
      <c r="E580" s="305">
        <v>2521391475</v>
      </c>
      <c r="F580" s="303" t="s">
        <v>256</v>
      </c>
      <c r="G580" s="306">
        <v>41506</v>
      </c>
      <c r="H580" s="307" t="str">
        <f t="shared" si="24"/>
        <v>August</v>
      </c>
      <c r="I580" s="308">
        <f t="shared" ca="1" si="25"/>
        <v>3</v>
      </c>
      <c r="J580" s="308" t="s">
        <v>267</v>
      </c>
      <c r="K580" s="309">
        <v>68910</v>
      </c>
      <c r="L580" s="310">
        <v>5</v>
      </c>
      <c r="Q580" s="264" t="s">
        <v>2558</v>
      </c>
      <c r="R580" s="265">
        <v>41370</v>
      </c>
      <c r="S580" s="265">
        <v>41902</v>
      </c>
      <c r="T580" s="39">
        <f t="shared" si="26"/>
        <v>532</v>
      </c>
    </row>
    <row r="581" spans="1:20">
      <c r="A581" s="291" t="s">
        <v>1002</v>
      </c>
      <c r="B581" s="292" t="s">
        <v>280</v>
      </c>
      <c r="C581" s="293" t="s">
        <v>465</v>
      </c>
      <c r="D581" s="294">
        <v>350104448</v>
      </c>
      <c r="E581" s="295">
        <v>9193883356</v>
      </c>
      <c r="F581" s="293" t="s">
        <v>256</v>
      </c>
      <c r="G581" s="296">
        <v>36439</v>
      </c>
      <c r="H581" s="297" t="str">
        <f t="shared" si="24"/>
        <v>October</v>
      </c>
      <c r="I581" s="298">
        <f t="shared" ca="1" si="25"/>
        <v>17</v>
      </c>
      <c r="J581" s="298" t="s">
        <v>267</v>
      </c>
      <c r="K581" s="299">
        <v>44920</v>
      </c>
      <c r="L581" s="300">
        <v>1</v>
      </c>
      <c r="Q581" s="264" t="s">
        <v>2557</v>
      </c>
      <c r="R581" s="265">
        <v>41215</v>
      </c>
      <c r="S581" s="265">
        <v>41729</v>
      </c>
      <c r="T581" s="39">
        <f t="shared" si="26"/>
        <v>514</v>
      </c>
    </row>
    <row r="582" spans="1:20">
      <c r="A582" s="301" t="s">
        <v>588</v>
      </c>
      <c r="B582" s="302" t="s">
        <v>280</v>
      </c>
      <c r="C582" s="303" t="s">
        <v>465</v>
      </c>
      <c r="D582" s="304">
        <v>466293520</v>
      </c>
      <c r="E582" s="305">
        <v>2524442142</v>
      </c>
      <c r="F582" s="303" t="s">
        <v>252</v>
      </c>
      <c r="G582" s="306">
        <v>34661</v>
      </c>
      <c r="H582" s="307" t="str">
        <f t="shared" ref="H582:H645" si="27">CHOOSE(MONTH(G582),"January","February","March","April","May","June","July","August","September","October","November","December")</f>
        <v>November</v>
      </c>
      <c r="I582" s="308">
        <f t="shared" ref="I582:I645" ca="1" si="28">DATEDIF(G582,TODAY(),"Y")</f>
        <v>21</v>
      </c>
      <c r="J582" s="308"/>
      <c r="K582" s="309">
        <v>22344</v>
      </c>
      <c r="L582" s="310">
        <v>4</v>
      </c>
      <c r="Q582" s="264" t="s">
        <v>2556</v>
      </c>
      <c r="R582" s="265">
        <v>41670</v>
      </c>
      <c r="S582" s="265">
        <v>42519</v>
      </c>
      <c r="T582" s="39">
        <f t="shared" ref="T582:T645" si="29">DATEDIF(R582,S582,"d")</f>
        <v>849</v>
      </c>
    </row>
    <row r="583" spans="1:20">
      <c r="A583" s="291" t="s">
        <v>762</v>
      </c>
      <c r="B583" s="292" t="s">
        <v>271</v>
      </c>
      <c r="C583" s="293" t="s">
        <v>767</v>
      </c>
      <c r="D583" s="294">
        <v>561530671</v>
      </c>
      <c r="E583" s="295">
        <v>9192999652</v>
      </c>
      <c r="F583" s="293" t="s">
        <v>256</v>
      </c>
      <c r="G583" s="296">
        <v>34420</v>
      </c>
      <c r="H583" s="297" t="str">
        <f t="shared" si="27"/>
        <v>March</v>
      </c>
      <c r="I583" s="298">
        <f t="shared" ca="1" si="28"/>
        <v>22</v>
      </c>
      <c r="J583" s="298" t="s">
        <v>262</v>
      </c>
      <c r="K583" s="299">
        <v>54500</v>
      </c>
      <c r="L583" s="300">
        <v>5</v>
      </c>
      <c r="Q583" s="264" t="s">
        <v>2555</v>
      </c>
      <c r="R583" s="265">
        <v>41490</v>
      </c>
      <c r="S583" s="265">
        <v>41881</v>
      </c>
      <c r="T583" s="39">
        <f t="shared" si="29"/>
        <v>391</v>
      </c>
    </row>
    <row r="584" spans="1:20">
      <c r="A584" s="301" t="s">
        <v>912</v>
      </c>
      <c r="B584" s="302" t="s">
        <v>271</v>
      </c>
      <c r="C584" s="303" t="s">
        <v>417</v>
      </c>
      <c r="D584" s="304">
        <v>503349830</v>
      </c>
      <c r="E584" s="305">
        <v>9191999230</v>
      </c>
      <c r="F584" s="303" t="s">
        <v>256</v>
      </c>
      <c r="G584" s="306">
        <v>34315</v>
      </c>
      <c r="H584" s="307" t="str">
        <f t="shared" si="27"/>
        <v>December</v>
      </c>
      <c r="I584" s="308">
        <f t="shared" ca="1" si="28"/>
        <v>22</v>
      </c>
      <c r="J584" s="308" t="s">
        <v>283</v>
      </c>
      <c r="K584" s="309">
        <v>32140</v>
      </c>
      <c r="L584" s="310">
        <v>2</v>
      </c>
      <c r="Q584" s="264" t="s">
        <v>2554</v>
      </c>
      <c r="R584" s="265">
        <v>41622</v>
      </c>
      <c r="S584" s="265">
        <v>41727</v>
      </c>
      <c r="T584" s="39">
        <f t="shared" si="29"/>
        <v>105</v>
      </c>
    </row>
    <row r="585" spans="1:20">
      <c r="A585" s="291" t="s">
        <v>589</v>
      </c>
      <c r="B585" s="292" t="s">
        <v>285</v>
      </c>
      <c r="C585" s="293" t="s">
        <v>465</v>
      </c>
      <c r="D585" s="294">
        <v>682500261</v>
      </c>
      <c r="E585" s="295">
        <v>9191163627</v>
      </c>
      <c r="F585" s="293" t="s">
        <v>256</v>
      </c>
      <c r="G585" s="296">
        <v>35791</v>
      </c>
      <c r="H585" s="297" t="str">
        <f t="shared" si="27"/>
        <v>December</v>
      </c>
      <c r="I585" s="298">
        <f t="shared" ca="1" si="28"/>
        <v>18</v>
      </c>
      <c r="J585" s="298" t="s">
        <v>262</v>
      </c>
      <c r="K585" s="299">
        <v>63070</v>
      </c>
      <c r="L585" s="300">
        <v>1</v>
      </c>
      <c r="Q585" s="264" t="s">
        <v>2553</v>
      </c>
      <c r="R585" s="265">
        <v>41793</v>
      </c>
      <c r="S585" s="265">
        <v>42779</v>
      </c>
      <c r="T585" s="39">
        <f t="shared" si="29"/>
        <v>986</v>
      </c>
    </row>
    <row r="586" spans="1:20">
      <c r="A586" s="301" t="s">
        <v>832</v>
      </c>
      <c r="B586" s="302" t="s">
        <v>285</v>
      </c>
      <c r="C586" s="303" t="s">
        <v>705</v>
      </c>
      <c r="D586" s="304">
        <v>824046378</v>
      </c>
      <c r="E586" s="305">
        <v>9196335284</v>
      </c>
      <c r="F586" s="303" t="s">
        <v>256</v>
      </c>
      <c r="G586" s="306">
        <v>36289</v>
      </c>
      <c r="H586" s="307" t="str">
        <f t="shared" si="27"/>
        <v>May</v>
      </c>
      <c r="I586" s="308">
        <f t="shared" ca="1" si="28"/>
        <v>17</v>
      </c>
      <c r="J586" s="308" t="s">
        <v>276</v>
      </c>
      <c r="K586" s="309">
        <v>67230</v>
      </c>
      <c r="L586" s="310">
        <v>4</v>
      </c>
      <c r="Q586" s="264" t="s">
        <v>2552</v>
      </c>
      <c r="R586" s="265">
        <v>42042</v>
      </c>
      <c r="S586" s="265">
        <v>42601</v>
      </c>
      <c r="T586" s="39">
        <f t="shared" si="29"/>
        <v>559</v>
      </c>
    </row>
    <row r="587" spans="1:20">
      <c r="A587" s="291" t="s">
        <v>462</v>
      </c>
      <c r="B587" s="292" t="s">
        <v>271</v>
      </c>
      <c r="C587" s="293" t="s">
        <v>930</v>
      </c>
      <c r="D587" s="294">
        <v>918436287</v>
      </c>
      <c r="E587" s="295">
        <v>2528238755</v>
      </c>
      <c r="F587" s="293" t="s">
        <v>247</v>
      </c>
      <c r="G587" s="296">
        <v>34103</v>
      </c>
      <c r="H587" s="297" t="str">
        <f t="shared" si="27"/>
        <v>May</v>
      </c>
      <c r="I587" s="298">
        <f t="shared" ca="1" si="28"/>
        <v>23</v>
      </c>
      <c r="J587" s="298"/>
      <c r="K587" s="299">
        <v>63610</v>
      </c>
      <c r="L587" s="300">
        <v>5</v>
      </c>
      <c r="Q587" s="264" t="s">
        <v>2551</v>
      </c>
      <c r="R587" s="265">
        <v>41701</v>
      </c>
      <c r="S587" s="265">
        <v>42364</v>
      </c>
      <c r="T587" s="39">
        <f t="shared" si="29"/>
        <v>663</v>
      </c>
    </row>
    <row r="588" spans="1:20">
      <c r="A588" s="301" t="s">
        <v>1003</v>
      </c>
      <c r="B588" s="302" t="s">
        <v>266</v>
      </c>
      <c r="C588" s="303" t="s">
        <v>856</v>
      </c>
      <c r="D588" s="304">
        <v>781472289</v>
      </c>
      <c r="E588" s="305">
        <v>2528502926</v>
      </c>
      <c r="F588" s="303" t="s">
        <v>256</v>
      </c>
      <c r="G588" s="306">
        <v>34458</v>
      </c>
      <c r="H588" s="307" t="str">
        <f t="shared" si="27"/>
        <v>May</v>
      </c>
      <c r="I588" s="308">
        <f t="shared" ca="1" si="28"/>
        <v>22</v>
      </c>
      <c r="J588" s="308" t="s">
        <v>283</v>
      </c>
      <c r="K588" s="309">
        <v>63050</v>
      </c>
      <c r="L588" s="310">
        <v>3</v>
      </c>
      <c r="Q588" s="264" t="s">
        <v>2550</v>
      </c>
      <c r="R588" s="265">
        <v>41616</v>
      </c>
      <c r="S588" s="265">
        <v>42518</v>
      </c>
      <c r="T588" s="39">
        <f t="shared" si="29"/>
        <v>902</v>
      </c>
    </row>
    <row r="589" spans="1:20">
      <c r="A589" s="291" t="s">
        <v>667</v>
      </c>
      <c r="B589" s="292" t="s">
        <v>271</v>
      </c>
      <c r="C589" s="293" t="s">
        <v>750</v>
      </c>
      <c r="D589" s="294">
        <v>763518183</v>
      </c>
      <c r="E589" s="295">
        <v>2522581491</v>
      </c>
      <c r="F589" s="293" t="s">
        <v>256</v>
      </c>
      <c r="G589" s="296">
        <v>34350</v>
      </c>
      <c r="H589" s="297" t="str">
        <f t="shared" si="27"/>
        <v>January</v>
      </c>
      <c r="I589" s="298">
        <f t="shared" ca="1" si="28"/>
        <v>22</v>
      </c>
      <c r="J589" s="298" t="s">
        <v>257</v>
      </c>
      <c r="K589" s="299">
        <v>69400</v>
      </c>
      <c r="L589" s="300">
        <v>5</v>
      </c>
      <c r="Q589" s="264" t="s">
        <v>2549</v>
      </c>
      <c r="R589" s="265">
        <v>42127</v>
      </c>
      <c r="S589" s="265">
        <v>42820</v>
      </c>
      <c r="T589" s="39">
        <f t="shared" si="29"/>
        <v>693</v>
      </c>
    </row>
    <row r="590" spans="1:20">
      <c r="A590" s="301" t="s">
        <v>590</v>
      </c>
      <c r="B590" s="302" t="s">
        <v>251</v>
      </c>
      <c r="C590" s="303" t="s">
        <v>767</v>
      </c>
      <c r="D590" s="304">
        <v>618775364</v>
      </c>
      <c r="E590" s="305">
        <v>9193182167</v>
      </c>
      <c r="F590" s="303" t="s">
        <v>261</v>
      </c>
      <c r="G590" s="306">
        <v>41164</v>
      </c>
      <c r="H590" s="307" t="str">
        <f t="shared" si="27"/>
        <v>September</v>
      </c>
      <c r="I590" s="308">
        <f t="shared" ca="1" si="28"/>
        <v>4</v>
      </c>
      <c r="J590" s="308" t="s">
        <v>283</v>
      </c>
      <c r="K590" s="309">
        <v>48700</v>
      </c>
      <c r="L590" s="310">
        <v>3</v>
      </c>
      <c r="Q590" s="264" t="s">
        <v>2548</v>
      </c>
      <c r="R590" s="265">
        <v>41691</v>
      </c>
      <c r="S590" s="265">
        <v>41893</v>
      </c>
      <c r="T590" s="39">
        <f t="shared" si="29"/>
        <v>202</v>
      </c>
    </row>
    <row r="591" spans="1:20">
      <c r="A591" s="291" t="s">
        <v>286</v>
      </c>
      <c r="B591" s="292" t="s">
        <v>245</v>
      </c>
      <c r="C591" s="293" t="s">
        <v>678</v>
      </c>
      <c r="D591" s="294">
        <v>261486180</v>
      </c>
      <c r="E591" s="295">
        <v>2522523567</v>
      </c>
      <c r="F591" s="293" t="s">
        <v>247</v>
      </c>
      <c r="G591" s="296">
        <v>38146</v>
      </c>
      <c r="H591" s="297" t="str">
        <f t="shared" si="27"/>
        <v>June</v>
      </c>
      <c r="I591" s="298">
        <f t="shared" ca="1" si="28"/>
        <v>12</v>
      </c>
      <c r="J591" s="298"/>
      <c r="K591" s="299">
        <v>29540</v>
      </c>
      <c r="L591" s="300">
        <v>3</v>
      </c>
      <c r="Q591" s="264" t="s">
        <v>2547</v>
      </c>
      <c r="R591" s="265">
        <v>42006</v>
      </c>
      <c r="S591" s="265">
        <v>42122</v>
      </c>
      <c r="T591" s="39">
        <f t="shared" si="29"/>
        <v>116</v>
      </c>
    </row>
    <row r="592" spans="1:20">
      <c r="A592" s="301" t="s">
        <v>1004</v>
      </c>
      <c r="B592" s="302" t="s">
        <v>280</v>
      </c>
      <c r="C592" s="303" t="s">
        <v>417</v>
      </c>
      <c r="D592" s="304">
        <v>171868795</v>
      </c>
      <c r="E592" s="305">
        <v>9194323329</v>
      </c>
      <c r="F592" s="303" t="s">
        <v>256</v>
      </c>
      <c r="G592" s="306">
        <v>33989</v>
      </c>
      <c r="H592" s="307" t="str">
        <f t="shared" si="27"/>
        <v>January</v>
      </c>
      <c r="I592" s="308">
        <f t="shared" ca="1" si="28"/>
        <v>23</v>
      </c>
      <c r="J592" s="308" t="s">
        <v>276</v>
      </c>
      <c r="K592" s="309">
        <v>32360</v>
      </c>
      <c r="L592" s="310">
        <v>4</v>
      </c>
      <c r="Q592" s="264" t="s">
        <v>2546</v>
      </c>
      <c r="R592" s="265">
        <v>42275</v>
      </c>
      <c r="S592" s="265">
        <v>42727</v>
      </c>
      <c r="T592" s="39">
        <f t="shared" si="29"/>
        <v>452</v>
      </c>
    </row>
    <row r="593" spans="1:20">
      <c r="A593" s="291" t="s">
        <v>913</v>
      </c>
      <c r="B593" s="292" t="s">
        <v>285</v>
      </c>
      <c r="C593" s="293" t="s">
        <v>705</v>
      </c>
      <c r="D593" s="294">
        <v>489013842</v>
      </c>
      <c r="E593" s="295">
        <v>2521658481</v>
      </c>
      <c r="F593" s="293" t="s">
        <v>261</v>
      </c>
      <c r="G593" s="296">
        <v>37605</v>
      </c>
      <c r="H593" s="297" t="str">
        <f t="shared" si="27"/>
        <v>December</v>
      </c>
      <c r="I593" s="298">
        <f t="shared" ca="1" si="28"/>
        <v>13</v>
      </c>
      <c r="J593" s="298" t="s">
        <v>283</v>
      </c>
      <c r="K593" s="299">
        <v>29005</v>
      </c>
      <c r="L593" s="300">
        <v>1</v>
      </c>
      <c r="Q593" s="264" t="s">
        <v>2545</v>
      </c>
      <c r="R593" s="265">
        <v>41138</v>
      </c>
      <c r="S593" s="265">
        <v>41537</v>
      </c>
      <c r="T593" s="39">
        <f t="shared" si="29"/>
        <v>399</v>
      </c>
    </row>
    <row r="594" spans="1:20">
      <c r="A594" s="301" t="s">
        <v>914</v>
      </c>
      <c r="B594" s="302" t="s">
        <v>285</v>
      </c>
      <c r="C594" s="303" t="s">
        <v>930</v>
      </c>
      <c r="D594" s="304">
        <v>186346711</v>
      </c>
      <c r="E594" s="305">
        <v>9194900514</v>
      </c>
      <c r="F594" s="303" t="s">
        <v>256</v>
      </c>
      <c r="G594" s="306">
        <v>37529</v>
      </c>
      <c r="H594" s="307" t="str">
        <f t="shared" si="27"/>
        <v>September</v>
      </c>
      <c r="I594" s="308">
        <f t="shared" ca="1" si="28"/>
        <v>14</v>
      </c>
      <c r="J594" s="308" t="s">
        <v>262</v>
      </c>
      <c r="K594" s="309">
        <v>71970</v>
      </c>
      <c r="L594" s="310">
        <v>4</v>
      </c>
      <c r="Q594" s="264" t="s">
        <v>2544</v>
      </c>
      <c r="R594" s="265">
        <v>41837</v>
      </c>
      <c r="S594" s="265">
        <v>42378</v>
      </c>
      <c r="T594" s="39">
        <f t="shared" si="29"/>
        <v>541</v>
      </c>
    </row>
    <row r="595" spans="1:20">
      <c r="A595" s="291" t="s">
        <v>739</v>
      </c>
      <c r="B595" s="292" t="s">
        <v>285</v>
      </c>
      <c r="C595" s="293" t="s">
        <v>930</v>
      </c>
      <c r="D595" s="294">
        <v>287476507</v>
      </c>
      <c r="E595" s="295">
        <v>9191509619</v>
      </c>
      <c r="F595" s="293" t="s">
        <v>261</v>
      </c>
      <c r="G595" s="296">
        <v>34915</v>
      </c>
      <c r="H595" s="297" t="str">
        <f t="shared" si="27"/>
        <v>August</v>
      </c>
      <c r="I595" s="298">
        <f t="shared" ca="1" si="28"/>
        <v>21</v>
      </c>
      <c r="J595" s="298" t="s">
        <v>257</v>
      </c>
      <c r="K595" s="299">
        <v>19935</v>
      </c>
      <c r="L595" s="300">
        <v>1</v>
      </c>
      <c r="Q595" s="264" t="s">
        <v>2543</v>
      </c>
      <c r="R595" s="265">
        <v>42321</v>
      </c>
      <c r="S595" s="265">
        <v>42768</v>
      </c>
      <c r="T595" s="39">
        <f t="shared" si="29"/>
        <v>447</v>
      </c>
    </row>
    <row r="596" spans="1:20">
      <c r="A596" s="301" t="s">
        <v>591</v>
      </c>
      <c r="B596" s="302" t="s">
        <v>285</v>
      </c>
      <c r="C596" s="303" t="s">
        <v>678</v>
      </c>
      <c r="D596" s="304">
        <v>468953266</v>
      </c>
      <c r="E596" s="305">
        <v>9192126707</v>
      </c>
      <c r="F596" s="303" t="s">
        <v>256</v>
      </c>
      <c r="G596" s="306">
        <v>34651</v>
      </c>
      <c r="H596" s="307" t="str">
        <f t="shared" si="27"/>
        <v>November</v>
      </c>
      <c r="I596" s="308">
        <f t="shared" ca="1" si="28"/>
        <v>21</v>
      </c>
      <c r="J596" s="308" t="s">
        <v>257</v>
      </c>
      <c r="K596" s="309">
        <v>48550</v>
      </c>
      <c r="L596" s="310">
        <v>5</v>
      </c>
      <c r="Q596" s="264" t="s">
        <v>2542</v>
      </c>
      <c r="R596" s="265">
        <v>41184</v>
      </c>
      <c r="S596" s="265">
        <v>41574</v>
      </c>
      <c r="T596" s="39">
        <f t="shared" si="29"/>
        <v>390</v>
      </c>
    </row>
    <row r="597" spans="1:20">
      <c r="A597" s="291" t="s">
        <v>1005</v>
      </c>
      <c r="B597" s="292" t="s">
        <v>245</v>
      </c>
      <c r="C597" s="293" t="s">
        <v>312</v>
      </c>
      <c r="D597" s="294">
        <v>126492342</v>
      </c>
      <c r="E597" s="295">
        <v>9196299247</v>
      </c>
      <c r="F597" s="293" t="s">
        <v>252</v>
      </c>
      <c r="G597" s="296">
        <v>36969</v>
      </c>
      <c r="H597" s="297" t="str">
        <f t="shared" si="27"/>
        <v>March</v>
      </c>
      <c r="I597" s="298">
        <f t="shared" ca="1" si="28"/>
        <v>15</v>
      </c>
      <c r="J597" s="298"/>
      <c r="K597" s="299">
        <v>18500</v>
      </c>
      <c r="L597" s="300">
        <v>5</v>
      </c>
      <c r="Q597" s="264" t="s">
        <v>2541</v>
      </c>
      <c r="R597" s="265">
        <v>41704</v>
      </c>
      <c r="S597" s="265">
        <v>42149</v>
      </c>
      <c r="T597" s="39">
        <f t="shared" si="29"/>
        <v>445</v>
      </c>
    </row>
    <row r="598" spans="1:20">
      <c r="A598" s="301" t="s">
        <v>1006</v>
      </c>
      <c r="B598" s="302" t="s">
        <v>271</v>
      </c>
      <c r="C598" s="303" t="s">
        <v>465</v>
      </c>
      <c r="D598" s="304">
        <v>415299442</v>
      </c>
      <c r="E598" s="305">
        <v>2521408985</v>
      </c>
      <c r="F598" s="303" t="s">
        <v>256</v>
      </c>
      <c r="G598" s="306">
        <v>40606</v>
      </c>
      <c r="H598" s="307" t="str">
        <f t="shared" si="27"/>
        <v>March</v>
      </c>
      <c r="I598" s="308">
        <f t="shared" ca="1" si="28"/>
        <v>5</v>
      </c>
      <c r="J598" s="308" t="s">
        <v>257</v>
      </c>
      <c r="K598" s="309">
        <v>69320</v>
      </c>
      <c r="L598" s="310">
        <v>3</v>
      </c>
      <c r="Q598" s="264" t="s">
        <v>2540</v>
      </c>
      <c r="R598" s="265">
        <v>41032</v>
      </c>
      <c r="S598" s="265">
        <v>41724</v>
      </c>
      <c r="T598" s="39">
        <f t="shared" si="29"/>
        <v>692</v>
      </c>
    </row>
    <row r="599" spans="1:20">
      <c r="A599" s="291" t="s">
        <v>1007</v>
      </c>
      <c r="B599" s="292" t="s">
        <v>285</v>
      </c>
      <c r="C599" s="293" t="s">
        <v>705</v>
      </c>
      <c r="D599" s="294">
        <v>868128171</v>
      </c>
      <c r="E599" s="295">
        <v>2525048978</v>
      </c>
      <c r="F599" s="293" t="s">
        <v>256</v>
      </c>
      <c r="G599" s="296">
        <v>34788</v>
      </c>
      <c r="H599" s="297" t="str">
        <f t="shared" si="27"/>
        <v>March</v>
      </c>
      <c r="I599" s="298">
        <f t="shared" ca="1" si="28"/>
        <v>21</v>
      </c>
      <c r="J599" s="298" t="s">
        <v>276</v>
      </c>
      <c r="K599" s="299">
        <v>75370</v>
      </c>
      <c r="L599" s="300">
        <v>2</v>
      </c>
      <c r="Q599" s="264" t="s">
        <v>2539</v>
      </c>
      <c r="R599" s="265">
        <v>40932</v>
      </c>
      <c r="S599" s="265">
        <v>41760</v>
      </c>
      <c r="T599" s="39">
        <f t="shared" si="29"/>
        <v>828</v>
      </c>
    </row>
    <row r="600" spans="1:20">
      <c r="A600" s="301" t="s">
        <v>592</v>
      </c>
      <c r="B600" s="302" t="s">
        <v>285</v>
      </c>
      <c r="C600" s="303" t="s">
        <v>930</v>
      </c>
      <c r="D600" s="304">
        <v>879114558</v>
      </c>
      <c r="E600" s="305">
        <v>9194557504</v>
      </c>
      <c r="F600" s="303" t="s">
        <v>261</v>
      </c>
      <c r="G600" s="306">
        <v>37828</v>
      </c>
      <c r="H600" s="307" t="str">
        <f t="shared" si="27"/>
        <v>July</v>
      </c>
      <c r="I600" s="308">
        <f t="shared" ca="1" si="28"/>
        <v>13</v>
      </c>
      <c r="J600" s="308" t="s">
        <v>257</v>
      </c>
      <c r="K600" s="309">
        <v>17205</v>
      </c>
      <c r="L600" s="310">
        <v>5</v>
      </c>
      <c r="Q600" s="264" t="s">
        <v>2538</v>
      </c>
      <c r="R600" s="265">
        <v>41074</v>
      </c>
      <c r="S600" s="265">
        <v>41381</v>
      </c>
      <c r="T600" s="39">
        <f t="shared" si="29"/>
        <v>307</v>
      </c>
    </row>
    <row r="601" spans="1:20">
      <c r="A601" s="291" t="s">
        <v>1008</v>
      </c>
      <c r="B601" s="292" t="s">
        <v>271</v>
      </c>
      <c r="C601" s="293" t="s">
        <v>465</v>
      </c>
      <c r="D601" s="294">
        <v>853268713</v>
      </c>
      <c r="E601" s="295">
        <v>9192712826</v>
      </c>
      <c r="F601" s="293" t="s">
        <v>256</v>
      </c>
      <c r="G601" s="296">
        <v>36499</v>
      </c>
      <c r="H601" s="297" t="str">
        <f t="shared" si="27"/>
        <v>December</v>
      </c>
      <c r="I601" s="298">
        <f t="shared" ca="1" si="28"/>
        <v>16</v>
      </c>
      <c r="J601" s="298" t="s">
        <v>257</v>
      </c>
      <c r="K601" s="299">
        <v>60280</v>
      </c>
      <c r="L601" s="300">
        <v>1</v>
      </c>
      <c r="Q601" s="264" t="s">
        <v>2537</v>
      </c>
      <c r="R601" s="265">
        <v>41053</v>
      </c>
      <c r="S601" s="265">
        <v>41428</v>
      </c>
      <c r="T601" s="39">
        <f t="shared" si="29"/>
        <v>375</v>
      </c>
    </row>
    <row r="602" spans="1:20">
      <c r="A602" s="301" t="s">
        <v>915</v>
      </c>
      <c r="B602" s="302" t="s">
        <v>271</v>
      </c>
      <c r="C602" s="303" t="s">
        <v>465</v>
      </c>
      <c r="D602" s="304">
        <v>930314379</v>
      </c>
      <c r="E602" s="305">
        <v>2524854867</v>
      </c>
      <c r="F602" s="303" t="s">
        <v>256</v>
      </c>
      <c r="G602" s="306">
        <v>40300</v>
      </c>
      <c r="H602" s="307" t="str">
        <f t="shared" si="27"/>
        <v>May</v>
      </c>
      <c r="I602" s="308">
        <f t="shared" ca="1" si="28"/>
        <v>6</v>
      </c>
      <c r="J602" s="308" t="s">
        <v>267</v>
      </c>
      <c r="K602" s="309">
        <v>71490</v>
      </c>
      <c r="L602" s="310">
        <v>5</v>
      </c>
      <c r="Q602" s="264" t="s">
        <v>2536</v>
      </c>
      <c r="R602" s="265">
        <v>41539</v>
      </c>
      <c r="S602" s="265">
        <v>42313</v>
      </c>
      <c r="T602" s="39">
        <f t="shared" si="29"/>
        <v>774</v>
      </c>
    </row>
    <row r="603" spans="1:20">
      <c r="A603" s="291" t="s">
        <v>446</v>
      </c>
      <c r="B603" s="292" t="s">
        <v>245</v>
      </c>
      <c r="C603" s="293" t="s">
        <v>856</v>
      </c>
      <c r="D603" s="294">
        <v>186821354</v>
      </c>
      <c r="E603" s="295">
        <v>2528527032</v>
      </c>
      <c r="F603" s="293" t="s">
        <v>256</v>
      </c>
      <c r="G603" s="296">
        <v>34920</v>
      </c>
      <c r="H603" s="297" t="str">
        <f t="shared" si="27"/>
        <v>August</v>
      </c>
      <c r="I603" s="298">
        <f t="shared" ca="1" si="28"/>
        <v>21</v>
      </c>
      <c r="J603" s="298" t="s">
        <v>257</v>
      </c>
      <c r="K603" s="299">
        <v>54270</v>
      </c>
      <c r="L603" s="300">
        <v>3</v>
      </c>
      <c r="Q603" s="264" t="s">
        <v>2535</v>
      </c>
      <c r="R603" s="265">
        <v>40920</v>
      </c>
      <c r="S603" s="265">
        <v>41611</v>
      </c>
      <c r="T603" s="39">
        <f t="shared" si="29"/>
        <v>691</v>
      </c>
    </row>
    <row r="604" spans="1:20">
      <c r="A604" s="301" t="s">
        <v>740</v>
      </c>
      <c r="B604" s="302" t="s">
        <v>271</v>
      </c>
      <c r="C604" s="303" t="s">
        <v>465</v>
      </c>
      <c r="D604" s="304">
        <v>616417564</v>
      </c>
      <c r="E604" s="305">
        <v>9191806180</v>
      </c>
      <c r="F604" s="303" t="s">
        <v>247</v>
      </c>
      <c r="G604" s="306">
        <v>36361</v>
      </c>
      <c r="H604" s="307" t="str">
        <f t="shared" si="27"/>
        <v>July</v>
      </c>
      <c r="I604" s="308">
        <f t="shared" ca="1" si="28"/>
        <v>17</v>
      </c>
      <c r="J604" s="308"/>
      <c r="K604" s="309">
        <v>42150</v>
      </c>
      <c r="L604" s="310">
        <v>5</v>
      </c>
      <c r="Q604" s="264" t="s">
        <v>2534</v>
      </c>
      <c r="R604" s="265">
        <v>41323</v>
      </c>
      <c r="S604" s="265">
        <v>42298</v>
      </c>
      <c r="T604" s="39">
        <f t="shared" si="29"/>
        <v>975</v>
      </c>
    </row>
    <row r="605" spans="1:20">
      <c r="A605" s="291" t="s">
        <v>623</v>
      </c>
      <c r="B605" s="292" t="s">
        <v>266</v>
      </c>
      <c r="C605" s="293" t="s">
        <v>465</v>
      </c>
      <c r="D605" s="294">
        <v>596641549</v>
      </c>
      <c r="E605" s="295">
        <v>9196194175</v>
      </c>
      <c r="F605" s="293" t="s">
        <v>247</v>
      </c>
      <c r="G605" s="296">
        <v>37260</v>
      </c>
      <c r="H605" s="297" t="str">
        <f t="shared" si="27"/>
        <v>January</v>
      </c>
      <c r="I605" s="298">
        <f t="shared" ca="1" si="28"/>
        <v>14</v>
      </c>
      <c r="J605" s="298"/>
      <c r="K605" s="299">
        <v>27380</v>
      </c>
      <c r="L605" s="300">
        <v>3</v>
      </c>
      <c r="Q605" s="264" t="s">
        <v>2533</v>
      </c>
      <c r="R605" s="265">
        <v>42362</v>
      </c>
      <c r="S605" s="265">
        <v>43268</v>
      </c>
      <c r="T605" s="39">
        <f t="shared" si="29"/>
        <v>906</v>
      </c>
    </row>
    <row r="606" spans="1:20">
      <c r="A606" s="301" t="s">
        <v>741</v>
      </c>
      <c r="B606" s="302" t="s">
        <v>285</v>
      </c>
      <c r="C606" s="303" t="s">
        <v>767</v>
      </c>
      <c r="D606" s="304">
        <v>699386024</v>
      </c>
      <c r="E606" s="305">
        <v>2525842116</v>
      </c>
      <c r="F606" s="303" t="s">
        <v>252</v>
      </c>
      <c r="G606" s="306">
        <v>36938</v>
      </c>
      <c r="H606" s="307" t="str">
        <f t="shared" si="27"/>
        <v>February</v>
      </c>
      <c r="I606" s="308">
        <f t="shared" ca="1" si="28"/>
        <v>15</v>
      </c>
      <c r="J606" s="308"/>
      <c r="K606" s="309">
        <v>16688</v>
      </c>
      <c r="L606" s="310">
        <v>3</v>
      </c>
      <c r="Q606" s="264" t="s">
        <v>2532</v>
      </c>
      <c r="R606" s="265">
        <v>41229</v>
      </c>
      <c r="S606" s="265">
        <v>41725</v>
      </c>
      <c r="T606" s="39">
        <f t="shared" si="29"/>
        <v>496</v>
      </c>
    </row>
    <row r="607" spans="1:20">
      <c r="A607" s="291" t="s">
        <v>833</v>
      </c>
      <c r="B607" s="292" t="s">
        <v>245</v>
      </c>
      <c r="C607" s="293" t="s">
        <v>930</v>
      </c>
      <c r="D607" s="294">
        <v>262585858</v>
      </c>
      <c r="E607" s="295">
        <v>2528566597</v>
      </c>
      <c r="F607" s="293" t="s">
        <v>261</v>
      </c>
      <c r="G607" s="296">
        <v>36428</v>
      </c>
      <c r="H607" s="297" t="str">
        <f t="shared" si="27"/>
        <v>September</v>
      </c>
      <c r="I607" s="298">
        <f t="shared" ca="1" si="28"/>
        <v>17</v>
      </c>
      <c r="J607" s="298" t="s">
        <v>262</v>
      </c>
      <c r="K607" s="299">
        <v>13690</v>
      </c>
      <c r="L607" s="300">
        <v>5</v>
      </c>
      <c r="Q607" s="264" t="s">
        <v>2531</v>
      </c>
      <c r="R607" s="265">
        <v>40994</v>
      </c>
      <c r="S607" s="265">
        <v>41250</v>
      </c>
      <c r="T607" s="39">
        <f t="shared" si="29"/>
        <v>256</v>
      </c>
    </row>
    <row r="608" spans="1:20">
      <c r="A608" s="301" t="s">
        <v>355</v>
      </c>
      <c r="B608" s="302" t="s">
        <v>271</v>
      </c>
      <c r="C608" s="303" t="s">
        <v>381</v>
      </c>
      <c r="D608" s="304">
        <v>943671719</v>
      </c>
      <c r="E608" s="305">
        <v>9193517837</v>
      </c>
      <c r="F608" s="303" t="s">
        <v>256</v>
      </c>
      <c r="G608" s="306">
        <v>36359</v>
      </c>
      <c r="H608" s="307" t="str">
        <f t="shared" si="27"/>
        <v>July</v>
      </c>
      <c r="I608" s="308">
        <f t="shared" ca="1" si="28"/>
        <v>17</v>
      </c>
      <c r="J608" s="308" t="s">
        <v>283</v>
      </c>
      <c r="K608" s="309">
        <v>22920</v>
      </c>
      <c r="L608" s="310">
        <v>3</v>
      </c>
      <c r="Q608" s="264" t="s">
        <v>2530</v>
      </c>
      <c r="R608" s="265">
        <v>42342</v>
      </c>
      <c r="S608" s="265">
        <v>43158</v>
      </c>
      <c r="T608" s="39">
        <f t="shared" si="29"/>
        <v>816</v>
      </c>
    </row>
    <row r="609" spans="1:20">
      <c r="A609" s="291" t="s">
        <v>1470</v>
      </c>
      <c r="B609" s="292" t="s">
        <v>271</v>
      </c>
      <c r="C609" s="293" t="s">
        <v>417</v>
      </c>
      <c r="D609" s="294">
        <v>707553376</v>
      </c>
      <c r="E609" s="295">
        <v>9194194193</v>
      </c>
      <c r="F609" s="293" t="s">
        <v>256</v>
      </c>
      <c r="G609" s="296">
        <v>35994</v>
      </c>
      <c r="H609" s="297" t="str">
        <f t="shared" si="27"/>
        <v>July</v>
      </c>
      <c r="I609" s="298">
        <f t="shared" ca="1" si="28"/>
        <v>18</v>
      </c>
      <c r="J609" s="298" t="s">
        <v>276</v>
      </c>
      <c r="K609" s="299">
        <v>49260</v>
      </c>
      <c r="L609" s="300">
        <v>3</v>
      </c>
      <c r="Q609" s="264" t="s">
        <v>2529</v>
      </c>
      <c r="R609" s="265">
        <v>41540</v>
      </c>
      <c r="S609" s="265">
        <v>41908</v>
      </c>
      <c r="T609" s="39">
        <f t="shared" si="29"/>
        <v>368</v>
      </c>
    </row>
    <row r="610" spans="1:20">
      <c r="A610" s="301" t="s">
        <v>593</v>
      </c>
      <c r="B610" s="302" t="s">
        <v>271</v>
      </c>
      <c r="C610" s="303" t="s">
        <v>767</v>
      </c>
      <c r="D610" s="304">
        <v>214291610</v>
      </c>
      <c r="E610" s="305">
        <v>2523858464</v>
      </c>
      <c r="F610" s="303" t="s">
        <v>256</v>
      </c>
      <c r="G610" s="306">
        <v>36129</v>
      </c>
      <c r="H610" s="307" t="str">
        <f t="shared" si="27"/>
        <v>November</v>
      </c>
      <c r="I610" s="308">
        <f t="shared" ca="1" si="28"/>
        <v>17</v>
      </c>
      <c r="J610" s="308" t="s">
        <v>257</v>
      </c>
      <c r="K610" s="309">
        <v>47340</v>
      </c>
      <c r="L610" s="310">
        <v>2</v>
      </c>
      <c r="Q610" s="264" t="s">
        <v>2528</v>
      </c>
      <c r="R610" s="265">
        <v>41094</v>
      </c>
      <c r="S610" s="265">
        <v>41507</v>
      </c>
      <c r="T610" s="39">
        <f t="shared" si="29"/>
        <v>413</v>
      </c>
    </row>
    <row r="611" spans="1:20">
      <c r="A611" s="291" t="s">
        <v>1009</v>
      </c>
      <c r="B611" s="292" t="s">
        <v>271</v>
      </c>
      <c r="C611" s="293" t="s">
        <v>465</v>
      </c>
      <c r="D611" s="294">
        <v>220781349</v>
      </c>
      <c r="E611" s="295">
        <v>2525185281</v>
      </c>
      <c r="F611" s="293" t="s">
        <v>247</v>
      </c>
      <c r="G611" s="296">
        <v>35059</v>
      </c>
      <c r="H611" s="297" t="str">
        <f t="shared" si="27"/>
        <v>December</v>
      </c>
      <c r="I611" s="298">
        <f t="shared" ca="1" si="28"/>
        <v>20</v>
      </c>
      <c r="J611" s="298"/>
      <c r="K611" s="299">
        <v>45770</v>
      </c>
      <c r="L611" s="300">
        <v>5</v>
      </c>
      <c r="Q611" s="264" t="s">
        <v>2527</v>
      </c>
      <c r="R611" s="265">
        <v>41494</v>
      </c>
      <c r="S611" s="265">
        <v>42035</v>
      </c>
      <c r="T611" s="39">
        <f t="shared" si="29"/>
        <v>541</v>
      </c>
    </row>
    <row r="612" spans="1:20">
      <c r="A612" s="301" t="s">
        <v>834</v>
      </c>
      <c r="B612" s="302" t="s">
        <v>245</v>
      </c>
      <c r="C612" s="303" t="s">
        <v>856</v>
      </c>
      <c r="D612" s="304">
        <v>221347766</v>
      </c>
      <c r="E612" s="305">
        <v>2526853122</v>
      </c>
      <c r="F612" s="303" t="s">
        <v>247</v>
      </c>
      <c r="G612" s="306">
        <v>36980</v>
      </c>
      <c r="H612" s="307" t="str">
        <f t="shared" si="27"/>
        <v>March</v>
      </c>
      <c r="I612" s="308">
        <f t="shared" ca="1" si="28"/>
        <v>15</v>
      </c>
      <c r="J612" s="308"/>
      <c r="K612" s="309">
        <v>59050</v>
      </c>
      <c r="L612" s="310">
        <v>4</v>
      </c>
      <c r="Q612" s="264" t="s">
        <v>2526</v>
      </c>
      <c r="R612" s="265">
        <v>41535</v>
      </c>
      <c r="S612" s="265">
        <v>41676</v>
      </c>
      <c r="T612" s="39">
        <f t="shared" si="29"/>
        <v>141</v>
      </c>
    </row>
    <row r="613" spans="1:20">
      <c r="A613" s="291" t="s">
        <v>668</v>
      </c>
      <c r="B613" s="292" t="s">
        <v>285</v>
      </c>
      <c r="C613" s="293" t="s">
        <v>372</v>
      </c>
      <c r="D613" s="294">
        <v>495042805</v>
      </c>
      <c r="E613" s="295">
        <v>9197146686</v>
      </c>
      <c r="F613" s="293" t="s">
        <v>247</v>
      </c>
      <c r="G613" s="296">
        <v>41163</v>
      </c>
      <c r="H613" s="297" t="str">
        <f t="shared" si="27"/>
        <v>September</v>
      </c>
      <c r="I613" s="298">
        <f t="shared" ca="1" si="28"/>
        <v>4</v>
      </c>
      <c r="J613" s="298"/>
      <c r="K613" s="299">
        <v>59350</v>
      </c>
      <c r="L613" s="300">
        <v>5</v>
      </c>
      <c r="Q613" s="264" t="s">
        <v>2525</v>
      </c>
      <c r="R613" s="265">
        <v>42079</v>
      </c>
      <c r="S613" s="265">
        <v>42701</v>
      </c>
      <c r="T613" s="39">
        <f t="shared" si="29"/>
        <v>622</v>
      </c>
    </row>
    <row r="614" spans="1:20">
      <c r="A614" s="301" t="s">
        <v>835</v>
      </c>
      <c r="B614" s="302" t="s">
        <v>271</v>
      </c>
      <c r="C614" s="303" t="s">
        <v>381</v>
      </c>
      <c r="D614" s="304">
        <v>651995963</v>
      </c>
      <c r="E614" s="305">
        <v>9194944945</v>
      </c>
      <c r="F614" s="303" t="s">
        <v>252</v>
      </c>
      <c r="G614" s="306">
        <v>41223</v>
      </c>
      <c r="H614" s="307" t="str">
        <f t="shared" si="27"/>
        <v>November</v>
      </c>
      <c r="I614" s="308">
        <f t="shared" ca="1" si="28"/>
        <v>4</v>
      </c>
      <c r="J614" s="308"/>
      <c r="K614" s="309">
        <v>27484</v>
      </c>
      <c r="L614" s="310">
        <v>4</v>
      </c>
      <c r="Q614" s="264" t="s">
        <v>2524</v>
      </c>
      <c r="R614" s="265">
        <v>42172</v>
      </c>
      <c r="S614" s="265">
        <v>42639</v>
      </c>
      <c r="T614" s="39">
        <f t="shared" si="29"/>
        <v>467</v>
      </c>
    </row>
    <row r="615" spans="1:20">
      <c r="A615" s="291" t="s">
        <v>594</v>
      </c>
      <c r="B615" s="292" t="s">
        <v>271</v>
      </c>
      <c r="C615" s="293" t="s">
        <v>767</v>
      </c>
      <c r="D615" s="294">
        <v>456809622</v>
      </c>
      <c r="E615" s="295">
        <v>2523046338</v>
      </c>
      <c r="F615" s="293" t="s">
        <v>256</v>
      </c>
      <c r="G615" s="296">
        <v>34008</v>
      </c>
      <c r="H615" s="297" t="str">
        <f t="shared" si="27"/>
        <v>February</v>
      </c>
      <c r="I615" s="298">
        <f t="shared" ca="1" si="28"/>
        <v>23</v>
      </c>
      <c r="J615" s="298" t="s">
        <v>257</v>
      </c>
      <c r="K615" s="299">
        <v>48080</v>
      </c>
      <c r="L615" s="300">
        <v>2</v>
      </c>
      <c r="Q615" s="264" t="s">
        <v>2523</v>
      </c>
      <c r="R615" s="265">
        <v>41989</v>
      </c>
      <c r="S615" s="265">
        <v>42627</v>
      </c>
      <c r="T615" s="39">
        <f t="shared" si="29"/>
        <v>638</v>
      </c>
    </row>
    <row r="616" spans="1:20">
      <c r="A616" s="301" t="s">
        <v>447</v>
      </c>
      <c r="B616" s="302" t="s">
        <v>251</v>
      </c>
      <c r="C616" s="303" t="s">
        <v>272</v>
      </c>
      <c r="D616" s="304">
        <v>481336564</v>
      </c>
      <c r="E616" s="305">
        <v>9196479087</v>
      </c>
      <c r="F616" s="303" t="s">
        <v>256</v>
      </c>
      <c r="G616" s="306">
        <v>37053</v>
      </c>
      <c r="H616" s="307" t="str">
        <f t="shared" si="27"/>
        <v>June</v>
      </c>
      <c r="I616" s="308">
        <f t="shared" ca="1" si="28"/>
        <v>15</v>
      </c>
      <c r="J616" s="308" t="s">
        <v>283</v>
      </c>
      <c r="K616" s="309">
        <v>72090</v>
      </c>
      <c r="L616" s="310">
        <v>5</v>
      </c>
      <c r="Q616" s="264" t="s">
        <v>2522</v>
      </c>
      <c r="R616" s="265">
        <v>41015</v>
      </c>
      <c r="S616" s="265">
        <v>41177</v>
      </c>
      <c r="T616" s="39">
        <f t="shared" si="29"/>
        <v>162</v>
      </c>
    </row>
    <row r="617" spans="1:20">
      <c r="A617" s="291" t="s">
        <v>836</v>
      </c>
      <c r="B617" s="292" t="s">
        <v>251</v>
      </c>
      <c r="C617" s="293" t="s">
        <v>618</v>
      </c>
      <c r="D617" s="294">
        <v>370608224</v>
      </c>
      <c r="E617" s="295">
        <v>2521535362</v>
      </c>
      <c r="F617" s="293" t="s">
        <v>256</v>
      </c>
      <c r="G617" s="296">
        <v>38317</v>
      </c>
      <c r="H617" s="297" t="str">
        <f t="shared" si="27"/>
        <v>November</v>
      </c>
      <c r="I617" s="298">
        <f t="shared" ca="1" si="28"/>
        <v>11</v>
      </c>
      <c r="J617" s="298" t="s">
        <v>257</v>
      </c>
      <c r="K617" s="299">
        <v>59140</v>
      </c>
      <c r="L617" s="300">
        <v>5</v>
      </c>
      <c r="Q617" s="264" t="s">
        <v>2521</v>
      </c>
      <c r="R617" s="265">
        <v>42058</v>
      </c>
      <c r="S617" s="265">
        <v>42456</v>
      </c>
      <c r="T617" s="39">
        <f t="shared" si="29"/>
        <v>398</v>
      </c>
    </row>
    <row r="618" spans="1:20">
      <c r="A618" s="301" t="s">
        <v>595</v>
      </c>
      <c r="B618" s="302" t="s">
        <v>285</v>
      </c>
      <c r="C618" s="303" t="s">
        <v>856</v>
      </c>
      <c r="D618" s="304">
        <v>693055639</v>
      </c>
      <c r="E618" s="305">
        <v>9195866887</v>
      </c>
      <c r="F618" s="303" t="s">
        <v>256</v>
      </c>
      <c r="G618" s="306">
        <v>34132</v>
      </c>
      <c r="H618" s="307" t="str">
        <f t="shared" si="27"/>
        <v>June</v>
      </c>
      <c r="I618" s="308">
        <f t="shared" ca="1" si="28"/>
        <v>23</v>
      </c>
      <c r="J618" s="308" t="s">
        <v>257</v>
      </c>
      <c r="K618" s="309">
        <v>53900</v>
      </c>
      <c r="L618" s="310">
        <v>5</v>
      </c>
      <c r="Q618" s="264" t="s">
        <v>2520</v>
      </c>
      <c r="R618" s="265">
        <v>40936</v>
      </c>
      <c r="S618" s="265">
        <v>41780</v>
      </c>
      <c r="T618" s="39">
        <f t="shared" si="29"/>
        <v>844</v>
      </c>
    </row>
    <row r="619" spans="1:20">
      <c r="A619" s="291" t="s">
        <v>837</v>
      </c>
      <c r="B619" s="292" t="s">
        <v>266</v>
      </c>
      <c r="C619" s="293" t="s">
        <v>465</v>
      </c>
      <c r="D619" s="294">
        <v>906321388</v>
      </c>
      <c r="E619" s="295">
        <v>2527919826</v>
      </c>
      <c r="F619" s="293" t="s">
        <v>247</v>
      </c>
      <c r="G619" s="296">
        <v>36270</v>
      </c>
      <c r="H619" s="297" t="str">
        <f t="shared" si="27"/>
        <v>April</v>
      </c>
      <c r="I619" s="298">
        <f t="shared" ca="1" si="28"/>
        <v>17</v>
      </c>
      <c r="J619" s="298"/>
      <c r="K619" s="299">
        <v>28260</v>
      </c>
      <c r="L619" s="300">
        <v>5</v>
      </c>
      <c r="Q619" s="264" t="s">
        <v>2519</v>
      </c>
      <c r="R619" s="265">
        <v>42139</v>
      </c>
      <c r="S619" s="265">
        <v>42473</v>
      </c>
      <c r="T619" s="39">
        <f t="shared" si="29"/>
        <v>334</v>
      </c>
    </row>
    <row r="620" spans="1:20">
      <c r="A620" s="301" t="s">
        <v>596</v>
      </c>
      <c r="B620" s="302" t="s">
        <v>285</v>
      </c>
      <c r="C620" s="303" t="s">
        <v>767</v>
      </c>
      <c r="D620" s="304">
        <v>394876677</v>
      </c>
      <c r="E620" s="305">
        <v>2522551469</v>
      </c>
      <c r="F620" s="303" t="s">
        <v>256</v>
      </c>
      <c r="G620" s="306">
        <v>36526</v>
      </c>
      <c r="H620" s="307" t="str">
        <f t="shared" si="27"/>
        <v>January</v>
      </c>
      <c r="I620" s="308">
        <f t="shared" ca="1" si="28"/>
        <v>16</v>
      </c>
      <c r="J620" s="308" t="s">
        <v>283</v>
      </c>
      <c r="K620" s="309">
        <v>34060</v>
      </c>
      <c r="L620" s="310">
        <v>2</v>
      </c>
      <c r="Q620" s="264" t="s">
        <v>2518</v>
      </c>
      <c r="R620" s="265">
        <v>41371</v>
      </c>
      <c r="S620" s="265">
        <v>41640</v>
      </c>
      <c r="T620" s="39">
        <f t="shared" si="29"/>
        <v>269</v>
      </c>
    </row>
    <row r="621" spans="1:20">
      <c r="A621" s="291" t="s">
        <v>838</v>
      </c>
      <c r="B621" s="292" t="s">
        <v>285</v>
      </c>
      <c r="C621" s="293" t="s">
        <v>856</v>
      </c>
      <c r="D621" s="294">
        <v>331251341</v>
      </c>
      <c r="E621" s="295">
        <v>2528678875</v>
      </c>
      <c r="F621" s="293" t="s">
        <v>256</v>
      </c>
      <c r="G621" s="296">
        <v>36806</v>
      </c>
      <c r="H621" s="297" t="str">
        <f t="shared" si="27"/>
        <v>October</v>
      </c>
      <c r="I621" s="298">
        <f t="shared" ca="1" si="28"/>
        <v>16</v>
      </c>
      <c r="J621" s="298" t="s">
        <v>283</v>
      </c>
      <c r="K621" s="299">
        <v>70280</v>
      </c>
      <c r="L621" s="300">
        <v>3</v>
      </c>
      <c r="Q621" s="264" t="s">
        <v>2517</v>
      </c>
      <c r="R621" s="265">
        <v>41190</v>
      </c>
      <c r="S621" s="265">
        <v>41612</v>
      </c>
      <c r="T621" s="39">
        <f t="shared" si="29"/>
        <v>422</v>
      </c>
    </row>
    <row r="622" spans="1:20">
      <c r="A622" s="301" t="s">
        <v>1010</v>
      </c>
      <c r="B622" s="302" t="s">
        <v>285</v>
      </c>
      <c r="C622" s="303" t="s">
        <v>465</v>
      </c>
      <c r="D622" s="304">
        <v>903618594</v>
      </c>
      <c r="E622" s="305">
        <v>9194733288</v>
      </c>
      <c r="F622" s="303" t="s">
        <v>256</v>
      </c>
      <c r="G622" s="306">
        <v>38776</v>
      </c>
      <c r="H622" s="307" t="str">
        <f t="shared" si="27"/>
        <v>February</v>
      </c>
      <c r="I622" s="308">
        <f t="shared" ca="1" si="28"/>
        <v>10</v>
      </c>
      <c r="J622" s="308" t="s">
        <v>262</v>
      </c>
      <c r="K622" s="309">
        <v>54230</v>
      </c>
      <c r="L622" s="310">
        <v>5</v>
      </c>
      <c r="Q622" s="264" t="s">
        <v>2516</v>
      </c>
      <c r="R622" s="265">
        <v>42341</v>
      </c>
      <c r="S622" s="265">
        <v>42699</v>
      </c>
      <c r="T622" s="39">
        <f t="shared" si="29"/>
        <v>358</v>
      </c>
    </row>
    <row r="623" spans="1:20">
      <c r="A623" s="291" t="s">
        <v>356</v>
      </c>
      <c r="B623" s="292" t="s">
        <v>280</v>
      </c>
      <c r="C623" s="293" t="s">
        <v>465</v>
      </c>
      <c r="D623" s="294">
        <v>487810878</v>
      </c>
      <c r="E623" s="295">
        <v>9194555389</v>
      </c>
      <c r="F623" s="293" t="s">
        <v>256</v>
      </c>
      <c r="G623" s="296">
        <v>34978</v>
      </c>
      <c r="H623" s="297" t="str">
        <f t="shared" si="27"/>
        <v>October</v>
      </c>
      <c r="I623" s="298">
        <f t="shared" ca="1" si="28"/>
        <v>21</v>
      </c>
      <c r="J623" s="298" t="s">
        <v>283</v>
      </c>
      <c r="K623" s="299">
        <v>23330</v>
      </c>
      <c r="L623" s="300">
        <v>4</v>
      </c>
      <c r="Q623" s="264" t="s">
        <v>2515</v>
      </c>
      <c r="R623" s="265">
        <v>41489</v>
      </c>
      <c r="S623" s="265">
        <v>41695</v>
      </c>
      <c r="T623" s="39">
        <f t="shared" si="29"/>
        <v>206</v>
      </c>
    </row>
    <row r="624" spans="1:20">
      <c r="A624" s="301" t="s">
        <v>448</v>
      </c>
      <c r="B624" s="302" t="s">
        <v>271</v>
      </c>
      <c r="C624" s="303" t="s">
        <v>465</v>
      </c>
      <c r="D624" s="304">
        <v>527185620</v>
      </c>
      <c r="E624" s="305">
        <v>2524627771</v>
      </c>
      <c r="F624" s="303" t="s">
        <v>256</v>
      </c>
      <c r="G624" s="306">
        <v>41180</v>
      </c>
      <c r="H624" s="307" t="str">
        <f t="shared" si="27"/>
        <v>September</v>
      </c>
      <c r="I624" s="308">
        <f t="shared" ca="1" si="28"/>
        <v>4</v>
      </c>
      <c r="J624" s="308" t="s">
        <v>283</v>
      </c>
      <c r="K624" s="309">
        <v>35300</v>
      </c>
      <c r="L624" s="310">
        <v>5</v>
      </c>
      <c r="Q624" s="264" t="s">
        <v>2514</v>
      </c>
      <c r="R624" s="265">
        <v>41867</v>
      </c>
      <c r="S624" s="265">
        <v>42757</v>
      </c>
      <c r="T624" s="39">
        <f t="shared" si="29"/>
        <v>890</v>
      </c>
    </row>
    <row r="625" spans="1:20">
      <c r="A625" s="291" t="s">
        <v>697</v>
      </c>
      <c r="B625" s="292" t="s">
        <v>285</v>
      </c>
      <c r="C625" s="293" t="s">
        <v>312</v>
      </c>
      <c r="D625" s="294">
        <v>768215237</v>
      </c>
      <c r="E625" s="295">
        <v>9195993367</v>
      </c>
      <c r="F625" s="293" t="s">
        <v>261</v>
      </c>
      <c r="G625" s="296">
        <v>34382</v>
      </c>
      <c r="H625" s="297" t="str">
        <f t="shared" si="27"/>
        <v>February</v>
      </c>
      <c r="I625" s="298">
        <f t="shared" ca="1" si="28"/>
        <v>22</v>
      </c>
      <c r="J625" s="298" t="s">
        <v>262</v>
      </c>
      <c r="K625" s="299">
        <v>13800</v>
      </c>
      <c r="L625" s="300">
        <v>3</v>
      </c>
      <c r="Q625" s="264" t="s">
        <v>2513</v>
      </c>
      <c r="R625" s="265">
        <v>41506</v>
      </c>
      <c r="S625" s="265">
        <v>42357</v>
      </c>
      <c r="T625" s="39">
        <f t="shared" si="29"/>
        <v>851</v>
      </c>
    </row>
    <row r="626" spans="1:20">
      <c r="A626" s="301" t="s">
        <v>408</v>
      </c>
      <c r="B626" s="302" t="s">
        <v>245</v>
      </c>
      <c r="C626" s="303" t="s">
        <v>626</v>
      </c>
      <c r="D626" s="304">
        <v>895408697</v>
      </c>
      <c r="E626" s="305">
        <v>2523383207</v>
      </c>
      <c r="F626" s="303" t="s">
        <v>256</v>
      </c>
      <c r="G626" s="306">
        <v>40067</v>
      </c>
      <c r="H626" s="307" t="str">
        <f t="shared" si="27"/>
        <v>September</v>
      </c>
      <c r="I626" s="308">
        <f t="shared" ca="1" si="28"/>
        <v>7</v>
      </c>
      <c r="J626" s="308" t="s">
        <v>283</v>
      </c>
      <c r="K626" s="309">
        <v>47610</v>
      </c>
      <c r="L626" s="310">
        <v>4</v>
      </c>
      <c r="Q626" s="264" t="s">
        <v>2512</v>
      </c>
      <c r="R626" s="265">
        <v>41607</v>
      </c>
      <c r="S626" s="265">
        <v>42265</v>
      </c>
      <c r="T626" s="39">
        <f t="shared" si="29"/>
        <v>658</v>
      </c>
    </row>
    <row r="627" spans="1:20">
      <c r="A627" s="291" t="s">
        <v>357</v>
      </c>
      <c r="B627" s="292" t="s">
        <v>251</v>
      </c>
      <c r="C627" s="293" t="s">
        <v>465</v>
      </c>
      <c r="D627" s="294">
        <v>944793994</v>
      </c>
      <c r="E627" s="295">
        <v>2525725646</v>
      </c>
      <c r="F627" s="293" t="s">
        <v>256</v>
      </c>
      <c r="G627" s="296">
        <v>35695</v>
      </c>
      <c r="H627" s="297" t="str">
        <f t="shared" si="27"/>
        <v>September</v>
      </c>
      <c r="I627" s="298">
        <f t="shared" ca="1" si="28"/>
        <v>19</v>
      </c>
      <c r="J627" s="298" t="s">
        <v>257</v>
      </c>
      <c r="K627" s="299">
        <v>24300</v>
      </c>
      <c r="L627" s="300">
        <v>3</v>
      </c>
      <c r="Q627" s="264" t="s">
        <v>2511</v>
      </c>
      <c r="R627" s="265">
        <v>40950</v>
      </c>
      <c r="S627" s="265">
        <v>41511</v>
      </c>
      <c r="T627" s="39">
        <f t="shared" si="29"/>
        <v>561</v>
      </c>
    </row>
    <row r="628" spans="1:20">
      <c r="A628" s="301" t="s">
        <v>669</v>
      </c>
      <c r="B628" s="302" t="s">
        <v>245</v>
      </c>
      <c r="C628" s="303" t="s">
        <v>312</v>
      </c>
      <c r="D628" s="304">
        <v>676534152</v>
      </c>
      <c r="E628" s="305">
        <v>9194416232</v>
      </c>
      <c r="F628" s="303" t="s">
        <v>256</v>
      </c>
      <c r="G628" s="306">
        <v>41202</v>
      </c>
      <c r="H628" s="307" t="str">
        <f t="shared" si="27"/>
        <v>October</v>
      </c>
      <c r="I628" s="308">
        <f t="shared" ca="1" si="28"/>
        <v>4</v>
      </c>
      <c r="J628" s="308" t="s">
        <v>257</v>
      </c>
      <c r="K628" s="309">
        <v>23280</v>
      </c>
      <c r="L628" s="310">
        <v>1</v>
      </c>
      <c r="Q628" s="264" t="s">
        <v>2510</v>
      </c>
      <c r="R628" s="265">
        <v>41933</v>
      </c>
      <c r="S628" s="265">
        <v>42865</v>
      </c>
      <c r="T628" s="39">
        <f t="shared" si="29"/>
        <v>932</v>
      </c>
    </row>
    <row r="629" spans="1:20">
      <c r="A629" s="291" t="s">
        <v>358</v>
      </c>
      <c r="B629" s="292" t="s">
        <v>280</v>
      </c>
      <c r="C629" s="293" t="s">
        <v>465</v>
      </c>
      <c r="D629" s="294">
        <v>969216994</v>
      </c>
      <c r="E629" s="295">
        <v>2528973095</v>
      </c>
      <c r="F629" s="293" t="s">
        <v>247</v>
      </c>
      <c r="G629" s="296">
        <v>37193</v>
      </c>
      <c r="H629" s="297" t="str">
        <f t="shared" si="27"/>
        <v>October</v>
      </c>
      <c r="I629" s="298">
        <f t="shared" ca="1" si="28"/>
        <v>15</v>
      </c>
      <c r="J629" s="298"/>
      <c r="K629" s="299">
        <v>25130</v>
      </c>
      <c r="L629" s="300">
        <v>5</v>
      </c>
      <c r="Q629" s="264" t="s">
        <v>2509</v>
      </c>
      <c r="R629" s="265">
        <v>42012</v>
      </c>
      <c r="S629" s="265">
        <v>42844</v>
      </c>
      <c r="T629" s="39">
        <f t="shared" si="29"/>
        <v>832</v>
      </c>
    </row>
    <row r="630" spans="1:20">
      <c r="A630" s="301" t="s">
        <v>1011</v>
      </c>
      <c r="B630" s="302" t="s">
        <v>280</v>
      </c>
      <c r="C630" s="303" t="s">
        <v>856</v>
      </c>
      <c r="D630" s="304">
        <v>619456809</v>
      </c>
      <c r="E630" s="305">
        <v>9196865606</v>
      </c>
      <c r="F630" s="303" t="s">
        <v>261</v>
      </c>
      <c r="G630" s="306">
        <v>36752</v>
      </c>
      <c r="H630" s="307" t="str">
        <f t="shared" si="27"/>
        <v>August</v>
      </c>
      <c r="I630" s="308">
        <f t="shared" ca="1" si="28"/>
        <v>16</v>
      </c>
      <c r="J630" s="308" t="s">
        <v>267</v>
      </c>
      <c r="K630" s="309">
        <v>39530</v>
      </c>
      <c r="L630" s="310">
        <v>5</v>
      </c>
      <c r="Q630" s="264" t="s">
        <v>2508</v>
      </c>
      <c r="R630" s="265">
        <v>42310</v>
      </c>
      <c r="S630" s="265">
        <v>42827</v>
      </c>
      <c r="T630" s="39">
        <f t="shared" si="29"/>
        <v>517</v>
      </c>
    </row>
    <row r="631" spans="1:20">
      <c r="A631" s="291" t="s">
        <v>1012</v>
      </c>
      <c r="B631" s="292" t="s">
        <v>271</v>
      </c>
      <c r="C631" s="293" t="s">
        <v>465</v>
      </c>
      <c r="D631" s="294">
        <v>962553692</v>
      </c>
      <c r="E631" s="295">
        <v>9196689962</v>
      </c>
      <c r="F631" s="293" t="s">
        <v>256</v>
      </c>
      <c r="G631" s="296">
        <v>36066</v>
      </c>
      <c r="H631" s="297" t="str">
        <f t="shared" si="27"/>
        <v>September</v>
      </c>
      <c r="I631" s="298">
        <f t="shared" ca="1" si="28"/>
        <v>18</v>
      </c>
      <c r="J631" s="298" t="s">
        <v>283</v>
      </c>
      <c r="K631" s="299">
        <v>86260</v>
      </c>
      <c r="L631" s="300">
        <v>3</v>
      </c>
      <c r="Q631" s="264" t="s">
        <v>2507</v>
      </c>
      <c r="R631" s="265">
        <v>42034</v>
      </c>
      <c r="S631" s="265">
        <v>42849</v>
      </c>
      <c r="T631" s="39">
        <f t="shared" si="29"/>
        <v>815</v>
      </c>
    </row>
    <row r="632" spans="1:20">
      <c r="A632" s="301" t="s">
        <v>742</v>
      </c>
      <c r="B632" s="302" t="s">
        <v>285</v>
      </c>
      <c r="C632" s="303" t="s">
        <v>678</v>
      </c>
      <c r="D632" s="304">
        <v>802700229</v>
      </c>
      <c r="E632" s="305">
        <v>2524264889</v>
      </c>
      <c r="F632" s="303" t="s">
        <v>256</v>
      </c>
      <c r="G632" s="306">
        <v>34814</v>
      </c>
      <c r="H632" s="307" t="str">
        <f t="shared" si="27"/>
        <v>April</v>
      </c>
      <c r="I632" s="308">
        <f t="shared" ca="1" si="28"/>
        <v>21</v>
      </c>
      <c r="J632" s="308" t="s">
        <v>262</v>
      </c>
      <c r="K632" s="309">
        <v>87980</v>
      </c>
      <c r="L632" s="310">
        <v>1</v>
      </c>
      <c r="Q632" s="264" t="s">
        <v>2506</v>
      </c>
      <c r="R632" s="265">
        <v>42049</v>
      </c>
      <c r="S632" s="265">
        <v>43018</v>
      </c>
      <c r="T632" s="39">
        <f t="shared" si="29"/>
        <v>969</v>
      </c>
    </row>
    <row r="633" spans="1:20">
      <c r="A633" s="291" t="s">
        <v>597</v>
      </c>
      <c r="B633" s="292" t="s">
        <v>271</v>
      </c>
      <c r="C633" s="293" t="s">
        <v>272</v>
      </c>
      <c r="D633" s="294">
        <v>638271383</v>
      </c>
      <c r="E633" s="295">
        <v>2521641031</v>
      </c>
      <c r="F633" s="293" t="s">
        <v>256</v>
      </c>
      <c r="G633" s="296">
        <v>39052</v>
      </c>
      <c r="H633" s="297" t="str">
        <f t="shared" si="27"/>
        <v>December</v>
      </c>
      <c r="I633" s="298">
        <f t="shared" ca="1" si="28"/>
        <v>9</v>
      </c>
      <c r="J633" s="298" t="s">
        <v>257</v>
      </c>
      <c r="K633" s="299">
        <v>49350</v>
      </c>
      <c r="L633" s="300">
        <v>4</v>
      </c>
      <c r="Q633" s="264" t="s">
        <v>2505</v>
      </c>
      <c r="R633" s="265">
        <v>41600</v>
      </c>
      <c r="S633" s="265">
        <v>42075</v>
      </c>
      <c r="T633" s="39">
        <f t="shared" si="29"/>
        <v>475</v>
      </c>
    </row>
    <row r="634" spans="1:20">
      <c r="A634" s="301" t="s">
        <v>598</v>
      </c>
      <c r="B634" s="302" t="s">
        <v>285</v>
      </c>
      <c r="C634" s="303" t="s">
        <v>456</v>
      </c>
      <c r="D634" s="304">
        <v>771953685</v>
      </c>
      <c r="E634" s="305">
        <v>2526739978</v>
      </c>
      <c r="F634" s="303" t="s">
        <v>252</v>
      </c>
      <c r="G634" s="306">
        <v>38856</v>
      </c>
      <c r="H634" s="307" t="str">
        <f t="shared" si="27"/>
        <v>May</v>
      </c>
      <c r="I634" s="308">
        <f t="shared" ca="1" si="28"/>
        <v>10</v>
      </c>
      <c r="J634" s="308" t="s">
        <v>257</v>
      </c>
      <c r="K634" s="309">
        <v>85130</v>
      </c>
      <c r="L634" s="310">
        <v>5</v>
      </c>
      <c r="Q634" s="264" t="s">
        <v>2504</v>
      </c>
      <c r="R634" s="265">
        <v>41703</v>
      </c>
      <c r="S634" s="265">
        <v>41960</v>
      </c>
      <c r="T634" s="39">
        <f t="shared" si="29"/>
        <v>257</v>
      </c>
    </row>
    <row r="635" spans="1:20">
      <c r="A635" s="291" t="s">
        <v>599</v>
      </c>
      <c r="B635" s="292" t="s">
        <v>285</v>
      </c>
      <c r="C635" s="293" t="s">
        <v>626</v>
      </c>
      <c r="D635" s="294">
        <v>422957475</v>
      </c>
      <c r="E635" s="295">
        <v>2524273090</v>
      </c>
      <c r="F635" s="293" t="s">
        <v>256</v>
      </c>
      <c r="G635" s="296">
        <v>35087</v>
      </c>
      <c r="H635" s="297" t="str">
        <f t="shared" si="27"/>
        <v>January</v>
      </c>
      <c r="I635" s="298">
        <f t="shared" ca="1" si="28"/>
        <v>20</v>
      </c>
      <c r="J635" s="298" t="s">
        <v>283</v>
      </c>
      <c r="K635" s="299">
        <v>65250</v>
      </c>
      <c r="L635" s="300">
        <v>2</v>
      </c>
      <c r="Q635" s="264" t="s">
        <v>2503</v>
      </c>
      <c r="R635" s="265">
        <v>41607</v>
      </c>
      <c r="S635" s="265">
        <v>42269</v>
      </c>
      <c r="T635" s="39">
        <f t="shared" si="29"/>
        <v>662</v>
      </c>
    </row>
    <row r="636" spans="1:20">
      <c r="A636" s="301" t="s">
        <v>600</v>
      </c>
      <c r="B636" s="302" t="s">
        <v>280</v>
      </c>
      <c r="C636" s="303" t="s">
        <v>465</v>
      </c>
      <c r="D636" s="304">
        <v>312019803</v>
      </c>
      <c r="E636" s="305">
        <v>9197961953</v>
      </c>
      <c r="F636" s="303" t="s">
        <v>256</v>
      </c>
      <c r="G636" s="306">
        <v>38139</v>
      </c>
      <c r="H636" s="307" t="str">
        <f t="shared" si="27"/>
        <v>June</v>
      </c>
      <c r="I636" s="308">
        <f t="shared" ca="1" si="28"/>
        <v>12</v>
      </c>
      <c r="J636" s="308" t="s">
        <v>283</v>
      </c>
      <c r="K636" s="309">
        <v>25310</v>
      </c>
      <c r="L636" s="310">
        <v>4</v>
      </c>
      <c r="Q636" s="264" t="s">
        <v>2502</v>
      </c>
      <c r="R636" s="265">
        <v>41495</v>
      </c>
      <c r="S636" s="265">
        <v>41852</v>
      </c>
      <c r="T636" s="39">
        <f t="shared" si="29"/>
        <v>357</v>
      </c>
    </row>
    <row r="637" spans="1:20">
      <c r="A637" s="291" t="s">
        <v>1013</v>
      </c>
      <c r="B637" s="292" t="s">
        <v>285</v>
      </c>
      <c r="C637" s="293" t="s">
        <v>465</v>
      </c>
      <c r="D637" s="294">
        <v>559376297</v>
      </c>
      <c r="E637" s="295">
        <v>9194888110</v>
      </c>
      <c r="F637" s="293" t="s">
        <v>256</v>
      </c>
      <c r="G637" s="296">
        <v>37341</v>
      </c>
      <c r="H637" s="297" t="str">
        <f t="shared" si="27"/>
        <v>March</v>
      </c>
      <c r="I637" s="298">
        <f t="shared" ca="1" si="28"/>
        <v>14</v>
      </c>
      <c r="J637" s="298" t="s">
        <v>257</v>
      </c>
      <c r="K637" s="299">
        <v>35820</v>
      </c>
      <c r="L637" s="300">
        <v>2</v>
      </c>
      <c r="Q637" s="264" t="s">
        <v>2501</v>
      </c>
      <c r="R637" s="265">
        <v>40913</v>
      </c>
      <c r="S637" s="265">
        <v>41504</v>
      </c>
      <c r="T637" s="39">
        <f t="shared" si="29"/>
        <v>591</v>
      </c>
    </row>
    <row r="638" spans="1:20">
      <c r="A638" s="301" t="s">
        <v>839</v>
      </c>
      <c r="B638" s="302" t="s">
        <v>271</v>
      </c>
      <c r="C638" s="303" t="s">
        <v>312</v>
      </c>
      <c r="D638" s="304">
        <v>147261161</v>
      </c>
      <c r="E638" s="305">
        <v>9197692593</v>
      </c>
      <c r="F638" s="303" t="s">
        <v>256</v>
      </c>
      <c r="G638" s="306">
        <v>35742</v>
      </c>
      <c r="H638" s="307" t="str">
        <f t="shared" si="27"/>
        <v>November</v>
      </c>
      <c r="I638" s="308">
        <f t="shared" ca="1" si="28"/>
        <v>19</v>
      </c>
      <c r="J638" s="308" t="s">
        <v>257</v>
      </c>
      <c r="K638" s="309">
        <v>31910</v>
      </c>
      <c r="L638" s="310">
        <v>5</v>
      </c>
      <c r="Q638" s="264" t="s">
        <v>2500</v>
      </c>
      <c r="R638" s="265">
        <v>42279</v>
      </c>
      <c r="S638" s="265">
        <v>42907</v>
      </c>
      <c r="T638" s="39">
        <f t="shared" si="29"/>
        <v>628</v>
      </c>
    </row>
    <row r="639" spans="1:20">
      <c r="A639" s="291" t="s">
        <v>917</v>
      </c>
      <c r="B639" s="292" t="s">
        <v>251</v>
      </c>
      <c r="C639" s="293" t="s">
        <v>1031</v>
      </c>
      <c r="D639" s="294">
        <v>383616821</v>
      </c>
      <c r="E639" s="295">
        <v>2524989537</v>
      </c>
      <c r="F639" s="293" t="s">
        <v>256</v>
      </c>
      <c r="G639" s="296">
        <v>41294</v>
      </c>
      <c r="H639" s="297" t="str">
        <f t="shared" si="27"/>
        <v>January</v>
      </c>
      <c r="I639" s="298">
        <f t="shared" ca="1" si="28"/>
        <v>3</v>
      </c>
      <c r="J639" s="298" t="s">
        <v>257</v>
      </c>
      <c r="K639" s="299">
        <v>46680</v>
      </c>
      <c r="L639" s="300">
        <v>1</v>
      </c>
      <c r="Q639" s="264" t="s">
        <v>2499</v>
      </c>
      <c r="R639" s="265">
        <v>41375</v>
      </c>
      <c r="S639" s="265">
        <v>41703</v>
      </c>
      <c r="T639" s="39">
        <f t="shared" si="29"/>
        <v>328</v>
      </c>
    </row>
    <row r="640" spans="1:20">
      <c r="A640" s="301" t="s">
        <v>840</v>
      </c>
      <c r="B640" s="302" t="s">
        <v>245</v>
      </c>
      <c r="C640" s="303" t="s">
        <v>417</v>
      </c>
      <c r="D640" s="304">
        <v>932787692</v>
      </c>
      <c r="E640" s="305">
        <v>2522612740</v>
      </c>
      <c r="F640" s="303" t="s">
        <v>247</v>
      </c>
      <c r="G640" s="306">
        <v>35071</v>
      </c>
      <c r="H640" s="307" t="str">
        <f t="shared" si="27"/>
        <v>January</v>
      </c>
      <c r="I640" s="308">
        <f t="shared" ca="1" si="28"/>
        <v>20</v>
      </c>
      <c r="J640" s="308"/>
      <c r="K640" s="309">
        <v>64090</v>
      </c>
      <c r="L640" s="310">
        <v>2</v>
      </c>
      <c r="Q640" s="264" t="s">
        <v>2498</v>
      </c>
      <c r="R640" s="265">
        <v>41815</v>
      </c>
      <c r="S640" s="265">
        <v>42533</v>
      </c>
      <c r="T640" s="39">
        <f t="shared" si="29"/>
        <v>718</v>
      </c>
    </row>
    <row r="641" spans="1:20">
      <c r="A641" s="291" t="s">
        <v>1014</v>
      </c>
      <c r="B641" s="292" t="s">
        <v>271</v>
      </c>
      <c r="C641" s="293" t="s">
        <v>678</v>
      </c>
      <c r="D641" s="294">
        <v>797431044</v>
      </c>
      <c r="E641" s="295">
        <v>2523820613</v>
      </c>
      <c r="F641" s="293" t="s">
        <v>252</v>
      </c>
      <c r="G641" s="296">
        <v>36994</v>
      </c>
      <c r="H641" s="297" t="str">
        <f t="shared" si="27"/>
        <v>April</v>
      </c>
      <c r="I641" s="298">
        <f t="shared" ca="1" si="28"/>
        <v>15</v>
      </c>
      <c r="J641" s="298"/>
      <c r="K641" s="299">
        <v>21668</v>
      </c>
      <c r="L641" s="300">
        <v>4</v>
      </c>
      <c r="Q641" s="264" t="s">
        <v>2497</v>
      </c>
      <c r="R641" s="265">
        <v>41456</v>
      </c>
      <c r="S641" s="265">
        <v>41981</v>
      </c>
      <c r="T641" s="39">
        <f t="shared" si="29"/>
        <v>525</v>
      </c>
    </row>
    <row r="642" spans="1:20">
      <c r="A642" s="301" t="s">
        <v>670</v>
      </c>
      <c r="B642" s="302" t="s">
        <v>271</v>
      </c>
      <c r="C642" s="303" t="s">
        <v>391</v>
      </c>
      <c r="D642" s="304">
        <v>690374765</v>
      </c>
      <c r="E642" s="305">
        <v>2525786813</v>
      </c>
      <c r="F642" s="303" t="s">
        <v>256</v>
      </c>
      <c r="G642" s="306">
        <v>34523</v>
      </c>
      <c r="H642" s="307" t="str">
        <f t="shared" si="27"/>
        <v>July</v>
      </c>
      <c r="I642" s="308">
        <f t="shared" ca="1" si="28"/>
        <v>22</v>
      </c>
      <c r="J642" s="308" t="s">
        <v>267</v>
      </c>
      <c r="K642" s="309">
        <v>82500</v>
      </c>
      <c r="L642" s="310">
        <v>5</v>
      </c>
      <c r="Q642" s="264" t="s">
        <v>2496</v>
      </c>
      <c r="R642" s="265">
        <v>42020</v>
      </c>
      <c r="S642" s="265">
        <v>42325</v>
      </c>
      <c r="T642" s="39">
        <f t="shared" si="29"/>
        <v>305</v>
      </c>
    </row>
    <row r="643" spans="1:20">
      <c r="A643" s="291" t="s">
        <v>287</v>
      </c>
      <c r="B643" s="292" t="s">
        <v>285</v>
      </c>
      <c r="C643" s="293" t="s">
        <v>465</v>
      </c>
      <c r="D643" s="294">
        <v>249929042</v>
      </c>
      <c r="E643" s="295">
        <v>2525790872</v>
      </c>
      <c r="F643" s="293" t="s">
        <v>256</v>
      </c>
      <c r="G643" s="296">
        <v>39574</v>
      </c>
      <c r="H643" s="297" t="str">
        <f t="shared" si="27"/>
        <v>May</v>
      </c>
      <c r="I643" s="298">
        <f t="shared" ca="1" si="28"/>
        <v>8</v>
      </c>
      <c r="J643" s="298" t="s">
        <v>257</v>
      </c>
      <c r="K643" s="299">
        <v>61060</v>
      </c>
      <c r="L643" s="300">
        <v>5</v>
      </c>
      <c r="Q643" s="264" t="s">
        <v>2495</v>
      </c>
      <c r="R643" s="265">
        <v>41214</v>
      </c>
      <c r="S643" s="265">
        <v>42085</v>
      </c>
      <c r="T643" s="39">
        <f t="shared" si="29"/>
        <v>871</v>
      </c>
    </row>
    <row r="644" spans="1:20">
      <c r="A644" s="301" t="s">
        <v>601</v>
      </c>
      <c r="B644" s="302" t="s">
        <v>285</v>
      </c>
      <c r="C644" s="303" t="s">
        <v>465</v>
      </c>
      <c r="D644" s="304">
        <v>542653222</v>
      </c>
      <c r="E644" s="305">
        <v>9193708610</v>
      </c>
      <c r="F644" s="303" t="s">
        <v>247</v>
      </c>
      <c r="G644" s="306">
        <v>36907</v>
      </c>
      <c r="H644" s="307" t="str">
        <f t="shared" si="27"/>
        <v>January</v>
      </c>
      <c r="I644" s="308">
        <f t="shared" ca="1" si="28"/>
        <v>15</v>
      </c>
      <c r="J644" s="308"/>
      <c r="K644" s="309">
        <v>72520</v>
      </c>
      <c r="L644" s="310">
        <v>3</v>
      </c>
      <c r="Q644" s="264" t="s">
        <v>2494</v>
      </c>
      <c r="R644" s="265">
        <v>40936</v>
      </c>
      <c r="S644" s="265">
        <v>41462</v>
      </c>
      <c r="T644" s="39">
        <f t="shared" si="29"/>
        <v>526</v>
      </c>
    </row>
    <row r="645" spans="1:20">
      <c r="A645" s="291" t="s">
        <v>841</v>
      </c>
      <c r="B645" s="292" t="s">
        <v>285</v>
      </c>
      <c r="C645" s="293" t="s">
        <v>750</v>
      </c>
      <c r="D645" s="294">
        <v>174483231</v>
      </c>
      <c r="E645" s="295">
        <v>9196733291</v>
      </c>
      <c r="F645" s="293" t="s">
        <v>256</v>
      </c>
      <c r="G645" s="296">
        <v>34096</v>
      </c>
      <c r="H645" s="297" t="str">
        <f t="shared" si="27"/>
        <v>May</v>
      </c>
      <c r="I645" s="298">
        <f t="shared" ca="1" si="28"/>
        <v>23</v>
      </c>
      <c r="J645" s="298" t="s">
        <v>257</v>
      </c>
      <c r="K645" s="299">
        <v>40940</v>
      </c>
      <c r="L645" s="300">
        <v>3</v>
      </c>
      <c r="Q645" s="264" t="s">
        <v>2493</v>
      </c>
      <c r="R645" s="265">
        <v>41494</v>
      </c>
      <c r="S645" s="265">
        <v>42352</v>
      </c>
      <c r="T645" s="39">
        <f t="shared" si="29"/>
        <v>858</v>
      </c>
    </row>
    <row r="646" spans="1:20">
      <c r="A646" s="301" t="s">
        <v>359</v>
      </c>
      <c r="B646" s="302" t="s">
        <v>285</v>
      </c>
      <c r="C646" s="303" t="s">
        <v>750</v>
      </c>
      <c r="D646" s="304">
        <v>285295419</v>
      </c>
      <c r="E646" s="305">
        <v>9197904981</v>
      </c>
      <c r="F646" s="303" t="s">
        <v>252</v>
      </c>
      <c r="G646" s="306">
        <v>34068</v>
      </c>
      <c r="H646" s="307" t="str">
        <f t="shared" ref="H646:H709" si="30">CHOOSE(MONTH(G646),"January","February","March","April","May","June","July","August","September","October","November","December")</f>
        <v>April</v>
      </c>
      <c r="I646" s="308">
        <f t="shared" ref="I646:I709" ca="1" si="31">DATEDIF(G646,TODAY(),"Y")</f>
        <v>23</v>
      </c>
      <c r="J646" s="308"/>
      <c r="K646" s="309">
        <v>33232</v>
      </c>
      <c r="L646" s="310">
        <v>4</v>
      </c>
      <c r="Q646" s="264" t="s">
        <v>2492</v>
      </c>
      <c r="R646" s="265">
        <v>41248</v>
      </c>
      <c r="S646" s="265">
        <v>41773</v>
      </c>
      <c r="T646" s="39">
        <f t="shared" ref="T646:T709" si="32">DATEDIF(R646,S646,"d")</f>
        <v>525</v>
      </c>
    </row>
    <row r="647" spans="1:20">
      <c r="A647" s="291" t="s">
        <v>671</v>
      </c>
      <c r="B647" s="292" t="s">
        <v>280</v>
      </c>
      <c r="C647" s="293" t="s">
        <v>626</v>
      </c>
      <c r="D647" s="294">
        <v>279097202</v>
      </c>
      <c r="E647" s="295">
        <v>9196844371</v>
      </c>
      <c r="F647" s="293" t="s">
        <v>256</v>
      </c>
      <c r="G647" s="296">
        <v>34157</v>
      </c>
      <c r="H647" s="297" t="str">
        <f t="shared" si="30"/>
        <v>July</v>
      </c>
      <c r="I647" s="298">
        <f t="shared" ca="1" si="31"/>
        <v>23</v>
      </c>
      <c r="J647" s="298" t="s">
        <v>257</v>
      </c>
      <c r="K647" s="299">
        <v>62740</v>
      </c>
      <c r="L647" s="300">
        <v>4</v>
      </c>
      <c r="Q647" s="264" t="s">
        <v>2491</v>
      </c>
      <c r="R647" s="265">
        <v>41626</v>
      </c>
      <c r="S647" s="265">
        <v>41960</v>
      </c>
      <c r="T647" s="39">
        <f t="shared" si="32"/>
        <v>334</v>
      </c>
    </row>
    <row r="648" spans="1:20">
      <c r="A648" s="301" t="s">
        <v>702</v>
      </c>
      <c r="B648" s="302" t="s">
        <v>285</v>
      </c>
      <c r="C648" s="303" t="s">
        <v>417</v>
      </c>
      <c r="D648" s="304">
        <v>110184347</v>
      </c>
      <c r="E648" s="305">
        <v>2526166452</v>
      </c>
      <c r="F648" s="303" t="s">
        <v>256</v>
      </c>
      <c r="G648" s="306">
        <v>36163</v>
      </c>
      <c r="H648" s="307" t="str">
        <f t="shared" si="30"/>
        <v>January</v>
      </c>
      <c r="I648" s="308">
        <f t="shared" ca="1" si="31"/>
        <v>17</v>
      </c>
      <c r="J648" s="308" t="s">
        <v>257</v>
      </c>
      <c r="K648" s="309">
        <v>63780</v>
      </c>
      <c r="L648" s="310">
        <v>5</v>
      </c>
      <c r="Q648" s="264" t="s">
        <v>2490</v>
      </c>
      <c r="R648" s="265">
        <v>41281</v>
      </c>
      <c r="S648" s="265">
        <v>41976</v>
      </c>
      <c r="T648" s="39">
        <f t="shared" si="32"/>
        <v>695</v>
      </c>
    </row>
    <row r="649" spans="1:20">
      <c r="A649" s="291" t="s">
        <v>918</v>
      </c>
      <c r="B649" s="292" t="s">
        <v>280</v>
      </c>
      <c r="C649" s="293" t="s">
        <v>767</v>
      </c>
      <c r="D649" s="294">
        <v>451159170</v>
      </c>
      <c r="E649" s="295">
        <v>2522604602</v>
      </c>
      <c r="F649" s="293" t="s">
        <v>261</v>
      </c>
      <c r="G649" s="296">
        <v>36736</v>
      </c>
      <c r="H649" s="297" t="str">
        <f t="shared" si="30"/>
        <v>July</v>
      </c>
      <c r="I649" s="298">
        <f t="shared" ca="1" si="31"/>
        <v>16</v>
      </c>
      <c r="J649" s="298" t="s">
        <v>257</v>
      </c>
      <c r="K649" s="299">
        <v>31205</v>
      </c>
      <c r="L649" s="300">
        <v>2</v>
      </c>
      <c r="Q649" s="264" t="s">
        <v>2489</v>
      </c>
      <c r="R649" s="265">
        <v>42156</v>
      </c>
      <c r="S649" s="265">
        <v>42658</v>
      </c>
      <c r="T649" s="39">
        <f t="shared" si="32"/>
        <v>502</v>
      </c>
    </row>
    <row r="650" spans="1:20">
      <c r="A650" s="301" t="s">
        <v>1015</v>
      </c>
      <c r="B650" s="302" t="s">
        <v>245</v>
      </c>
      <c r="C650" s="303" t="s">
        <v>296</v>
      </c>
      <c r="D650" s="304">
        <v>460412180</v>
      </c>
      <c r="E650" s="305">
        <v>9196822349</v>
      </c>
      <c r="F650" s="303" t="s">
        <v>256</v>
      </c>
      <c r="G650" s="306">
        <v>41016</v>
      </c>
      <c r="H650" s="307" t="str">
        <f t="shared" si="30"/>
        <v>April</v>
      </c>
      <c r="I650" s="308">
        <f t="shared" ca="1" si="31"/>
        <v>4</v>
      </c>
      <c r="J650" s="308" t="s">
        <v>262</v>
      </c>
      <c r="K650" s="309">
        <v>51180</v>
      </c>
      <c r="L650" s="310">
        <v>3</v>
      </c>
      <c r="Q650" s="264" t="s">
        <v>2488</v>
      </c>
      <c r="R650" s="265">
        <v>41748</v>
      </c>
      <c r="S650" s="265">
        <v>42143</v>
      </c>
      <c r="T650" s="39">
        <f t="shared" si="32"/>
        <v>395</v>
      </c>
    </row>
    <row r="651" spans="1:20">
      <c r="A651" s="291" t="s">
        <v>602</v>
      </c>
      <c r="B651" s="292" t="s">
        <v>285</v>
      </c>
      <c r="C651" s="293" t="s">
        <v>856</v>
      </c>
      <c r="D651" s="294">
        <v>351003584</v>
      </c>
      <c r="E651" s="295">
        <v>2524269081</v>
      </c>
      <c r="F651" s="293" t="s">
        <v>247</v>
      </c>
      <c r="G651" s="296">
        <v>37124</v>
      </c>
      <c r="H651" s="297" t="str">
        <f t="shared" si="30"/>
        <v>August</v>
      </c>
      <c r="I651" s="298">
        <f t="shared" ca="1" si="31"/>
        <v>15</v>
      </c>
      <c r="J651" s="298"/>
      <c r="K651" s="299">
        <v>53310</v>
      </c>
      <c r="L651" s="300">
        <v>5</v>
      </c>
      <c r="Q651" s="264" t="s">
        <v>2487</v>
      </c>
      <c r="R651" s="265">
        <v>41635</v>
      </c>
      <c r="S651" s="265">
        <v>41788</v>
      </c>
      <c r="T651" s="39">
        <f t="shared" si="32"/>
        <v>153</v>
      </c>
    </row>
    <row r="652" spans="1:20">
      <c r="A652" s="301" t="s">
        <v>378</v>
      </c>
      <c r="B652" s="302" t="s">
        <v>285</v>
      </c>
      <c r="C652" s="303" t="s">
        <v>465</v>
      </c>
      <c r="D652" s="304">
        <v>319449613</v>
      </c>
      <c r="E652" s="305">
        <v>2523454032</v>
      </c>
      <c r="F652" s="303" t="s">
        <v>256</v>
      </c>
      <c r="G652" s="306">
        <v>37242</v>
      </c>
      <c r="H652" s="307" t="str">
        <f t="shared" si="30"/>
        <v>December</v>
      </c>
      <c r="I652" s="308">
        <f t="shared" ca="1" si="31"/>
        <v>14</v>
      </c>
      <c r="J652" s="308" t="s">
        <v>267</v>
      </c>
      <c r="K652" s="309">
        <v>37760</v>
      </c>
      <c r="L652" s="310">
        <v>2</v>
      </c>
      <c r="Q652" s="264" t="s">
        <v>2486</v>
      </c>
      <c r="R652" s="265">
        <v>42158</v>
      </c>
      <c r="S652" s="265">
        <v>42788</v>
      </c>
      <c r="T652" s="39">
        <f t="shared" si="32"/>
        <v>630</v>
      </c>
    </row>
    <row r="653" spans="1:20">
      <c r="A653" s="291" t="s">
        <v>360</v>
      </c>
      <c r="B653" s="292" t="s">
        <v>245</v>
      </c>
      <c r="C653" s="293" t="s">
        <v>856</v>
      </c>
      <c r="D653" s="294">
        <v>288741910</v>
      </c>
      <c r="E653" s="295">
        <v>2522842668</v>
      </c>
      <c r="F653" s="293" t="s">
        <v>256</v>
      </c>
      <c r="G653" s="296">
        <v>37270</v>
      </c>
      <c r="H653" s="297" t="str">
        <f t="shared" si="30"/>
        <v>January</v>
      </c>
      <c r="I653" s="298">
        <f t="shared" ca="1" si="31"/>
        <v>14</v>
      </c>
      <c r="J653" s="298" t="s">
        <v>283</v>
      </c>
      <c r="K653" s="299">
        <v>67020</v>
      </c>
      <c r="L653" s="300">
        <v>1</v>
      </c>
      <c r="Q653" s="264" t="s">
        <v>2485</v>
      </c>
      <c r="R653" s="265">
        <v>41248</v>
      </c>
      <c r="S653" s="265">
        <v>41724</v>
      </c>
      <c r="T653" s="39">
        <f t="shared" si="32"/>
        <v>476</v>
      </c>
    </row>
    <row r="654" spans="1:20">
      <c r="A654" s="301" t="s">
        <v>288</v>
      </c>
      <c r="B654" s="302" t="s">
        <v>271</v>
      </c>
      <c r="C654" s="303" t="s">
        <v>417</v>
      </c>
      <c r="D654" s="304">
        <v>622274162</v>
      </c>
      <c r="E654" s="305">
        <v>9191264786</v>
      </c>
      <c r="F654" s="303" t="s">
        <v>247</v>
      </c>
      <c r="G654" s="306">
        <v>35681</v>
      </c>
      <c r="H654" s="307" t="str">
        <f t="shared" si="30"/>
        <v>September</v>
      </c>
      <c r="I654" s="308">
        <f t="shared" ca="1" si="31"/>
        <v>19</v>
      </c>
      <c r="J654" s="308"/>
      <c r="K654" s="309">
        <v>26360</v>
      </c>
      <c r="L654" s="310">
        <v>4</v>
      </c>
      <c r="Q654" s="264" t="s">
        <v>2484</v>
      </c>
      <c r="R654" s="265">
        <v>41124</v>
      </c>
      <c r="S654" s="265">
        <v>41610</v>
      </c>
      <c r="T654" s="39">
        <f t="shared" si="32"/>
        <v>486</v>
      </c>
    </row>
    <row r="655" spans="1:20">
      <c r="A655" s="291" t="s">
        <v>919</v>
      </c>
      <c r="B655" s="292" t="s">
        <v>266</v>
      </c>
      <c r="C655" s="293" t="s">
        <v>678</v>
      </c>
      <c r="D655" s="294">
        <v>917195248</v>
      </c>
      <c r="E655" s="295">
        <v>9194605984</v>
      </c>
      <c r="F655" s="293" t="s">
        <v>252</v>
      </c>
      <c r="G655" s="296">
        <v>38737</v>
      </c>
      <c r="H655" s="297" t="str">
        <f t="shared" si="30"/>
        <v>January</v>
      </c>
      <c r="I655" s="298">
        <f t="shared" ca="1" si="31"/>
        <v>10</v>
      </c>
      <c r="J655" s="298"/>
      <c r="K655" s="299">
        <v>11044</v>
      </c>
      <c r="L655" s="300">
        <v>2</v>
      </c>
      <c r="Q655" s="264" t="s">
        <v>2483</v>
      </c>
      <c r="R655" s="265">
        <v>41054</v>
      </c>
      <c r="S655" s="265">
        <v>41383</v>
      </c>
      <c r="T655" s="39">
        <f t="shared" si="32"/>
        <v>329</v>
      </c>
    </row>
    <row r="656" spans="1:20">
      <c r="A656" s="301" t="s">
        <v>603</v>
      </c>
      <c r="B656" s="302" t="s">
        <v>285</v>
      </c>
      <c r="C656" s="303" t="s">
        <v>391</v>
      </c>
      <c r="D656" s="304">
        <v>685953695</v>
      </c>
      <c r="E656" s="305">
        <v>9196756847</v>
      </c>
      <c r="F656" s="303" t="s">
        <v>256</v>
      </c>
      <c r="G656" s="306">
        <v>34733</v>
      </c>
      <c r="H656" s="307" t="str">
        <f t="shared" si="30"/>
        <v>February</v>
      </c>
      <c r="I656" s="308">
        <f t="shared" ca="1" si="31"/>
        <v>21</v>
      </c>
      <c r="J656" s="308" t="s">
        <v>283</v>
      </c>
      <c r="K656" s="309">
        <v>82760</v>
      </c>
      <c r="L656" s="310">
        <v>4</v>
      </c>
      <c r="Q656" s="264" t="s">
        <v>2482</v>
      </c>
      <c r="R656" s="265">
        <v>41592</v>
      </c>
      <c r="S656" s="265">
        <v>42379</v>
      </c>
      <c r="T656" s="39">
        <f t="shared" si="32"/>
        <v>787</v>
      </c>
    </row>
    <row r="657" spans="1:20">
      <c r="A657" s="291" t="s">
        <v>604</v>
      </c>
      <c r="B657" s="292" t="s">
        <v>266</v>
      </c>
      <c r="C657" s="293" t="s">
        <v>618</v>
      </c>
      <c r="D657" s="294">
        <v>380343690</v>
      </c>
      <c r="E657" s="295">
        <v>2523906310</v>
      </c>
      <c r="F657" s="293" t="s">
        <v>247</v>
      </c>
      <c r="G657" s="296">
        <v>41202</v>
      </c>
      <c r="H657" s="297" t="str">
        <f t="shared" si="30"/>
        <v>October</v>
      </c>
      <c r="I657" s="298">
        <f t="shared" ca="1" si="31"/>
        <v>4</v>
      </c>
      <c r="J657" s="298"/>
      <c r="K657" s="299">
        <v>61890</v>
      </c>
      <c r="L657" s="300">
        <v>2</v>
      </c>
      <c r="Q657" s="264" t="s">
        <v>2481</v>
      </c>
      <c r="R657" s="265">
        <v>41568</v>
      </c>
      <c r="S657" s="265">
        <v>42544</v>
      </c>
      <c r="T657" s="39">
        <f t="shared" si="32"/>
        <v>976</v>
      </c>
    </row>
    <row r="658" spans="1:20">
      <c r="A658" s="301" t="s">
        <v>743</v>
      </c>
      <c r="B658" s="302" t="s">
        <v>245</v>
      </c>
      <c r="C658" s="303" t="s">
        <v>856</v>
      </c>
      <c r="D658" s="304">
        <v>291274360</v>
      </c>
      <c r="E658" s="305">
        <v>2524563177</v>
      </c>
      <c r="F658" s="303" t="s">
        <v>256</v>
      </c>
      <c r="G658" s="306">
        <v>36991</v>
      </c>
      <c r="H658" s="307" t="str">
        <f t="shared" si="30"/>
        <v>April</v>
      </c>
      <c r="I658" s="308">
        <f t="shared" ca="1" si="31"/>
        <v>15</v>
      </c>
      <c r="J658" s="308" t="s">
        <v>283</v>
      </c>
      <c r="K658" s="309">
        <v>67407</v>
      </c>
      <c r="L658" s="310">
        <v>5</v>
      </c>
      <c r="Q658" s="264" t="s">
        <v>2480</v>
      </c>
      <c r="R658" s="265">
        <v>41103</v>
      </c>
      <c r="S658" s="265">
        <v>41917</v>
      </c>
      <c r="T658" s="39">
        <f t="shared" si="32"/>
        <v>814</v>
      </c>
    </row>
    <row r="659" spans="1:20">
      <c r="A659" s="291" t="s">
        <v>361</v>
      </c>
      <c r="B659" s="292" t="s">
        <v>285</v>
      </c>
      <c r="C659" s="293" t="s">
        <v>312</v>
      </c>
      <c r="D659" s="294">
        <v>653843221</v>
      </c>
      <c r="E659" s="295">
        <v>9197713771</v>
      </c>
      <c r="F659" s="293" t="s">
        <v>247</v>
      </c>
      <c r="G659" s="296">
        <v>40869</v>
      </c>
      <c r="H659" s="297" t="str">
        <f t="shared" si="30"/>
        <v>November</v>
      </c>
      <c r="I659" s="298">
        <f t="shared" ca="1" si="31"/>
        <v>4</v>
      </c>
      <c r="J659" s="298"/>
      <c r="K659" s="299">
        <v>79460</v>
      </c>
      <c r="L659" s="300">
        <v>5</v>
      </c>
      <c r="Q659" s="264" t="s">
        <v>2479</v>
      </c>
      <c r="R659" s="265">
        <v>41651</v>
      </c>
      <c r="S659" s="265">
        <v>42492</v>
      </c>
      <c r="T659" s="39">
        <f t="shared" si="32"/>
        <v>841</v>
      </c>
    </row>
    <row r="660" spans="1:20">
      <c r="A660" s="301" t="s">
        <v>1016</v>
      </c>
      <c r="B660" s="302" t="s">
        <v>285</v>
      </c>
      <c r="C660" s="303" t="s">
        <v>626</v>
      </c>
      <c r="D660" s="304">
        <v>157257652</v>
      </c>
      <c r="E660" s="305">
        <v>9193262077</v>
      </c>
      <c r="F660" s="303" t="s">
        <v>247</v>
      </c>
      <c r="G660" s="306">
        <v>37613</v>
      </c>
      <c r="H660" s="307" t="str">
        <f t="shared" si="30"/>
        <v>December</v>
      </c>
      <c r="I660" s="308">
        <f t="shared" ca="1" si="31"/>
        <v>13</v>
      </c>
      <c r="J660" s="308"/>
      <c r="K660" s="309">
        <v>50200</v>
      </c>
      <c r="L660" s="310">
        <v>4</v>
      </c>
      <c r="Q660" s="264" t="s">
        <v>2478</v>
      </c>
      <c r="R660" s="265">
        <v>41904</v>
      </c>
      <c r="S660" s="265">
        <v>42023</v>
      </c>
      <c r="T660" s="39">
        <f t="shared" si="32"/>
        <v>119</v>
      </c>
    </row>
    <row r="661" spans="1:20">
      <c r="A661" s="291" t="s">
        <v>289</v>
      </c>
      <c r="B661" s="292" t="s">
        <v>285</v>
      </c>
      <c r="C661" s="293" t="s">
        <v>465</v>
      </c>
      <c r="D661" s="294">
        <v>399060898</v>
      </c>
      <c r="E661" s="295">
        <v>9195197037</v>
      </c>
      <c r="F661" s="293" t="s">
        <v>247</v>
      </c>
      <c r="G661" s="296">
        <v>39231</v>
      </c>
      <c r="H661" s="297" t="str">
        <f t="shared" si="30"/>
        <v>May</v>
      </c>
      <c r="I661" s="298">
        <f t="shared" ca="1" si="31"/>
        <v>9</v>
      </c>
      <c r="J661" s="298"/>
      <c r="K661" s="299">
        <v>37980</v>
      </c>
      <c r="L661" s="300">
        <v>4</v>
      </c>
      <c r="Q661" s="264" t="s">
        <v>2477</v>
      </c>
      <c r="R661" s="265">
        <v>42055</v>
      </c>
      <c r="S661" s="265">
        <v>43000</v>
      </c>
      <c r="T661" s="39">
        <f t="shared" si="32"/>
        <v>945</v>
      </c>
    </row>
    <row r="662" spans="1:20">
      <c r="A662" s="301" t="s">
        <v>605</v>
      </c>
      <c r="B662" s="302" t="s">
        <v>271</v>
      </c>
      <c r="C662" s="303" t="s">
        <v>856</v>
      </c>
      <c r="D662" s="304">
        <v>562497973</v>
      </c>
      <c r="E662" s="305">
        <v>2524111882</v>
      </c>
      <c r="F662" s="303" t="s">
        <v>256</v>
      </c>
      <c r="G662" s="306">
        <v>36266</v>
      </c>
      <c r="H662" s="307" t="str">
        <f t="shared" si="30"/>
        <v>April</v>
      </c>
      <c r="I662" s="308">
        <f t="shared" ca="1" si="31"/>
        <v>17</v>
      </c>
      <c r="J662" s="308" t="s">
        <v>262</v>
      </c>
      <c r="K662" s="309">
        <v>63030</v>
      </c>
      <c r="L662" s="310">
        <v>1</v>
      </c>
      <c r="Q662" s="264" t="s">
        <v>2476</v>
      </c>
      <c r="R662" s="265">
        <v>41921</v>
      </c>
      <c r="S662" s="265">
        <v>42387</v>
      </c>
      <c r="T662" s="39">
        <f t="shared" si="32"/>
        <v>466</v>
      </c>
    </row>
    <row r="663" spans="1:20">
      <c r="A663" s="291" t="s">
        <v>260</v>
      </c>
      <c r="B663" s="292" t="s">
        <v>285</v>
      </c>
      <c r="C663" s="293" t="s">
        <v>767</v>
      </c>
      <c r="D663" s="294">
        <v>349174221</v>
      </c>
      <c r="E663" s="295">
        <v>2521220758</v>
      </c>
      <c r="F663" s="293" t="s">
        <v>261</v>
      </c>
      <c r="G663" s="296">
        <v>36994</v>
      </c>
      <c r="H663" s="297" t="str">
        <f t="shared" si="30"/>
        <v>April</v>
      </c>
      <c r="I663" s="298">
        <f t="shared" ca="1" si="31"/>
        <v>15</v>
      </c>
      <c r="J663" s="298" t="s">
        <v>262</v>
      </c>
      <c r="K663" s="299">
        <v>45750</v>
      </c>
      <c r="L663" s="300">
        <v>5</v>
      </c>
      <c r="Q663" s="264" t="s">
        <v>2475</v>
      </c>
      <c r="R663" s="265">
        <v>41658</v>
      </c>
      <c r="S663" s="265">
        <v>41992</v>
      </c>
      <c r="T663" s="39">
        <f t="shared" si="32"/>
        <v>334</v>
      </c>
    </row>
    <row r="664" spans="1:20">
      <c r="A664" s="301" t="s">
        <v>744</v>
      </c>
      <c r="B664" s="302" t="s">
        <v>271</v>
      </c>
      <c r="C664" s="303" t="s">
        <v>767</v>
      </c>
      <c r="D664" s="304">
        <v>358017400</v>
      </c>
      <c r="E664" s="305">
        <v>2523265407</v>
      </c>
      <c r="F664" s="303" t="s">
        <v>252</v>
      </c>
      <c r="G664" s="306">
        <v>37290</v>
      </c>
      <c r="H664" s="307" t="str">
        <f t="shared" si="30"/>
        <v>February</v>
      </c>
      <c r="I664" s="308">
        <f t="shared" ca="1" si="31"/>
        <v>14</v>
      </c>
      <c r="J664" s="308"/>
      <c r="K664" s="309">
        <v>36052</v>
      </c>
      <c r="L664" s="310">
        <v>5</v>
      </c>
      <c r="Q664" s="264" t="s">
        <v>2474</v>
      </c>
      <c r="R664" s="265">
        <v>42363</v>
      </c>
      <c r="S664" s="265">
        <v>42466</v>
      </c>
      <c r="T664" s="39">
        <f t="shared" si="32"/>
        <v>103</v>
      </c>
    </row>
    <row r="665" spans="1:20">
      <c r="A665" s="291" t="s">
        <v>1017</v>
      </c>
      <c r="B665" s="292" t="s">
        <v>245</v>
      </c>
      <c r="C665" s="293" t="s">
        <v>626</v>
      </c>
      <c r="D665" s="294">
        <v>132016163</v>
      </c>
      <c r="E665" s="295">
        <v>2527726916</v>
      </c>
      <c r="F665" s="293" t="s">
        <v>261</v>
      </c>
      <c r="G665" s="296">
        <v>40781</v>
      </c>
      <c r="H665" s="297" t="str">
        <f t="shared" si="30"/>
        <v>August</v>
      </c>
      <c r="I665" s="298">
        <f t="shared" ca="1" si="31"/>
        <v>5</v>
      </c>
      <c r="J665" s="298" t="s">
        <v>267</v>
      </c>
      <c r="K665" s="299">
        <v>38575</v>
      </c>
      <c r="L665" s="300">
        <v>2</v>
      </c>
      <c r="Q665" s="264" t="s">
        <v>2473</v>
      </c>
      <c r="R665" s="265">
        <v>41977</v>
      </c>
      <c r="S665" s="265">
        <v>42855</v>
      </c>
      <c r="T665" s="39">
        <f t="shared" si="32"/>
        <v>878</v>
      </c>
    </row>
    <row r="666" spans="1:20">
      <c r="A666" s="301" t="s">
        <v>362</v>
      </c>
      <c r="B666" s="302" t="s">
        <v>280</v>
      </c>
      <c r="C666" s="303" t="s">
        <v>767</v>
      </c>
      <c r="D666" s="304">
        <v>886332647</v>
      </c>
      <c r="E666" s="305">
        <v>2526698101</v>
      </c>
      <c r="F666" s="303" t="s">
        <v>256</v>
      </c>
      <c r="G666" s="306">
        <v>38758</v>
      </c>
      <c r="H666" s="307" t="str">
        <f t="shared" si="30"/>
        <v>February</v>
      </c>
      <c r="I666" s="308">
        <f t="shared" ca="1" si="31"/>
        <v>10</v>
      </c>
      <c r="J666" s="308" t="s">
        <v>262</v>
      </c>
      <c r="K666" s="309">
        <v>76910</v>
      </c>
      <c r="L666" s="310">
        <v>2</v>
      </c>
      <c r="Q666" s="264" t="s">
        <v>2472</v>
      </c>
      <c r="R666" s="265">
        <v>41508</v>
      </c>
      <c r="S666" s="265">
        <v>42399</v>
      </c>
      <c r="T666" s="39">
        <f t="shared" si="32"/>
        <v>891</v>
      </c>
    </row>
    <row r="667" spans="1:20">
      <c r="A667" s="291" t="s">
        <v>303</v>
      </c>
      <c r="B667" s="292" t="s">
        <v>280</v>
      </c>
      <c r="C667" s="293" t="s">
        <v>705</v>
      </c>
      <c r="D667" s="294">
        <v>577239513</v>
      </c>
      <c r="E667" s="295">
        <v>9193199265</v>
      </c>
      <c r="F667" s="293" t="s">
        <v>256</v>
      </c>
      <c r="G667" s="296">
        <v>36043</v>
      </c>
      <c r="H667" s="297" t="str">
        <f t="shared" si="30"/>
        <v>September</v>
      </c>
      <c r="I667" s="298">
        <f t="shared" ca="1" si="31"/>
        <v>18</v>
      </c>
      <c r="J667" s="298" t="s">
        <v>283</v>
      </c>
      <c r="K667" s="299">
        <v>63080</v>
      </c>
      <c r="L667" s="300">
        <v>5</v>
      </c>
      <c r="Q667" s="264" t="s">
        <v>2471</v>
      </c>
      <c r="R667" s="265">
        <v>41017</v>
      </c>
      <c r="S667" s="265">
        <v>41723</v>
      </c>
      <c r="T667" s="39">
        <f t="shared" si="32"/>
        <v>706</v>
      </c>
    </row>
    <row r="668" spans="1:20">
      <c r="A668" s="301" t="s">
        <v>290</v>
      </c>
      <c r="B668" s="302" t="s">
        <v>271</v>
      </c>
      <c r="C668" s="303" t="s">
        <v>417</v>
      </c>
      <c r="D668" s="304">
        <v>603301910</v>
      </c>
      <c r="E668" s="305">
        <v>9196514650</v>
      </c>
      <c r="F668" s="303" t="s">
        <v>256</v>
      </c>
      <c r="G668" s="306">
        <v>35123</v>
      </c>
      <c r="H668" s="307" t="str">
        <f t="shared" si="30"/>
        <v>February</v>
      </c>
      <c r="I668" s="308">
        <f t="shared" ca="1" si="31"/>
        <v>20</v>
      </c>
      <c r="J668" s="308" t="s">
        <v>257</v>
      </c>
      <c r="K668" s="309">
        <v>72900</v>
      </c>
      <c r="L668" s="310">
        <v>3</v>
      </c>
      <c r="Q668" s="264" t="s">
        <v>2470</v>
      </c>
      <c r="R668" s="265">
        <v>41061</v>
      </c>
      <c r="S668" s="265">
        <v>41299</v>
      </c>
      <c r="T668" s="39">
        <f t="shared" si="32"/>
        <v>238</v>
      </c>
    </row>
    <row r="669" spans="1:20">
      <c r="A669" s="291" t="s">
        <v>920</v>
      </c>
      <c r="B669" s="292" t="s">
        <v>285</v>
      </c>
      <c r="C669" s="293" t="s">
        <v>381</v>
      </c>
      <c r="D669" s="294">
        <v>124203063</v>
      </c>
      <c r="E669" s="295">
        <v>9192229885</v>
      </c>
      <c r="F669" s="293" t="s">
        <v>261</v>
      </c>
      <c r="G669" s="296">
        <v>41482</v>
      </c>
      <c r="H669" s="297" t="str">
        <f t="shared" si="30"/>
        <v>July</v>
      </c>
      <c r="I669" s="298">
        <f t="shared" ca="1" si="31"/>
        <v>3</v>
      </c>
      <c r="J669" s="298" t="s">
        <v>283</v>
      </c>
      <c r="K669" s="299">
        <v>10520</v>
      </c>
      <c r="L669" s="300">
        <v>4</v>
      </c>
      <c r="Q669" s="264" t="s">
        <v>2469</v>
      </c>
      <c r="R669" s="265">
        <v>41214</v>
      </c>
      <c r="S669" s="265">
        <v>41828</v>
      </c>
      <c r="T669" s="39">
        <f t="shared" si="32"/>
        <v>614</v>
      </c>
    </row>
    <row r="670" spans="1:20">
      <c r="A670" s="301" t="s">
        <v>449</v>
      </c>
      <c r="B670" s="302" t="s">
        <v>266</v>
      </c>
      <c r="C670" s="303" t="s">
        <v>930</v>
      </c>
      <c r="D670" s="304">
        <v>616055292</v>
      </c>
      <c r="E670" s="305">
        <v>9192913490</v>
      </c>
      <c r="F670" s="303" t="s">
        <v>256</v>
      </c>
      <c r="G670" s="306">
        <v>34831</v>
      </c>
      <c r="H670" s="307" t="str">
        <f t="shared" si="30"/>
        <v>May</v>
      </c>
      <c r="I670" s="308">
        <f t="shared" ca="1" si="31"/>
        <v>21</v>
      </c>
      <c r="J670" s="308" t="s">
        <v>267</v>
      </c>
      <c r="K670" s="309">
        <v>32160</v>
      </c>
      <c r="L670" s="310">
        <v>3</v>
      </c>
      <c r="Q670" s="264" t="s">
        <v>2468</v>
      </c>
      <c r="R670" s="265">
        <v>40993</v>
      </c>
      <c r="S670" s="265">
        <v>41610</v>
      </c>
      <c r="T670" s="39">
        <f t="shared" si="32"/>
        <v>617</v>
      </c>
    </row>
    <row r="671" spans="1:20">
      <c r="A671" s="291" t="s">
        <v>463</v>
      </c>
      <c r="B671" s="292" t="s">
        <v>271</v>
      </c>
      <c r="C671" s="293" t="s">
        <v>456</v>
      </c>
      <c r="D671" s="294">
        <v>351268538</v>
      </c>
      <c r="E671" s="295">
        <v>2525610944</v>
      </c>
      <c r="F671" s="293" t="s">
        <v>252</v>
      </c>
      <c r="G671" s="296">
        <v>37429</v>
      </c>
      <c r="H671" s="297" t="str">
        <f t="shared" si="30"/>
        <v>June</v>
      </c>
      <c r="I671" s="298">
        <f t="shared" ca="1" si="31"/>
        <v>14</v>
      </c>
      <c r="J671" s="298" t="s">
        <v>283</v>
      </c>
      <c r="K671" s="299">
        <v>61860</v>
      </c>
      <c r="L671" s="300">
        <v>5</v>
      </c>
      <c r="Q671" s="264" t="s">
        <v>2467</v>
      </c>
      <c r="R671" s="265">
        <v>41254</v>
      </c>
      <c r="S671" s="265">
        <v>42017</v>
      </c>
      <c r="T671" s="39">
        <f t="shared" si="32"/>
        <v>763</v>
      </c>
    </row>
    <row r="672" spans="1:20">
      <c r="A672" s="301" t="s">
        <v>672</v>
      </c>
      <c r="B672" s="302" t="s">
        <v>285</v>
      </c>
      <c r="C672" s="303" t="s">
        <v>856</v>
      </c>
      <c r="D672" s="304">
        <v>750722934</v>
      </c>
      <c r="E672" s="305">
        <v>2523631883</v>
      </c>
      <c r="F672" s="303" t="s">
        <v>256</v>
      </c>
      <c r="G672" s="306">
        <v>36479</v>
      </c>
      <c r="H672" s="307" t="str">
        <f t="shared" si="30"/>
        <v>November</v>
      </c>
      <c r="I672" s="308">
        <f t="shared" ca="1" si="31"/>
        <v>16</v>
      </c>
      <c r="J672" s="308" t="s">
        <v>283</v>
      </c>
      <c r="K672" s="309">
        <v>37770</v>
      </c>
      <c r="L672" s="310">
        <v>5</v>
      </c>
      <c r="Q672" s="264" t="s">
        <v>2466</v>
      </c>
      <c r="R672" s="265">
        <v>41806</v>
      </c>
      <c r="S672" s="265">
        <v>41959</v>
      </c>
      <c r="T672" s="39">
        <f t="shared" si="32"/>
        <v>153</v>
      </c>
    </row>
    <row r="673" spans="1:20">
      <c r="A673" s="291" t="s">
        <v>606</v>
      </c>
      <c r="B673" s="292" t="s">
        <v>245</v>
      </c>
      <c r="C673" s="293" t="s">
        <v>465</v>
      </c>
      <c r="D673" s="294">
        <v>436778229</v>
      </c>
      <c r="E673" s="295">
        <v>2525871924</v>
      </c>
      <c r="F673" s="293" t="s">
        <v>247</v>
      </c>
      <c r="G673" s="296">
        <v>40732</v>
      </c>
      <c r="H673" s="297" t="str">
        <f t="shared" si="30"/>
        <v>July</v>
      </c>
      <c r="I673" s="298">
        <f t="shared" ca="1" si="31"/>
        <v>5</v>
      </c>
      <c r="J673" s="298"/>
      <c r="K673" s="299">
        <v>60040</v>
      </c>
      <c r="L673" s="300">
        <v>5</v>
      </c>
      <c r="Q673" s="264" t="s">
        <v>2465</v>
      </c>
      <c r="R673" s="265">
        <v>41419</v>
      </c>
      <c r="S673" s="265">
        <v>42051</v>
      </c>
      <c r="T673" s="39">
        <f t="shared" si="32"/>
        <v>632</v>
      </c>
    </row>
    <row r="674" spans="1:20">
      <c r="A674" s="301" t="s">
        <v>673</v>
      </c>
      <c r="B674" s="302" t="s">
        <v>251</v>
      </c>
      <c r="C674" s="303" t="s">
        <v>465</v>
      </c>
      <c r="D674" s="304">
        <v>783624212</v>
      </c>
      <c r="E674" s="305">
        <v>9193164024</v>
      </c>
      <c r="F674" s="303" t="s">
        <v>261</v>
      </c>
      <c r="G674" s="306">
        <v>35493</v>
      </c>
      <c r="H674" s="307" t="str">
        <f t="shared" si="30"/>
        <v>March</v>
      </c>
      <c r="I674" s="308">
        <f t="shared" ca="1" si="31"/>
        <v>19</v>
      </c>
      <c r="J674" s="308" t="s">
        <v>262</v>
      </c>
      <c r="K674" s="309">
        <v>15260</v>
      </c>
      <c r="L674" s="310">
        <v>2</v>
      </c>
      <c r="Q674" s="264" t="s">
        <v>2464</v>
      </c>
      <c r="R674" s="265">
        <v>41494</v>
      </c>
      <c r="S674" s="265">
        <v>42034</v>
      </c>
      <c r="T674" s="39">
        <f t="shared" si="32"/>
        <v>540</v>
      </c>
    </row>
    <row r="675" spans="1:20">
      <c r="A675" s="291" t="s">
        <v>921</v>
      </c>
      <c r="B675" s="292" t="s">
        <v>271</v>
      </c>
      <c r="C675" s="293" t="s">
        <v>465</v>
      </c>
      <c r="D675" s="294">
        <v>468053610</v>
      </c>
      <c r="E675" s="295">
        <v>2525344270</v>
      </c>
      <c r="F675" s="293" t="s">
        <v>256</v>
      </c>
      <c r="G675" s="296">
        <v>38419</v>
      </c>
      <c r="H675" s="297" t="str">
        <f t="shared" si="30"/>
        <v>March</v>
      </c>
      <c r="I675" s="298">
        <f t="shared" ca="1" si="31"/>
        <v>11</v>
      </c>
      <c r="J675" s="298" t="s">
        <v>283</v>
      </c>
      <c r="K675" s="299">
        <v>69080</v>
      </c>
      <c r="L675" s="300">
        <v>3</v>
      </c>
      <c r="Q675" s="264" t="s">
        <v>2463</v>
      </c>
      <c r="R675" s="265">
        <v>41879</v>
      </c>
      <c r="S675" s="265">
        <v>42482</v>
      </c>
      <c r="T675" s="39">
        <f t="shared" si="32"/>
        <v>603</v>
      </c>
    </row>
    <row r="676" spans="1:20">
      <c r="A676" s="301" t="s">
        <v>922</v>
      </c>
      <c r="B676" s="302" t="s">
        <v>285</v>
      </c>
      <c r="C676" s="303" t="s">
        <v>307</v>
      </c>
      <c r="D676" s="304">
        <v>682791418</v>
      </c>
      <c r="E676" s="305">
        <v>9194603155</v>
      </c>
      <c r="F676" s="303" t="s">
        <v>256</v>
      </c>
      <c r="G676" s="306">
        <v>34623</v>
      </c>
      <c r="H676" s="307" t="str">
        <f t="shared" si="30"/>
        <v>October</v>
      </c>
      <c r="I676" s="308">
        <f t="shared" ca="1" si="31"/>
        <v>22</v>
      </c>
      <c r="J676" s="308" t="s">
        <v>257</v>
      </c>
      <c r="K676" s="309">
        <v>46220</v>
      </c>
      <c r="L676" s="310">
        <v>3</v>
      </c>
      <c r="Q676" s="264" t="s">
        <v>2462</v>
      </c>
      <c r="R676" s="265">
        <v>41414</v>
      </c>
      <c r="S676" s="265">
        <v>41719</v>
      </c>
      <c r="T676" s="39">
        <f t="shared" si="32"/>
        <v>305</v>
      </c>
    </row>
    <row r="677" spans="1:20">
      <c r="A677" s="291" t="s">
        <v>745</v>
      </c>
      <c r="B677" s="292" t="s">
        <v>285</v>
      </c>
      <c r="C677" s="293" t="s">
        <v>312</v>
      </c>
      <c r="D677" s="294">
        <v>644862142</v>
      </c>
      <c r="E677" s="295">
        <v>9193274978</v>
      </c>
      <c r="F677" s="293" t="s">
        <v>247</v>
      </c>
      <c r="G677" s="296">
        <v>35561</v>
      </c>
      <c r="H677" s="297" t="str">
        <f t="shared" si="30"/>
        <v>May</v>
      </c>
      <c r="I677" s="298">
        <f t="shared" ca="1" si="31"/>
        <v>19</v>
      </c>
      <c r="J677" s="298"/>
      <c r="K677" s="299">
        <v>46670</v>
      </c>
      <c r="L677" s="300">
        <v>3</v>
      </c>
      <c r="Q677" s="264" t="s">
        <v>2461</v>
      </c>
      <c r="R677" s="265">
        <v>41361</v>
      </c>
      <c r="S677" s="265">
        <v>41758</v>
      </c>
      <c r="T677" s="39">
        <f t="shared" si="32"/>
        <v>397</v>
      </c>
    </row>
    <row r="678" spans="1:20">
      <c r="A678" s="301" t="s">
        <v>674</v>
      </c>
      <c r="B678" s="302" t="s">
        <v>251</v>
      </c>
      <c r="C678" s="303" t="s">
        <v>272</v>
      </c>
      <c r="D678" s="304">
        <v>356110882</v>
      </c>
      <c r="E678" s="305">
        <v>2527936742</v>
      </c>
      <c r="F678" s="303" t="s">
        <v>261</v>
      </c>
      <c r="G678" s="306">
        <v>37127</v>
      </c>
      <c r="H678" s="307" t="str">
        <f t="shared" si="30"/>
        <v>August</v>
      </c>
      <c r="I678" s="308">
        <f t="shared" ca="1" si="31"/>
        <v>15</v>
      </c>
      <c r="J678" s="308" t="s">
        <v>257</v>
      </c>
      <c r="K678" s="309">
        <v>15240</v>
      </c>
      <c r="L678" s="310">
        <v>1</v>
      </c>
      <c r="Q678" s="264" t="s">
        <v>2460</v>
      </c>
      <c r="R678" s="265">
        <v>41330</v>
      </c>
      <c r="S678" s="265">
        <v>42200</v>
      </c>
      <c r="T678" s="39">
        <f t="shared" si="32"/>
        <v>870</v>
      </c>
    </row>
    <row r="679" spans="1:20">
      <c r="A679" s="291" t="s">
        <v>363</v>
      </c>
      <c r="B679" s="292" t="s">
        <v>280</v>
      </c>
      <c r="C679" s="293" t="s">
        <v>930</v>
      </c>
      <c r="D679" s="294">
        <v>643984096</v>
      </c>
      <c r="E679" s="295">
        <v>9191630739</v>
      </c>
      <c r="F679" s="293" t="s">
        <v>247</v>
      </c>
      <c r="G679" s="296">
        <v>34323</v>
      </c>
      <c r="H679" s="297" t="str">
        <f t="shared" si="30"/>
        <v>December</v>
      </c>
      <c r="I679" s="298">
        <f t="shared" ca="1" si="31"/>
        <v>22</v>
      </c>
      <c r="J679" s="298"/>
      <c r="K679" s="299">
        <v>26020</v>
      </c>
      <c r="L679" s="300">
        <v>5</v>
      </c>
      <c r="Q679" s="264" t="s">
        <v>2459</v>
      </c>
      <c r="R679" s="265">
        <v>41815</v>
      </c>
      <c r="S679" s="265">
        <v>42057</v>
      </c>
      <c r="T679" s="39">
        <f t="shared" si="32"/>
        <v>242</v>
      </c>
    </row>
    <row r="680" spans="1:20">
      <c r="A680" s="301" t="s">
        <v>842</v>
      </c>
      <c r="B680" s="302" t="s">
        <v>285</v>
      </c>
      <c r="C680" s="303" t="s">
        <v>705</v>
      </c>
      <c r="D680" s="304">
        <v>842774592</v>
      </c>
      <c r="E680" s="305">
        <v>2527345539</v>
      </c>
      <c r="F680" s="303" t="s">
        <v>252</v>
      </c>
      <c r="G680" s="306">
        <v>39054</v>
      </c>
      <c r="H680" s="307" t="str">
        <f t="shared" si="30"/>
        <v>December</v>
      </c>
      <c r="I680" s="308">
        <f t="shared" ca="1" si="31"/>
        <v>9</v>
      </c>
      <c r="J680" s="308"/>
      <c r="K680" s="309">
        <v>33512</v>
      </c>
      <c r="L680" s="310">
        <v>4</v>
      </c>
      <c r="Q680" s="264" t="s">
        <v>2458</v>
      </c>
      <c r="R680" s="265">
        <v>42287</v>
      </c>
      <c r="S680" s="265">
        <v>43158</v>
      </c>
      <c r="T680" s="39">
        <f t="shared" si="32"/>
        <v>871</v>
      </c>
    </row>
    <row r="681" spans="1:20">
      <c r="A681" s="291" t="s">
        <v>843</v>
      </c>
      <c r="B681" s="292" t="s">
        <v>245</v>
      </c>
      <c r="C681" s="293" t="s">
        <v>246</v>
      </c>
      <c r="D681" s="294">
        <v>100432924</v>
      </c>
      <c r="E681" s="295">
        <v>4022804104</v>
      </c>
      <c r="F681" s="293" t="s">
        <v>256</v>
      </c>
      <c r="G681" s="296">
        <v>37081</v>
      </c>
      <c r="H681" s="297" t="str">
        <f t="shared" si="30"/>
        <v>July</v>
      </c>
      <c r="I681" s="298">
        <f t="shared" ca="1" si="31"/>
        <v>15</v>
      </c>
      <c r="J681" s="298" t="s">
        <v>257</v>
      </c>
      <c r="K681" s="299">
        <v>24550</v>
      </c>
      <c r="L681" s="300">
        <v>1</v>
      </c>
      <c r="Q681" s="264" t="s">
        <v>2457</v>
      </c>
      <c r="R681" s="265">
        <v>41776</v>
      </c>
      <c r="S681" s="265">
        <v>41932</v>
      </c>
      <c r="T681" s="39">
        <f t="shared" si="32"/>
        <v>156</v>
      </c>
    </row>
    <row r="682" spans="1:20">
      <c r="A682" s="301" t="s">
        <v>698</v>
      </c>
      <c r="B682" s="302" t="s">
        <v>280</v>
      </c>
      <c r="C682" s="303" t="s">
        <v>626</v>
      </c>
      <c r="D682" s="304">
        <v>168147877</v>
      </c>
      <c r="E682" s="305">
        <v>9196530760</v>
      </c>
      <c r="F682" s="303" t="s">
        <v>261</v>
      </c>
      <c r="G682" s="306">
        <v>38051</v>
      </c>
      <c r="H682" s="307" t="str">
        <f t="shared" si="30"/>
        <v>March</v>
      </c>
      <c r="I682" s="308">
        <f t="shared" ca="1" si="31"/>
        <v>12</v>
      </c>
      <c r="J682" s="308" t="s">
        <v>276</v>
      </c>
      <c r="K682" s="309">
        <v>15910</v>
      </c>
      <c r="L682" s="310">
        <v>3</v>
      </c>
      <c r="Q682" s="264" t="s">
        <v>2456</v>
      </c>
      <c r="R682" s="265">
        <v>42265</v>
      </c>
      <c r="S682" s="265">
        <v>43021</v>
      </c>
      <c r="T682" s="39">
        <f t="shared" si="32"/>
        <v>756</v>
      </c>
    </row>
    <row r="683" spans="1:20">
      <c r="A683" s="291" t="s">
        <v>450</v>
      </c>
      <c r="B683" s="292" t="s">
        <v>266</v>
      </c>
      <c r="C683" s="293" t="s">
        <v>750</v>
      </c>
      <c r="D683" s="294">
        <v>710460589</v>
      </c>
      <c r="E683" s="295">
        <v>2526104400</v>
      </c>
      <c r="F683" s="293" t="s">
        <v>256</v>
      </c>
      <c r="G683" s="296">
        <v>34089</v>
      </c>
      <c r="H683" s="297" t="str">
        <f t="shared" si="30"/>
        <v>April</v>
      </c>
      <c r="I683" s="298">
        <f t="shared" ca="1" si="31"/>
        <v>23</v>
      </c>
      <c r="J683" s="298" t="s">
        <v>283</v>
      </c>
      <c r="K683" s="299">
        <v>43110</v>
      </c>
      <c r="L683" s="300">
        <v>2</v>
      </c>
      <c r="Q683" s="264" t="s">
        <v>2455</v>
      </c>
      <c r="R683" s="265">
        <v>42352</v>
      </c>
      <c r="S683" s="265">
        <v>43189</v>
      </c>
      <c r="T683" s="39">
        <f t="shared" si="32"/>
        <v>837</v>
      </c>
    </row>
    <row r="684" spans="1:20">
      <c r="A684" s="301" t="s">
        <v>923</v>
      </c>
      <c r="B684" s="302" t="s">
        <v>251</v>
      </c>
      <c r="C684" s="303" t="s">
        <v>856</v>
      </c>
      <c r="D684" s="304">
        <v>368385341</v>
      </c>
      <c r="E684" s="305">
        <v>9195526537</v>
      </c>
      <c r="F684" s="303" t="s">
        <v>247</v>
      </c>
      <c r="G684" s="306">
        <v>37992</v>
      </c>
      <c r="H684" s="307" t="str">
        <f t="shared" si="30"/>
        <v>January</v>
      </c>
      <c r="I684" s="308">
        <f t="shared" ca="1" si="31"/>
        <v>12</v>
      </c>
      <c r="J684" s="308"/>
      <c r="K684" s="309">
        <v>46780</v>
      </c>
      <c r="L684" s="310">
        <v>2</v>
      </c>
      <c r="Q684" s="264" t="s">
        <v>2454</v>
      </c>
      <c r="R684" s="265">
        <v>41666</v>
      </c>
      <c r="S684" s="265">
        <v>42649</v>
      </c>
      <c r="T684" s="39">
        <f t="shared" si="32"/>
        <v>983</v>
      </c>
    </row>
    <row r="685" spans="1:20">
      <c r="A685" s="291" t="s">
        <v>607</v>
      </c>
      <c r="B685" s="292" t="s">
        <v>271</v>
      </c>
      <c r="C685" s="293" t="s">
        <v>465</v>
      </c>
      <c r="D685" s="294">
        <v>501523688</v>
      </c>
      <c r="E685" s="295">
        <v>2528560698</v>
      </c>
      <c r="F685" s="293" t="s">
        <v>256</v>
      </c>
      <c r="G685" s="296">
        <v>36430</v>
      </c>
      <c r="H685" s="297" t="str">
        <f t="shared" si="30"/>
        <v>September</v>
      </c>
      <c r="I685" s="298">
        <f t="shared" ca="1" si="31"/>
        <v>17</v>
      </c>
      <c r="J685" s="298" t="s">
        <v>257</v>
      </c>
      <c r="K685" s="299">
        <v>79730</v>
      </c>
      <c r="L685" s="300">
        <v>2</v>
      </c>
      <c r="Q685" s="264" t="s">
        <v>2453</v>
      </c>
      <c r="R685" s="265">
        <v>41979</v>
      </c>
      <c r="S685" s="265">
        <v>42155</v>
      </c>
      <c r="T685" s="39">
        <f t="shared" si="32"/>
        <v>176</v>
      </c>
    </row>
    <row r="686" spans="1:20">
      <c r="A686" s="301" t="s">
        <v>924</v>
      </c>
      <c r="B686" s="302" t="s">
        <v>271</v>
      </c>
      <c r="C686" s="303" t="s">
        <v>705</v>
      </c>
      <c r="D686" s="304">
        <v>617795992</v>
      </c>
      <c r="E686" s="305">
        <v>2526345909</v>
      </c>
      <c r="F686" s="303" t="s">
        <v>256</v>
      </c>
      <c r="G686" s="306">
        <v>34488</v>
      </c>
      <c r="H686" s="307" t="str">
        <f t="shared" si="30"/>
        <v>June</v>
      </c>
      <c r="I686" s="308">
        <f t="shared" ca="1" si="31"/>
        <v>22</v>
      </c>
      <c r="J686" s="308" t="s">
        <v>257</v>
      </c>
      <c r="K686" s="309">
        <v>43580</v>
      </c>
      <c r="L686" s="310">
        <v>5</v>
      </c>
      <c r="Q686" s="264" t="s">
        <v>2452</v>
      </c>
      <c r="R686" s="265">
        <v>40999</v>
      </c>
      <c r="S686" s="265">
        <v>41320</v>
      </c>
      <c r="T686" s="39">
        <f t="shared" si="32"/>
        <v>321</v>
      </c>
    </row>
    <row r="687" spans="1:20">
      <c r="A687" s="291" t="s">
        <v>844</v>
      </c>
      <c r="B687" s="292" t="s">
        <v>285</v>
      </c>
      <c r="C687" s="293" t="s">
        <v>930</v>
      </c>
      <c r="D687" s="294">
        <v>249416723</v>
      </c>
      <c r="E687" s="295">
        <v>2521628807</v>
      </c>
      <c r="F687" s="293" t="s">
        <v>256</v>
      </c>
      <c r="G687" s="296">
        <v>36935</v>
      </c>
      <c r="H687" s="297" t="str">
        <f t="shared" si="30"/>
        <v>February</v>
      </c>
      <c r="I687" s="298">
        <f t="shared" ca="1" si="31"/>
        <v>15</v>
      </c>
      <c r="J687" s="298" t="s">
        <v>262</v>
      </c>
      <c r="K687" s="299">
        <v>64470</v>
      </c>
      <c r="L687" s="300">
        <v>5</v>
      </c>
      <c r="Q687" s="264" t="s">
        <v>2451</v>
      </c>
      <c r="R687" s="265">
        <v>42081</v>
      </c>
      <c r="S687" s="265">
        <v>42379</v>
      </c>
      <c r="T687" s="39">
        <f t="shared" si="32"/>
        <v>298</v>
      </c>
    </row>
    <row r="688" spans="1:20">
      <c r="A688" s="301" t="s">
        <v>608</v>
      </c>
      <c r="B688" s="302" t="s">
        <v>245</v>
      </c>
      <c r="C688" s="303" t="s">
        <v>626</v>
      </c>
      <c r="D688" s="304">
        <v>372693786</v>
      </c>
      <c r="E688" s="305">
        <v>9198211050</v>
      </c>
      <c r="F688" s="303" t="s">
        <v>261</v>
      </c>
      <c r="G688" s="306">
        <v>38048</v>
      </c>
      <c r="H688" s="307" t="str">
        <f t="shared" si="30"/>
        <v>March</v>
      </c>
      <c r="I688" s="308">
        <f t="shared" ca="1" si="31"/>
        <v>12</v>
      </c>
      <c r="J688" s="308" t="s">
        <v>262</v>
      </c>
      <c r="K688" s="309">
        <v>31110</v>
      </c>
      <c r="L688" s="310">
        <v>1</v>
      </c>
      <c r="Q688" s="264" t="s">
        <v>2450</v>
      </c>
      <c r="R688" s="265">
        <v>42368</v>
      </c>
      <c r="S688" s="265">
        <v>42914</v>
      </c>
      <c r="T688" s="39">
        <f t="shared" si="32"/>
        <v>546</v>
      </c>
    </row>
    <row r="689" spans="1:20">
      <c r="A689" s="291" t="s">
        <v>379</v>
      </c>
      <c r="B689" s="292" t="s">
        <v>280</v>
      </c>
      <c r="C689" s="293" t="s">
        <v>705</v>
      </c>
      <c r="D689" s="294">
        <v>542214575</v>
      </c>
      <c r="E689" s="295">
        <v>2522172913</v>
      </c>
      <c r="F689" s="293" t="s">
        <v>256</v>
      </c>
      <c r="G689" s="296">
        <v>35612</v>
      </c>
      <c r="H689" s="297" t="str">
        <f t="shared" si="30"/>
        <v>July</v>
      </c>
      <c r="I689" s="298">
        <f t="shared" ca="1" si="31"/>
        <v>19</v>
      </c>
      <c r="J689" s="298" t="s">
        <v>257</v>
      </c>
      <c r="K689" s="299">
        <v>87030</v>
      </c>
      <c r="L689" s="300">
        <v>3</v>
      </c>
      <c r="Q689" s="264" t="s">
        <v>2449</v>
      </c>
      <c r="R689" s="265">
        <v>41728</v>
      </c>
      <c r="S689" s="265">
        <v>42153</v>
      </c>
      <c r="T689" s="39">
        <f t="shared" si="32"/>
        <v>425</v>
      </c>
    </row>
    <row r="690" spans="1:20">
      <c r="A690" s="301" t="s">
        <v>451</v>
      </c>
      <c r="B690" s="302" t="s">
        <v>285</v>
      </c>
      <c r="C690" s="303" t="s">
        <v>856</v>
      </c>
      <c r="D690" s="304">
        <v>393973492</v>
      </c>
      <c r="E690" s="305">
        <v>2522869792</v>
      </c>
      <c r="F690" s="303" t="s">
        <v>261</v>
      </c>
      <c r="G690" s="306">
        <v>37333</v>
      </c>
      <c r="H690" s="307" t="str">
        <f t="shared" si="30"/>
        <v>March</v>
      </c>
      <c r="I690" s="308">
        <f t="shared" ca="1" si="31"/>
        <v>14</v>
      </c>
      <c r="J690" s="308" t="s">
        <v>276</v>
      </c>
      <c r="K690" s="309">
        <v>47350</v>
      </c>
      <c r="L690" s="310">
        <v>1</v>
      </c>
      <c r="Q690" s="264" t="s">
        <v>2448</v>
      </c>
      <c r="R690" s="265">
        <v>41407</v>
      </c>
      <c r="S690" s="265">
        <v>42317</v>
      </c>
      <c r="T690" s="39">
        <f t="shared" si="32"/>
        <v>910</v>
      </c>
    </row>
    <row r="691" spans="1:20">
      <c r="A691" s="291" t="s">
        <v>609</v>
      </c>
      <c r="B691" s="292" t="s">
        <v>285</v>
      </c>
      <c r="C691" s="293" t="s">
        <v>930</v>
      </c>
      <c r="D691" s="294">
        <v>177324163</v>
      </c>
      <c r="E691" s="295">
        <v>2527091949</v>
      </c>
      <c r="F691" s="293" t="s">
        <v>256</v>
      </c>
      <c r="G691" s="296">
        <v>38720</v>
      </c>
      <c r="H691" s="297" t="str">
        <f t="shared" si="30"/>
        <v>January</v>
      </c>
      <c r="I691" s="298">
        <f t="shared" ca="1" si="31"/>
        <v>10</v>
      </c>
      <c r="J691" s="298" t="s">
        <v>283</v>
      </c>
      <c r="K691" s="299">
        <v>48010</v>
      </c>
      <c r="L691" s="300">
        <v>3</v>
      </c>
      <c r="Q691" s="264" t="s">
        <v>2447</v>
      </c>
      <c r="R691" s="265">
        <v>41301</v>
      </c>
      <c r="S691" s="265">
        <v>41747</v>
      </c>
      <c r="T691" s="39">
        <f t="shared" si="32"/>
        <v>446</v>
      </c>
    </row>
    <row r="692" spans="1:20">
      <c r="A692" s="301" t="s">
        <v>703</v>
      </c>
      <c r="B692" s="302" t="s">
        <v>245</v>
      </c>
      <c r="C692" s="303" t="s">
        <v>465</v>
      </c>
      <c r="D692" s="304">
        <v>470935648</v>
      </c>
      <c r="E692" s="305">
        <v>9192053579</v>
      </c>
      <c r="F692" s="303" t="s">
        <v>247</v>
      </c>
      <c r="G692" s="306">
        <v>39447</v>
      </c>
      <c r="H692" s="307" t="str">
        <f t="shared" si="30"/>
        <v>December</v>
      </c>
      <c r="I692" s="308">
        <f t="shared" ca="1" si="31"/>
        <v>8</v>
      </c>
      <c r="J692" s="308"/>
      <c r="K692" s="309">
        <v>39680</v>
      </c>
      <c r="L692" s="310">
        <v>1</v>
      </c>
      <c r="Q692" s="264" t="s">
        <v>2446</v>
      </c>
      <c r="R692" s="265">
        <v>42275</v>
      </c>
      <c r="S692" s="265">
        <v>42844</v>
      </c>
      <c r="T692" s="39">
        <f t="shared" si="32"/>
        <v>569</v>
      </c>
    </row>
    <row r="693" spans="1:20">
      <c r="A693" s="291" t="s">
        <v>364</v>
      </c>
      <c r="B693" s="292" t="s">
        <v>266</v>
      </c>
      <c r="C693" s="293" t="s">
        <v>465</v>
      </c>
      <c r="D693" s="294">
        <v>135965371</v>
      </c>
      <c r="E693" s="295">
        <v>9195592950</v>
      </c>
      <c r="F693" s="293" t="s">
        <v>256</v>
      </c>
      <c r="G693" s="296">
        <v>38846</v>
      </c>
      <c r="H693" s="297" t="str">
        <f t="shared" si="30"/>
        <v>May</v>
      </c>
      <c r="I693" s="298">
        <f t="shared" ca="1" si="31"/>
        <v>10</v>
      </c>
      <c r="J693" s="298" t="s">
        <v>283</v>
      </c>
      <c r="K693" s="299">
        <v>30920</v>
      </c>
      <c r="L693" s="300">
        <v>5</v>
      </c>
      <c r="Q693" s="264" t="s">
        <v>2445</v>
      </c>
      <c r="R693" s="265">
        <v>42044</v>
      </c>
      <c r="S693" s="265">
        <v>42498</v>
      </c>
      <c r="T693" s="39">
        <f t="shared" si="32"/>
        <v>454</v>
      </c>
    </row>
    <row r="694" spans="1:20">
      <c r="A694" s="301" t="s">
        <v>845</v>
      </c>
      <c r="B694" s="302" t="s">
        <v>285</v>
      </c>
      <c r="C694" s="303" t="s">
        <v>417</v>
      </c>
      <c r="D694" s="304">
        <v>536516131</v>
      </c>
      <c r="E694" s="305">
        <v>2524442207</v>
      </c>
      <c r="F694" s="303" t="s">
        <v>256</v>
      </c>
      <c r="G694" s="306">
        <v>41380</v>
      </c>
      <c r="H694" s="307" t="str">
        <f t="shared" si="30"/>
        <v>April</v>
      </c>
      <c r="I694" s="308">
        <f t="shared" ca="1" si="31"/>
        <v>3</v>
      </c>
      <c r="J694" s="308" t="s">
        <v>283</v>
      </c>
      <c r="K694" s="309">
        <v>42620</v>
      </c>
      <c r="L694" s="310">
        <v>3</v>
      </c>
      <c r="Q694" s="264" t="s">
        <v>2444</v>
      </c>
      <c r="R694" s="265">
        <v>41324</v>
      </c>
      <c r="S694" s="265">
        <v>41610</v>
      </c>
      <c r="T694" s="39">
        <f t="shared" si="32"/>
        <v>286</v>
      </c>
    </row>
    <row r="695" spans="1:20">
      <c r="A695" s="291" t="s">
        <v>746</v>
      </c>
      <c r="B695" s="292" t="s">
        <v>271</v>
      </c>
      <c r="C695" s="293" t="s">
        <v>417</v>
      </c>
      <c r="D695" s="294">
        <v>571821715</v>
      </c>
      <c r="E695" s="295">
        <v>2527102355</v>
      </c>
      <c r="F695" s="293" t="s">
        <v>256</v>
      </c>
      <c r="G695" s="296">
        <v>36515</v>
      </c>
      <c r="H695" s="297" t="str">
        <f t="shared" si="30"/>
        <v>December</v>
      </c>
      <c r="I695" s="298">
        <f t="shared" ca="1" si="31"/>
        <v>16</v>
      </c>
      <c r="J695" s="298" t="s">
        <v>283</v>
      </c>
      <c r="K695" s="299">
        <v>56870</v>
      </c>
      <c r="L695" s="300">
        <v>1</v>
      </c>
      <c r="Q695" s="264" t="s">
        <v>2443</v>
      </c>
      <c r="R695" s="265">
        <v>42222</v>
      </c>
      <c r="S695" s="265">
        <v>43183</v>
      </c>
      <c r="T695" s="39">
        <f t="shared" si="32"/>
        <v>961</v>
      </c>
    </row>
    <row r="696" spans="1:20">
      <c r="A696" s="301" t="s">
        <v>925</v>
      </c>
      <c r="B696" s="302" t="s">
        <v>285</v>
      </c>
      <c r="C696" s="303" t="s">
        <v>312</v>
      </c>
      <c r="D696" s="304">
        <v>333947685</v>
      </c>
      <c r="E696" s="305">
        <v>9198314799</v>
      </c>
      <c r="F696" s="303" t="s">
        <v>256</v>
      </c>
      <c r="G696" s="306">
        <v>38258</v>
      </c>
      <c r="H696" s="307" t="str">
        <f t="shared" si="30"/>
        <v>September</v>
      </c>
      <c r="I696" s="308">
        <f t="shared" ca="1" si="31"/>
        <v>12</v>
      </c>
      <c r="J696" s="308" t="s">
        <v>262</v>
      </c>
      <c r="K696" s="309">
        <v>85880</v>
      </c>
      <c r="L696" s="310">
        <v>3</v>
      </c>
      <c r="Q696" s="264" t="s">
        <v>2442</v>
      </c>
      <c r="R696" s="265">
        <v>40989</v>
      </c>
      <c r="S696" s="265">
        <v>41799</v>
      </c>
      <c r="T696" s="39">
        <f t="shared" si="32"/>
        <v>810</v>
      </c>
    </row>
    <row r="697" spans="1:20">
      <c r="A697" s="291" t="s">
        <v>846</v>
      </c>
      <c r="B697" s="292" t="s">
        <v>285</v>
      </c>
      <c r="C697" s="293" t="s">
        <v>767</v>
      </c>
      <c r="D697" s="294">
        <v>967035612</v>
      </c>
      <c r="E697" s="295">
        <v>2528842613</v>
      </c>
      <c r="F697" s="293" t="s">
        <v>256</v>
      </c>
      <c r="G697" s="296">
        <v>35059</v>
      </c>
      <c r="H697" s="297" t="str">
        <f t="shared" si="30"/>
        <v>December</v>
      </c>
      <c r="I697" s="298">
        <f t="shared" ca="1" si="31"/>
        <v>20</v>
      </c>
      <c r="J697" s="298" t="s">
        <v>276</v>
      </c>
      <c r="K697" s="299">
        <v>63440</v>
      </c>
      <c r="L697" s="300">
        <v>3</v>
      </c>
      <c r="Q697" s="264" t="s">
        <v>2441</v>
      </c>
      <c r="R697" s="265">
        <v>41894</v>
      </c>
      <c r="S697" s="265">
        <v>42140</v>
      </c>
      <c r="T697" s="39">
        <f t="shared" si="32"/>
        <v>246</v>
      </c>
    </row>
    <row r="698" spans="1:20">
      <c r="A698" s="301" t="s">
        <v>304</v>
      </c>
      <c r="B698" s="302" t="s">
        <v>266</v>
      </c>
      <c r="C698" s="303" t="s">
        <v>767</v>
      </c>
      <c r="D698" s="304">
        <v>437460422</v>
      </c>
      <c r="E698" s="305">
        <v>2528439277</v>
      </c>
      <c r="F698" s="303" t="s">
        <v>261</v>
      </c>
      <c r="G698" s="306">
        <v>39633</v>
      </c>
      <c r="H698" s="307" t="str">
        <f t="shared" si="30"/>
        <v>July</v>
      </c>
      <c r="I698" s="308">
        <f t="shared" ca="1" si="31"/>
        <v>8</v>
      </c>
      <c r="J698" s="308" t="s">
        <v>283</v>
      </c>
      <c r="K698" s="309">
        <v>10630</v>
      </c>
      <c r="L698" s="310">
        <v>3</v>
      </c>
      <c r="Q698" s="264" t="s">
        <v>2440</v>
      </c>
      <c r="R698" s="265">
        <v>41404</v>
      </c>
      <c r="S698" s="265">
        <v>42107</v>
      </c>
      <c r="T698" s="39">
        <f t="shared" si="32"/>
        <v>703</v>
      </c>
    </row>
    <row r="699" spans="1:20">
      <c r="A699" s="291" t="s">
        <v>847</v>
      </c>
      <c r="B699" s="292" t="s">
        <v>251</v>
      </c>
      <c r="C699" s="293" t="s">
        <v>417</v>
      </c>
      <c r="D699" s="294">
        <v>993867417</v>
      </c>
      <c r="E699" s="295">
        <v>2522338778</v>
      </c>
      <c r="F699" s="293" t="s">
        <v>256</v>
      </c>
      <c r="G699" s="296">
        <v>34833</v>
      </c>
      <c r="H699" s="297" t="str">
        <f t="shared" si="30"/>
        <v>May</v>
      </c>
      <c r="I699" s="298">
        <f t="shared" ca="1" si="31"/>
        <v>21</v>
      </c>
      <c r="J699" s="298" t="s">
        <v>283</v>
      </c>
      <c r="K699" s="299">
        <v>46340</v>
      </c>
      <c r="L699" s="300">
        <v>5</v>
      </c>
      <c r="Q699" s="264" t="s">
        <v>2439</v>
      </c>
      <c r="R699" s="265">
        <v>42111</v>
      </c>
      <c r="S699" s="265">
        <v>42437</v>
      </c>
      <c r="T699" s="39">
        <f t="shared" si="32"/>
        <v>326</v>
      </c>
    </row>
    <row r="700" spans="1:20">
      <c r="A700" s="301" t="s">
        <v>1018</v>
      </c>
      <c r="B700" s="302" t="s">
        <v>245</v>
      </c>
      <c r="C700" s="303" t="s">
        <v>465</v>
      </c>
      <c r="D700" s="304">
        <v>313128501</v>
      </c>
      <c r="E700" s="305">
        <v>9193184277</v>
      </c>
      <c r="F700" s="303" t="s">
        <v>252</v>
      </c>
      <c r="G700" s="306">
        <v>36400</v>
      </c>
      <c r="H700" s="307" t="str">
        <f t="shared" si="30"/>
        <v>August</v>
      </c>
      <c r="I700" s="308">
        <f t="shared" ca="1" si="31"/>
        <v>17</v>
      </c>
      <c r="J700" s="308"/>
      <c r="K700" s="309">
        <v>22472</v>
      </c>
      <c r="L700" s="310">
        <v>1</v>
      </c>
      <c r="Q700" s="264" t="s">
        <v>2438</v>
      </c>
      <c r="R700" s="265">
        <v>41442</v>
      </c>
      <c r="S700" s="265">
        <v>42225</v>
      </c>
      <c r="T700" s="39">
        <f t="shared" si="32"/>
        <v>783</v>
      </c>
    </row>
    <row r="701" spans="1:20">
      <c r="A701" s="291" t="s">
        <v>926</v>
      </c>
      <c r="B701" s="292" t="s">
        <v>285</v>
      </c>
      <c r="C701" s="293" t="s">
        <v>1031</v>
      </c>
      <c r="D701" s="294">
        <v>183135788</v>
      </c>
      <c r="E701" s="295">
        <v>2521198851</v>
      </c>
      <c r="F701" s="293" t="s">
        <v>247</v>
      </c>
      <c r="G701" s="296">
        <v>34913</v>
      </c>
      <c r="H701" s="297" t="str">
        <f t="shared" si="30"/>
        <v>August</v>
      </c>
      <c r="I701" s="298">
        <f t="shared" ca="1" si="31"/>
        <v>21</v>
      </c>
      <c r="J701" s="298"/>
      <c r="K701" s="299">
        <v>60760</v>
      </c>
      <c r="L701" s="300">
        <v>2</v>
      </c>
      <c r="Q701" s="264" t="s">
        <v>2437</v>
      </c>
      <c r="R701" s="265">
        <v>40937</v>
      </c>
      <c r="S701" s="265">
        <v>41473</v>
      </c>
      <c r="T701" s="39">
        <f t="shared" si="32"/>
        <v>536</v>
      </c>
    </row>
    <row r="702" spans="1:20">
      <c r="A702" s="301" t="s">
        <v>365</v>
      </c>
      <c r="B702" s="302" t="s">
        <v>245</v>
      </c>
      <c r="C702" s="303" t="s">
        <v>312</v>
      </c>
      <c r="D702" s="304">
        <v>841913875</v>
      </c>
      <c r="E702" s="305">
        <v>2522511732</v>
      </c>
      <c r="F702" s="303" t="s">
        <v>247</v>
      </c>
      <c r="G702" s="306">
        <v>36070</v>
      </c>
      <c r="H702" s="307" t="str">
        <f t="shared" si="30"/>
        <v>October</v>
      </c>
      <c r="I702" s="308">
        <f t="shared" ca="1" si="31"/>
        <v>18</v>
      </c>
      <c r="J702" s="308"/>
      <c r="K702" s="309">
        <v>50550</v>
      </c>
      <c r="L702" s="310">
        <v>2</v>
      </c>
      <c r="Q702" s="264" t="s">
        <v>2436</v>
      </c>
      <c r="R702" s="265">
        <v>41694</v>
      </c>
      <c r="S702" s="265">
        <v>42667</v>
      </c>
      <c r="T702" s="39">
        <f t="shared" si="32"/>
        <v>973</v>
      </c>
    </row>
    <row r="703" spans="1:20">
      <c r="A703" s="291" t="s">
        <v>610</v>
      </c>
      <c r="B703" s="292" t="s">
        <v>251</v>
      </c>
      <c r="C703" s="293" t="s">
        <v>417</v>
      </c>
      <c r="D703" s="294">
        <v>212136062</v>
      </c>
      <c r="E703" s="295">
        <v>9197226463</v>
      </c>
      <c r="F703" s="293" t="s">
        <v>256</v>
      </c>
      <c r="G703" s="296">
        <v>36992</v>
      </c>
      <c r="H703" s="297" t="str">
        <f t="shared" si="30"/>
        <v>April</v>
      </c>
      <c r="I703" s="298">
        <f t="shared" ca="1" si="31"/>
        <v>15</v>
      </c>
      <c r="J703" s="298" t="s">
        <v>283</v>
      </c>
      <c r="K703" s="299">
        <v>82400</v>
      </c>
      <c r="L703" s="300">
        <v>2</v>
      </c>
      <c r="Q703" s="264" t="s">
        <v>2435</v>
      </c>
      <c r="R703" s="265">
        <v>41508</v>
      </c>
      <c r="S703" s="265">
        <v>41879</v>
      </c>
      <c r="T703" s="39">
        <f t="shared" si="32"/>
        <v>371</v>
      </c>
    </row>
    <row r="704" spans="1:20">
      <c r="A704" s="301" t="s">
        <v>675</v>
      </c>
      <c r="B704" s="302" t="s">
        <v>266</v>
      </c>
      <c r="C704" s="303" t="s">
        <v>930</v>
      </c>
      <c r="D704" s="304">
        <v>971128623</v>
      </c>
      <c r="E704" s="305">
        <v>9194375399</v>
      </c>
      <c r="F704" s="303" t="s">
        <v>247</v>
      </c>
      <c r="G704" s="306">
        <v>38051</v>
      </c>
      <c r="H704" s="307" t="str">
        <f t="shared" si="30"/>
        <v>March</v>
      </c>
      <c r="I704" s="308">
        <f t="shared" ca="1" si="31"/>
        <v>12</v>
      </c>
      <c r="J704" s="308"/>
      <c r="K704" s="309">
        <v>25530</v>
      </c>
      <c r="L704" s="310">
        <v>3</v>
      </c>
    </row>
    <row r="705" spans="1:12">
      <c r="A705" s="291" t="s">
        <v>848</v>
      </c>
      <c r="B705" s="292" t="s">
        <v>245</v>
      </c>
      <c r="C705" s="293" t="s">
        <v>296</v>
      </c>
      <c r="D705" s="294">
        <v>963028490</v>
      </c>
      <c r="E705" s="295">
        <v>2524383168</v>
      </c>
      <c r="F705" s="293" t="s">
        <v>256</v>
      </c>
      <c r="G705" s="296">
        <v>34461</v>
      </c>
      <c r="H705" s="297" t="str">
        <f t="shared" si="30"/>
        <v>May</v>
      </c>
      <c r="I705" s="298">
        <f t="shared" ca="1" si="31"/>
        <v>22</v>
      </c>
      <c r="J705" s="298" t="s">
        <v>262</v>
      </c>
      <c r="K705" s="299">
        <v>41350</v>
      </c>
      <c r="L705" s="300">
        <v>2</v>
      </c>
    </row>
    <row r="706" spans="1:12">
      <c r="A706" s="301" t="s">
        <v>611</v>
      </c>
      <c r="B706" s="302" t="s">
        <v>245</v>
      </c>
      <c r="C706" s="303" t="s">
        <v>618</v>
      </c>
      <c r="D706" s="304">
        <v>292006053</v>
      </c>
      <c r="E706" s="305">
        <v>9197045091</v>
      </c>
      <c r="F706" s="303" t="s">
        <v>247</v>
      </c>
      <c r="G706" s="306">
        <v>37675</v>
      </c>
      <c r="H706" s="307" t="str">
        <f t="shared" si="30"/>
        <v>February</v>
      </c>
      <c r="I706" s="308">
        <f t="shared" ca="1" si="31"/>
        <v>13</v>
      </c>
      <c r="J706" s="308"/>
      <c r="K706" s="309">
        <v>74500</v>
      </c>
      <c r="L706" s="310">
        <v>4</v>
      </c>
    </row>
    <row r="707" spans="1:12">
      <c r="A707" s="291" t="s">
        <v>763</v>
      </c>
      <c r="B707" s="292" t="s">
        <v>285</v>
      </c>
      <c r="C707" s="293" t="s">
        <v>930</v>
      </c>
      <c r="D707" s="294">
        <v>121173068</v>
      </c>
      <c r="E707" s="295">
        <v>9196778600</v>
      </c>
      <c r="F707" s="293" t="s">
        <v>256</v>
      </c>
      <c r="G707" s="296">
        <v>41478</v>
      </c>
      <c r="H707" s="297" t="str">
        <f t="shared" si="30"/>
        <v>July</v>
      </c>
      <c r="I707" s="298">
        <f t="shared" ca="1" si="31"/>
        <v>3</v>
      </c>
      <c r="J707" s="298" t="s">
        <v>257</v>
      </c>
      <c r="K707" s="299">
        <v>46390</v>
      </c>
      <c r="L707" s="300">
        <v>5</v>
      </c>
    </row>
    <row r="708" spans="1:12">
      <c r="A708" s="301" t="s">
        <v>612</v>
      </c>
      <c r="B708" s="302" t="s">
        <v>285</v>
      </c>
      <c r="C708" s="303" t="s">
        <v>312</v>
      </c>
      <c r="D708" s="304">
        <v>571120098</v>
      </c>
      <c r="E708" s="305">
        <v>2525789252</v>
      </c>
      <c r="F708" s="303" t="s">
        <v>256</v>
      </c>
      <c r="G708" s="306">
        <v>36739</v>
      </c>
      <c r="H708" s="307" t="str">
        <f t="shared" si="30"/>
        <v>August</v>
      </c>
      <c r="I708" s="308">
        <f t="shared" ca="1" si="31"/>
        <v>16</v>
      </c>
      <c r="J708" s="308" t="s">
        <v>257</v>
      </c>
      <c r="K708" s="309">
        <v>61030</v>
      </c>
      <c r="L708" s="310">
        <v>3</v>
      </c>
    </row>
    <row r="709" spans="1:12">
      <c r="A709" s="291" t="s">
        <v>764</v>
      </c>
      <c r="B709" s="292" t="s">
        <v>245</v>
      </c>
      <c r="C709" s="293" t="s">
        <v>411</v>
      </c>
      <c r="D709" s="294">
        <v>914041569</v>
      </c>
      <c r="E709" s="295">
        <v>9196082608</v>
      </c>
      <c r="F709" s="293" t="s">
        <v>256</v>
      </c>
      <c r="G709" s="296">
        <v>41310</v>
      </c>
      <c r="H709" s="297" t="str">
        <f t="shared" si="30"/>
        <v>February</v>
      </c>
      <c r="I709" s="298">
        <f t="shared" ca="1" si="31"/>
        <v>3</v>
      </c>
      <c r="J709" s="298" t="s">
        <v>283</v>
      </c>
      <c r="K709" s="299">
        <v>79150</v>
      </c>
      <c r="L709" s="300">
        <v>2</v>
      </c>
    </row>
    <row r="710" spans="1:12">
      <c r="A710" s="301" t="s">
        <v>265</v>
      </c>
      <c r="B710" s="302" t="s">
        <v>285</v>
      </c>
      <c r="C710" s="303" t="s">
        <v>417</v>
      </c>
      <c r="D710" s="304">
        <v>661397587</v>
      </c>
      <c r="E710" s="305">
        <v>9196126835</v>
      </c>
      <c r="F710" s="303" t="s">
        <v>247</v>
      </c>
      <c r="G710" s="306">
        <v>35822</v>
      </c>
      <c r="H710" s="307" t="str">
        <f t="shared" ref="H710:H773" si="33">CHOOSE(MONTH(G710),"January","February","March","April","May","June","July","August","September","October","November","December")</f>
        <v>January</v>
      </c>
      <c r="I710" s="308">
        <f t="shared" ref="I710:I746" ca="1" si="34">DATEDIF(G710,TODAY(),"Y")</f>
        <v>18</v>
      </c>
      <c r="J710" s="308"/>
      <c r="K710" s="309">
        <v>40560</v>
      </c>
      <c r="L710" s="310">
        <v>5</v>
      </c>
    </row>
    <row r="711" spans="1:12">
      <c r="A711" s="291" t="s">
        <v>1019</v>
      </c>
      <c r="B711" s="292" t="s">
        <v>280</v>
      </c>
      <c r="C711" s="293" t="s">
        <v>465</v>
      </c>
      <c r="D711" s="294">
        <v>575270646</v>
      </c>
      <c r="E711" s="295">
        <v>9197819805</v>
      </c>
      <c r="F711" s="293" t="s">
        <v>256</v>
      </c>
      <c r="G711" s="296">
        <v>40258</v>
      </c>
      <c r="H711" s="297" t="str">
        <f t="shared" si="33"/>
        <v>March</v>
      </c>
      <c r="I711" s="298">
        <f t="shared" ca="1" si="34"/>
        <v>6</v>
      </c>
      <c r="J711" s="298" t="s">
        <v>257</v>
      </c>
      <c r="K711" s="299">
        <v>46220</v>
      </c>
      <c r="L711" s="300">
        <v>2</v>
      </c>
    </row>
    <row r="712" spans="1:12">
      <c r="A712" s="301" t="s">
        <v>676</v>
      </c>
      <c r="B712" s="302" t="s">
        <v>251</v>
      </c>
      <c r="C712" s="303" t="s">
        <v>750</v>
      </c>
      <c r="D712" s="304">
        <v>264960848</v>
      </c>
      <c r="E712" s="305">
        <v>9195012757</v>
      </c>
      <c r="F712" s="303" t="s">
        <v>247</v>
      </c>
      <c r="G712" s="306">
        <v>34196</v>
      </c>
      <c r="H712" s="307" t="str">
        <f t="shared" si="33"/>
        <v>August</v>
      </c>
      <c r="I712" s="308">
        <f t="shared" ca="1" si="34"/>
        <v>23</v>
      </c>
      <c r="J712" s="308"/>
      <c r="K712" s="309">
        <v>49070</v>
      </c>
      <c r="L712" s="310">
        <v>3</v>
      </c>
    </row>
    <row r="713" spans="1:12">
      <c r="A713" s="291" t="s">
        <v>366</v>
      </c>
      <c r="B713" s="292" t="s">
        <v>251</v>
      </c>
      <c r="C713" s="293" t="s">
        <v>705</v>
      </c>
      <c r="D713" s="294">
        <v>719165738</v>
      </c>
      <c r="E713" s="295">
        <v>9195750692</v>
      </c>
      <c r="F713" s="293" t="s">
        <v>247</v>
      </c>
      <c r="G713" s="296">
        <v>41378</v>
      </c>
      <c r="H713" s="297" t="str">
        <f t="shared" si="33"/>
        <v>April</v>
      </c>
      <c r="I713" s="298">
        <f t="shared" ca="1" si="34"/>
        <v>3</v>
      </c>
      <c r="J713" s="298"/>
      <c r="K713" s="299">
        <v>39440</v>
      </c>
      <c r="L713" s="300">
        <v>4</v>
      </c>
    </row>
    <row r="714" spans="1:12">
      <c r="A714" s="301" t="s">
        <v>1020</v>
      </c>
      <c r="B714" s="302" t="s">
        <v>271</v>
      </c>
      <c r="C714" s="303" t="s">
        <v>312</v>
      </c>
      <c r="D714" s="304">
        <v>923665952</v>
      </c>
      <c r="E714" s="305">
        <v>2525295649</v>
      </c>
      <c r="F714" s="303" t="s">
        <v>256</v>
      </c>
      <c r="G714" s="306">
        <v>35996</v>
      </c>
      <c r="H714" s="307" t="str">
        <f t="shared" si="33"/>
        <v>July</v>
      </c>
      <c r="I714" s="308">
        <f t="shared" ca="1" si="34"/>
        <v>18</v>
      </c>
      <c r="J714" s="308" t="s">
        <v>267</v>
      </c>
      <c r="K714" s="309">
        <v>77350</v>
      </c>
      <c r="L714" s="310">
        <v>5</v>
      </c>
    </row>
    <row r="715" spans="1:12">
      <c r="A715" s="291" t="s">
        <v>849</v>
      </c>
      <c r="B715" s="292" t="s">
        <v>285</v>
      </c>
      <c r="C715" s="293" t="s">
        <v>626</v>
      </c>
      <c r="D715" s="294">
        <v>424800509</v>
      </c>
      <c r="E715" s="295">
        <v>2523986051</v>
      </c>
      <c r="F715" s="293" t="s">
        <v>256</v>
      </c>
      <c r="G715" s="296">
        <v>37373</v>
      </c>
      <c r="H715" s="297" t="str">
        <f t="shared" si="33"/>
        <v>April</v>
      </c>
      <c r="I715" s="298">
        <f t="shared" ca="1" si="34"/>
        <v>14</v>
      </c>
      <c r="J715" s="298" t="s">
        <v>257</v>
      </c>
      <c r="K715" s="299">
        <v>44220</v>
      </c>
      <c r="L715" s="300">
        <v>3</v>
      </c>
    </row>
    <row r="716" spans="1:12">
      <c r="A716" s="301" t="s">
        <v>850</v>
      </c>
      <c r="B716" s="302" t="s">
        <v>271</v>
      </c>
      <c r="C716" s="303" t="s">
        <v>767</v>
      </c>
      <c r="D716" s="304">
        <v>494754997</v>
      </c>
      <c r="E716" s="305">
        <v>9195617115</v>
      </c>
      <c r="F716" s="303" t="s">
        <v>247</v>
      </c>
      <c r="G716" s="306">
        <v>35636</v>
      </c>
      <c r="H716" s="307" t="str">
        <f t="shared" si="33"/>
        <v>July</v>
      </c>
      <c r="I716" s="308">
        <f t="shared" ca="1" si="34"/>
        <v>19</v>
      </c>
      <c r="J716" s="308"/>
      <c r="K716" s="309">
        <v>33120</v>
      </c>
      <c r="L716" s="310">
        <v>2</v>
      </c>
    </row>
    <row r="717" spans="1:12">
      <c r="A717" s="291" t="s">
        <v>367</v>
      </c>
      <c r="B717" s="292" t="s">
        <v>280</v>
      </c>
      <c r="C717" s="293" t="s">
        <v>381</v>
      </c>
      <c r="D717" s="294">
        <v>313651312</v>
      </c>
      <c r="E717" s="295">
        <v>2526092172</v>
      </c>
      <c r="F717" s="293" t="s">
        <v>256</v>
      </c>
      <c r="G717" s="296">
        <v>37092</v>
      </c>
      <c r="H717" s="297" t="str">
        <f t="shared" si="33"/>
        <v>July</v>
      </c>
      <c r="I717" s="298">
        <f t="shared" ca="1" si="34"/>
        <v>15</v>
      </c>
      <c r="J717" s="298" t="s">
        <v>283</v>
      </c>
      <c r="K717" s="299">
        <v>68300</v>
      </c>
      <c r="L717" s="300">
        <v>5</v>
      </c>
    </row>
    <row r="718" spans="1:12">
      <c r="A718" s="301" t="s">
        <v>613</v>
      </c>
      <c r="B718" s="302" t="s">
        <v>285</v>
      </c>
      <c r="C718" s="303" t="s">
        <v>930</v>
      </c>
      <c r="D718" s="304">
        <v>891224981</v>
      </c>
      <c r="E718" s="305">
        <v>2526391402</v>
      </c>
      <c r="F718" s="303" t="s">
        <v>261</v>
      </c>
      <c r="G718" s="306">
        <v>35050</v>
      </c>
      <c r="H718" s="307" t="str">
        <f t="shared" si="33"/>
        <v>December</v>
      </c>
      <c r="I718" s="308">
        <f t="shared" ca="1" si="34"/>
        <v>20</v>
      </c>
      <c r="J718" s="308" t="s">
        <v>276</v>
      </c>
      <c r="K718" s="309">
        <v>11230</v>
      </c>
      <c r="L718" s="310">
        <v>4</v>
      </c>
    </row>
    <row r="719" spans="1:12">
      <c r="A719" s="291" t="s">
        <v>291</v>
      </c>
      <c r="B719" s="292" t="s">
        <v>271</v>
      </c>
      <c r="C719" s="293" t="s">
        <v>767</v>
      </c>
      <c r="D719" s="294">
        <v>503036433</v>
      </c>
      <c r="E719" s="295">
        <v>9192453666</v>
      </c>
      <c r="F719" s="293" t="s">
        <v>256</v>
      </c>
      <c r="G719" s="296">
        <v>34370</v>
      </c>
      <c r="H719" s="297" t="str">
        <f t="shared" si="33"/>
        <v>February</v>
      </c>
      <c r="I719" s="298">
        <f t="shared" ca="1" si="34"/>
        <v>22</v>
      </c>
      <c r="J719" s="298" t="s">
        <v>267</v>
      </c>
      <c r="K719" s="299">
        <v>77740</v>
      </c>
      <c r="L719" s="300">
        <v>1</v>
      </c>
    </row>
    <row r="720" spans="1:12">
      <c r="A720" s="301" t="s">
        <v>368</v>
      </c>
      <c r="B720" s="302" t="s">
        <v>285</v>
      </c>
      <c r="C720" s="303" t="s">
        <v>856</v>
      </c>
      <c r="D720" s="304">
        <v>784064156</v>
      </c>
      <c r="E720" s="305">
        <v>9193355152</v>
      </c>
      <c r="F720" s="303" t="s">
        <v>256</v>
      </c>
      <c r="G720" s="306">
        <v>34514</v>
      </c>
      <c r="H720" s="307" t="str">
        <f t="shared" si="33"/>
        <v>June</v>
      </c>
      <c r="I720" s="308">
        <f t="shared" ca="1" si="34"/>
        <v>22</v>
      </c>
      <c r="J720" s="308" t="s">
        <v>257</v>
      </c>
      <c r="K720" s="309">
        <v>54830</v>
      </c>
      <c r="L720" s="310">
        <v>1</v>
      </c>
    </row>
    <row r="721" spans="1:12">
      <c r="A721" s="291" t="s">
        <v>292</v>
      </c>
      <c r="B721" s="292" t="s">
        <v>285</v>
      </c>
      <c r="C721" s="293" t="s">
        <v>465</v>
      </c>
      <c r="D721" s="294">
        <v>635767088</v>
      </c>
      <c r="E721" s="295">
        <v>2522153322</v>
      </c>
      <c r="F721" s="293" t="s">
        <v>247</v>
      </c>
      <c r="G721" s="296">
        <v>37887</v>
      </c>
      <c r="H721" s="297" t="str">
        <f t="shared" si="33"/>
        <v>September</v>
      </c>
      <c r="I721" s="298">
        <f t="shared" ca="1" si="34"/>
        <v>13</v>
      </c>
      <c r="J721" s="298"/>
      <c r="K721" s="299">
        <v>68510</v>
      </c>
      <c r="L721" s="300">
        <v>5</v>
      </c>
    </row>
    <row r="722" spans="1:12">
      <c r="A722" s="301" t="s">
        <v>927</v>
      </c>
      <c r="B722" s="302" t="s">
        <v>271</v>
      </c>
      <c r="C722" s="303" t="s">
        <v>856</v>
      </c>
      <c r="D722" s="304">
        <v>548704405</v>
      </c>
      <c r="E722" s="305">
        <v>2526458440</v>
      </c>
      <c r="F722" s="303" t="s">
        <v>247</v>
      </c>
      <c r="G722" s="306">
        <v>37316</v>
      </c>
      <c r="H722" s="307" t="str">
        <f t="shared" si="33"/>
        <v>March</v>
      </c>
      <c r="I722" s="308">
        <f t="shared" ca="1" si="34"/>
        <v>14</v>
      </c>
      <c r="J722" s="308"/>
      <c r="K722" s="309">
        <v>60800</v>
      </c>
      <c r="L722" s="310">
        <v>4</v>
      </c>
    </row>
    <row r="723" spans="1:12">
      <c r="A723" s="291" t="s">
        <v>851</v>
      </c>
      <c r="B723" s="292" t="s">
        <v>266</v>
      </c>
      <c r="C723" s="293" t="s">
        <v>618</v>
      </c>
      <c r="D723" s="294">
        <v>723930767</v>
      </c>
      <c r="E723" s="295">
        <v>9191375297</v>
      </c>
      <c r="F723" s="293" t="s">
        <v>256</v>
      </c>
      <c r="G723" s="296">
        <v>41223</v>
      </c>
      <c r="H723" s="297" t="str">
        <f t="shared" si="33"/>
        <v>November</v>
      </c>
      <c r="I723" s="298">
        <f t="shared" ca="1" si="34"/>
        <v>4</v>
      </c>
      <c r="J723" s="298" t="s">
        <v>283</v>
      </c>
      <c r="K723" s="299">
        <v>27250</v>
      </c>
      <c r="L723" s="300">
        <v>5</v>
      </c>
    </row>
    <row r="724" spans="1:12">
      <c r="A724" s="301" t="s">
        <v>1021</v>
      </c>
      <c r="B724" s="302" t="s">
        <v>285</v>
      </c>
      <c r="C724" s="303" t="s">
        <v>417</v>
      </c>
      <c r="D724" s="304">
        <v>541365827</v>
      </c>
      <c r="E724" s="305">
        <v>2525317859</v>
      </c>
      <c r="F724" s="303" t="s">
        <v>256</v>
      </c>
      <c r="G724" s="306">
        <v>39045</v>
      </c>
      <c r="H724" s="307" t="str">
        <f t="shared" si="33"/>
        <v>November</v>
      </c>
      <c r="I724" s="308">
        <f t="shared" ca="1" si="34"/>
        <v>9</v>
      </c>
      <c r="J724" s="308" t="s">
        <v>267</v>
      </c>
      <c r="K724" s="309">
        <v>65560</v>
      </c>
      <c r="L724" s="310">
        <v>1</v>
      </c>
    </row>
    <row r="725" spans="1:12">
      <c r="A725" s="291" t="s">
        <v>293</v>
      </c>
      <c r="B725" s="292" t="s">
        <v>271</v>
      </c>
      <c r="C725" s="293" t="s">
        <v>930</v>
      </c>
      <c r="D725" s="294">
        <v>657835603</v>
      </c>
      <c r="E725" s="295">
        <v>2526609693</v>
      </c>
      <c r="F725" s="293" t="s">
        <v>256</v>
      </c>
      <c r="G725" s="296">
        <v>34189</v>
      </c>
      <c r="H725" s="297" t="str">
        <f t="shared" si="33"/>
        <v>August</v>
      </c>
      <c r="I725" s="298">
        <f t="shared" ca="1" si="34"/>
        <v>23</v>
      </c>
      <c r="J725" s="298" t="s">
        <v>257</v>
      </c>
      <c r="K725" s="299">
        <v>24200</v>
      </c>
      <c r="L725" s="300">
        <v>5</v>
      </c>
    </row>
    <row r="726" spans="1:12">
      <c r="A726" s="301" t="s">
        <v>614</v>
      </c>
      <c r="B726" s="302" t="s">
        <v>266</v>
      </c>
      <c r="C726" s="303" t="s">
        <v>856</v>
      </c>
      <c r="D726" s="304">
        <v>878902154</v>
      </c>
      <c r="E726" s="305">
        <v>9191155509</v>
      </c>
      <c r="F726" s="303" t="s">
        <v>261</v>
      </c>
      <c r="G726" s="306">
        <v>34800</v>
      </c>
      <c r="H726" s="307" t="str">
        <f t="shared" si="33"/>
        <v>April</v>
      </c>
      <c r="I726" s="308">
        <f t="shared" ca="1" si="34"/>
        <v>21</v>
      </c>
      <c r="J726" s="308" t="s">
        <v>283</v>
      </c>
      <c r="K726" s="309">
        <v>25885</v>
      </c>
      <c r="L726" s="310">
        <v>5</v>
      </c>
    </row>
    <row r="727" spans="1:12">
      <c r="A727" s="291" t="s">
        <v>852</v>
      </c>
      <c r="B727" s="292" t="s">
        <v>245</v>
      </c>
      <c r="C727" s="293" t="s">
        <v>700</v>
      </c>
      <c r="D727" s="294">
        <v>425943144</v>
      </c>
      <c r="E727" s="295">
        <v>2522911046</v>
      </c>
      <c r="F727" s="293" t="s">
        <v>247</v>
      </c>
      <c r="G727" s="296">
        <v>35318</v>
      </c>
      <c r="H727" s="297" t="str">
        <f t="shared" si="33"/>
        <v>September</v>
      </c>
      <c r="I727" s="298">
        <f t="shared" ca="1" si="34"/>
        <v>20</v>
      </c>
      <c r="J727" s="298"/>
      <c r="K727" s="299">
        <v>71700</v>
      </c>
      <c r="L727" s="300">
        <v>2</v>
      </c>
    </row>
    <row r="728" spans="1:12">
      <c r="A728" s="301" t="s">
        <v>765</v>
      </c>
      <c r="B728" s="302" t="s">
        <v>271</v>
      </c>
      <c r="C728" s="303" t="s">
        <v>750</v>
      </c>
      <c r="D728" s="304">
        <v>134557291</v>
      </c>
      <c r="E728" s="305">
        <v>2525536623</v>
      </c>
      <c r="F728" s="303" t="s">
        <v>256</v>
      </c>
      <c r="G728" s="306">
        <v>34023</v>
      </c>
      <c r="H728" s="307" t="str">
        <f t="shared" si="33"/>
        <v>February</v>
      </c>
      <c r="I728" s="308">
        <f t="shared" ca="1" si="34"/>
        <v>23</v>
      </c>
      <c r="J728" s="308" t="s">
        <v>257</v>
      </c>
      <c r="K728" s="309">
        <v>32600</v>
      </c>
      <c r="L728" s="310">
        <v>5</v>
      </c>
    </row>
    <row r="729" spans="1:12">
      <c r="A729" s="291" t="s">
        <v>615</v>
      </c>
      <c r="B729" s="292" t="s">
        <v>271</v>
      </c>
      <c r="C729" s="293" t="s">
        <v>626</v>
      </c>
      <c r="D729" s="294">
        <v>247406371</v>
      </c>
      <c r="E729" s="295">
        <v>9195299873</v>
      </c>
      <c r="F729" s="293" t="s">
        <v>261</v>
      </c>
      <c r="G729" s="296">
        <v>41261</v>
      </c>
      <c r="H729" s="297" t="str">
        <f t="shared" si="33"/>
        <v>December</v>
      </c>
      <c r="I729" s="298">
        <f t="shared" ca="1" si="34"/>
        <v>3</v>
      </c>
      <c r="J729" s="298" t="s">
        <v>283</v>
      </c>
      <c r="K729" s="299">
        <v>20040</v>
      </c>
      <c r="L729" s="300">
        <v>3</v>
      </c>
    </row>
    <row r="730" spans="1:12">
      <c r="A730" s="301" t="s">
        <v>1022</v>
      </c>
      <c r="B730" s="302" t="s">
        <v>271</v>
      </c>
      <c r="C730" s="303" t="s">
        <v>930</v>
      </c>
      <c r="D730" s="304">
        <v>855663308</v>
      </c>
      <c r="E730" s="305">
        <v>9195797109</v>
      </c>
      <c r="F730" s="303" t="s">
        <v>256</v>
      </c>
      <c r="G730" s="306">
        <v>35580</v>
      </c>
      <c r="H730" s="307" t="str">
        <f t="shared" si="33"/>
        <v>May</v>
      </c>
      <c r="I730" s="308">
        <f t="shared" ca="1" si="34"/>
        <v>19</v>
      </c>
      <c r="J730" s="308" t="s">
        <v>257</v>
      </c>
      <c r="K730" s="309">
        <v>69510</v>
      </c>
      <c r="L730" s="310">
        <v>5</v>
      </c>
    </row>
    <row r="731" spans="1:12">
      <c r="A731" s="291" t="s">
        <v>853</v>
      </c>
      <c r="B731" s="292" t="s">
        <v>266</v>
      </c>
      <c r="C731" s="293" t="s">
        <v>312</v>
      </c>
      <c r="D731" s="294">
        <v>600458368</v>
      </c>
      <c r="E731" s="295">
        <v>9197280453</v>
      </c>
      <c r="F731" s="293" t="s">
        <v>261</v>
      </c>
      <c r="G731" s="296">
        <v>40712</v>
      </c>
      <c r="H731" s="297" t="str">
        <f t="shared" si="33"/>
        <v>June</v>
      </c>
      <c r="I731" s="298">
        <f t="shared" ca="1" si="34"/>
        <v>5</v>
      </c>
      <c r="J731" s="298" t="s">
        <v>276</v>
      </c>
      <c r="K731" s="299">
        <v>22535</v>
      </c>
      <c r="L731" s="300">
        <v>3</v>
      </c>
    </row>
    <row r="732" spans="1:12">
      <c r="A732" s="301" t="s">
        <v>409</v>
      </c>
      <c r="B732" s="302" t="s">
        <v>251</v>
      </c>
      <c r="C732" s="303" t="s">
        <v>465</v>
      </c>
      <c r="D732" s="304">
        <v>100679868</v>
      </c>
      <c r="E732" s="305">
        <v>9198082183</v>
      </c>
      <c r="F732" s="303" t="s">
        <v>261</v>
      </c>
      <c r="G732" s="306">
        <v>36717</v>
      </c>
      <c r="H732" s="307" t="str">
        <f t="shared" si="33"/>
        <v>July</v>
      </c>
      <c r="I732" s="308">
        <f t="shared" ca="1" si="34"/>
        <v>16</v>
      </c>
      <c r="J732" s="308" t="s">
        <v>257</v>
      </c>
      <c r="K732" s="309">
        <v>48835</v>
      </c>
      <c r="L732" s="310">
        <v>5</v>
      </c>
    </row>
    <row r="733" spans="1:12">
      <c r="A733" s="291" t="s">
        <v>452</v>
      </c>
      <c r="B733" s="292" t="s">
        <v>271</v>
      </c>
      <c r="C733" s="293" t="s">
        <v>930</v>
      </c>
      <c r="D733" s="294">
        <v>308317457</v>
      </c>
      <c r="E733" s="295">
        <v>9192729524</v>
      </c>
      <c r="F733" s="293" t="s">
        <v>256</v>
      </c>
      <c r="G733" s="296">
        <v>41590</v>
      </c>
      <c r="H733" s="297" t="str">
        <f t="shared" si="33"/>
        <v>November</v>
      </c>
      <c r="I733" s="298">
        <f t="shared" ca="1" si="34"/>
        <v>2</v>
      </c>
      <c r="J733" s="298" t="s">
        <v>257</v>
      </c>
      <c r="K733" s="299">
        <v>23030</v>
      </c>
      <c r="L733" s="300">
        <v>4</v>
      </c>
    </row>
    <row r="734" spans="1:12">
      <c r="A734" s="301" t="s">
        <v>294</v>
      </c>
      <c r="B734" s="302" t="s">
        <v>285</v>
      </c>
      <c r="C734" s="303" t="s">
        <v>767</v>
      </c>
      <c r="D734" s="304">
        <v>160662505</v>
      </c>
      <c r="E734" s="305">
        <v>2526427045</v>
      </c>
      <c r="F734" s="303" t="s">
        <v>247</v>
      </c>
      <c r="G734" s="306">
        <v>38436</v>
      </c>
      <c r="H734" s="307" t="str">
        <f t="shared" si="33"/>
        <v>March</v>
      </c>
      <c r="I734" s="308">
        <f t="shared" ca="1" si="34"/>
        <v>11</v>
      </c>
      <c r="J734" s="308"/>
      <c r="K734" s="309">
        <v>61580</v>
      </c>
      <c r="L734" s="310">
        <v>3</v>
      </c>
    </row>
    <row r="735" spans="1:12">
      <c r="A735" s="291" t="s">
        <v>369</v>
      </c>
      <c r="B735" s="292" t="s">
        <v>285</v>
      </c>
      <c r="C735" s="293" t="s">
        <v>465</v>
      </c>
      <c r="D735" s="294">
        <v>725801036</v>
      </c>
      <c r="E735" s="295">
        <v>9195089157</v>
      </c>
      <c r="F735" s="293" t="s">
        <v>247</v>
      </c>
      <c r="G735" s="296">
        <v>36882</v>
      </c>
      <c r="H735" s="297" t="str">
        <f t="shared" si="33"/>
        <v>December</v>
      </c>
      <c r="I735" s="298">
        <f t="shared" ca="1" si="34"/>
        <v>15</v>
      </c>
      <c r="J735" s="298"/>
      <c r="K735" s="299">
        <v>71710</v>
      </c>
      <c r="L735" s="300">
        <v>5</v>
      </c>
    </row>
    <row r="736" spans="1:12">
      <c r="A736" s="301" t="s">
        <v>747</v>
      </c>
      <c r="B736" s="302" t="s">
        <v>271</v>
      </c>
      <c r="C736" s="303" t="s">
        <v>417</v>
      </c>
      <c r="D736" s="304">
        <v>407299017</v>
      </c>
      <c r="E736" s="305">
        <v>9195968632</v>
      </c>
      <c r="F736" s="303" t="s">
        <v>252</v>
      </c>
      <c r="G736" s="306">
        <v>40803</v>
      </c>
      <c r="H736" s="307" t="str">
        <f t="shared" si="33"/>
        <v>September</v>
      </c>
      <c r="I736" s="308">
        <f t="shared" ca="1" si="34"/>
        <v>5</v>
      </c>
      <c r="J736" s="308"/>
      <c r="K736" s="309">
        <v>15744</v>
      </c>
      <c r="L736" s="310">
        <v>3</v>
      </c>
    </row>
    <row r="737" spans="1:12">
      <c r="A737" s="291" t="s">
        <v>624</v>
      </c>
      <c r="B737" s="292" t="s">
        <v>285</v>
      </c>
      <c r="C737" s="293" t="s">
        <v>381</v>
      </c>
      <c r="D737" s="294">
        <v>405297884</v>
      </c>
      <c r="E737" s="295">
        <v>2524747044</v>
      </c>
      <c r="F737" s="293" t="s">
        <v>256</v>
      </c>
      <c r="G737" s="296">
        <v>33981</v>
      </c>
      <c r="H737" s="297" t="str">
        <f t="shared" si="33"/>
        <v>January</v>
      </c>
      <c r="I737" s="298">
        <f t="shared" ca="1" si="34"/>
        <v>23</v>
      </c>
      <c r="J737" s="298" t="s">
        <v>283</v>
      </c>
      <c r="K737" s="299">
        <v>69060</v>
      </c>
      <c r="L737" s="300">
        <v>1</v>
      </c>
    </row>
    <row r="738" spans="1:12">
      <c r="A738" s="301" t="s">
        <v>854</v>
      </c>
      <c r="B738" s="302" t="s">
        <v>266</v>
      </c>
      <c r="C738" s="303" t="s">
        <v>246</v>
      </c>
      <c r="D738" s="304">
        <v>991656720</v>
      </c>
      <c r="E738" s="305">
        <v>2528138394</v>
      </c>
      <c r="F738" s="303" t="s">
        <v>256</v>
      </c>
      <c r="G738" s="306">
        <v>40357</v>
      </c>
      <c r="H738" s="307" t="str">
        <f t="shared" si="33"/>
        <v>June</v>
      </c>
      <c r="I738" s="308">
        <f t="shared" ca="1" si="34"/>
        <v>6</v>
      </c>
      <c r="J738" s="308" t="s">
        <v>267</v>
      </c>
      <c r="K738" s="309">
        <v>72830</v>
      </c>
      <c r="L738" s="310">
        <v>2</v>
      </c>
    </row>
    <row r="739" spans="1:12">
      <c r="A739" s="291" t="s">
        <v>928</v>
      </c>
      <c r="B739" s="292" t="s">
        <v>271</v>
      </c>
      <c r="C739" s="293" t="s">
        <v>465</v>
      </c>
      <c r="D739" s="294">
        <v>569701716</v>
      </c>
      <c r="E739" s="295">
        <v>2527461285</v>
      </c>
      <c r="F739" s="293" t="s">
        <v>261</v>
      </c>
      <c r="G739" s="296">
        <v>37087</v>
      </c>
      <c r="H739" s="297" t="str">
        <f t="shared" si="33"/>
        <v>July</v>
      </c>
      <c r="I739" s="298">
        <f t="shared" ca="1" si="34"/>
        <v>15</v>
      </c>
      <c r="J739" s="298" t="s">
        <v>267</v>
      </c>
      <c r="K739" s="299">
        <v>21670</v>
      </c>
      <c r="L739" s="300">
        <v>2</v>
      </c>
    </row>
    <row r="740" spans="1:12">
      <c r="A740" s="301" t="s">
        <v>453</v>
      </c>
      <c r="B740" s="302" t="s">
        <v>285</v>
      </c>
      <c r="C740" s="303" t="s">
        <v>296</v>
      </c>
      <c r="D740" s="304">
        <v>533976888</v>
      </c>
      <c r="E740" s="305">
        <v>9192572783</v>
      </c>
      <c r="F740" s="303" t="s">
        <v>256</v>
      </c>
      <c r="G740" s="306">
        <v>37124</v>
      </c>
      <c r="H740" s="307" t="str">
        <f t="shared" si="33"/>
        <v>August</v>
      </c>
      <c r="I740" s="308">
        <f t="shared" ca="1" si="34"/>
        <v>15</v>
      </c>
      <c r="J740" s="308" t="s">
        <v>276</v>
      </c>
      <c r="K740" s="309">
        <v>47850</v>
      </c>
      <c r="L740" s="310">
        <v>1</v>
      </c>
    </row>
    <row r="741" spans="1:12">
      <c r="A741" s="291" t="s">
        <v>616</v>
      </c>
      <c r="B741" s="292" t="s">
        <v>271</v>
      </c>
      <c r="C741" s="293" t="s">
        <v>465</v>
      </c>
      <c r="D741" s="294">
        <v>665773893</v>
      </c>
      <c r="E741" s="295">
        <v>9198857217</v>
      </c>
      <c r="F741" s="293" t="s">
        <v>252</v>
      </c>
      <c r="G741" s="296">
        <v>41484</v>
      </c>
      <c r="H741" s="297" t="str">
        <f t="shared" si="33"/>
        <v>July</v>
      </c>
      <c r="I741" s="298">
        <f t="shared" ca="1" si="34"/>
        <v>3</v>
      </c>
      <c r="J741" s="298"/>
      <c r="K741" s="299">
        <v>28424</v>
      </c>
      <c r="L741" s="300">
        <v>4</v>
      </c>
    </row>
    <row r="742" spans="1:12">
      <c r="A742" s="301" t="s">
        <v>305</v>
      </c>
      <c r="B742" s="302" t="s">
        <v>271</v>
      </c>
      <c r="C742" s="303" t="s">
        <v>626</v>
      </c>
      <c r="D742" s="304">
        <v>796685092</v>
      </c>
      <c r="E742" s="305">
        <v>2527469217</v>
      </c>
      <c r="F742" s="303" t="s">
        <v>256</v>
      </c>
      <c r="G742" s="306">
        <v>37366</v>
      </c>
      <c r="H742" s="307" t="str">
        <f t="shared" si="33"/>
        <v>April</v>
      </c>
      <c r="I742" s="308">
        <f t="shared" ca="1" si="34"/>
        <v>14</v>
      </c>
      <c r="J742" s="308" t="s">
        <v>283</v>
      </c>
      <c r="K742" s="309">
        <v>43460</v>
      </c>
      <c r="L742" s="310">
        <v>5</v>
      </c>
    </row>
    <row r="743" spans="1:12">
      <c r="A743" s="291" t="s">
        <v>748</v>
      </c>
      <c r="B743" s="292" t="s">
        <v>271</v>
      </c>
      <c r="C743" s="293" t="s">
        <v>856</v>
      </c>
      <c r="D743" s="294">
        <v>975857784</v>
      </c>
      <c r="E743" s="295">
        <v>9192390604</v>
      </c>
      <c r="F743" s="293" t="s">
        <v>247</v>
      </c>
      <c r="G743" s="296">
        <v>37552</v>
      </c>
      <c r="H743" s="297" t="str">
        <f t="shared" si="33"/>
        <v>October</v>
      </c>
      <c r="I743" s="298">
        <f t="shared" ca="1" si="34"/>
        <v>14</v>
      </c>
      <c r="J743" s="298"/>
      <c r="K743" s="299">
        <v>77760</v>
      </c>
      <c r="L743" s="300">
        <v>3</v>
      </c>
    </row>
    <row r="744" spans="1:12">
      <c r="A744" s="301" t="s">
        <v>370</v>
      </c>
      <c r="B744" s="302" t="s">
        <v>245</v>
      </c>
      <c r="C744" s="303" t="s">
        <v>767</v>
      </c>
      <c r="D744" s="304">
        <v>151277827</v>
      </c>
      <c r="E744" s="305">
        <v>9197179128</v>
      </c>
      <c r="F744" s="303" t="s">
        <v>256</v>
      </c>
      <c r="G744" s="306">
        <v>40809</v>
      </c>
      <c r="H744" s="307" t="str">
        <f t="shared" si="33"/>
        <v>September</v>
      </c>
      <c r="I744" s="308">
        <f t="shared" ca="1" si="34"/>
        <v>5</v>
      </c>
      <c r="J744" s="308" t="s">
        <v>257</v>
      </c>
      <c r="K744" s="309">
        <v>24790</v>
      </c>
      <c r="L744" s="310">
        <v>3</v>
      </c>
    </row>
    <row r="745" spans="1:12">
      <c r="A745" s="291" t="s">
        <v>454</v>
      </c>
      <c r="B745" s="292" t="s">
        <v>285</v>
      </c>
      <c r="C745" s="293" t="s">
        <v>856</v>
      </c>
      <c r="D745" s="294">
        <v>708082156</v>
      </c>
      <c r="E745" s="295">
        <v>9194919822</v>
      </c>
      <c r="F745" s="293" t="s">
        <v>256</v>
      </c>
      <c r="G745" s="296">
        <v>37222</v>
      </c>
      <c r="H745" s="297" t="str">
        <f t="shared" si="33"/>
        <v>November</v>
      </c>
      <c r="I745" s="298">
        <f t="shared" ca="1" si="34"/>
        <v>14</v>
      </c>
      <c r="J745" s="298" t="s">
        <v>257</v>
      </c>
      <c r="K745" s="299">
        <v>69200</v>
      </c>
      <c r="L745" s="300">
        <v>4</v>
      </c>
    </row>
    <row r="746" spans="1:12">
      <c r="A746" s="257" t="s">
        <v>1023</v>
      </c>
      <c r="B746" s="258" t="s">
        <v>245</v>
      </c>
      <c r="C746" s="259" t="s">
        <v>767</v>
      </c>
      <c r="D746" s="260">
        <v>991221095</v>
      </c>
      <c r="E746" s="261">
        <v>9194630903</v>
      </c>
      <c r="F746" s="259" t="s">
        <v>256</v>
      </c>
      <c r="G746" s="262">
        <v>36061</v>
      </c>
      <c r="H746" s="263" t="str">
        <f t="shared" si="33"/>
        <v>September</v>
      </c>
      <c r="I746" s="266">
        <f t="shared" ca="1" si="34"/>
        <v>18</v>
      </c>
      <c r="J746" s="266" t="s">
        <v>276</v>
      </c>
      <c r="K746" s="267">
        <v>29760</v>
      </c>
      <c r="L746" s="268">
        <v>2</v>
      </c>
    </row>
  </sheetData>
  <pageMargins left="0.75" right="0.75" top="1" bottom="1" header="0.5" footer="0.5"/>
  <pageSetup orientation="portrait" r:id="rId1"/>
  <headerFooter alignWithMargins="0"/>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L917"/>
  <sheetViews>
    <sheetView zoomScale="145" zoomScaleNormal="145" workbookViewId="0">
      <selection activeCell="E2" sqref="E2"/>
    </sheetView>
  </sheetViews>
  <sheetFormatPr defaultColWidth="18" defaultRowHeight="15"/>
  <cols>
    <col min="1" max="1" width="16.5703125" style="39" customWidth="1"/>
    <col min="2" max="2" width="15.7109375" style="122" bestFit="1" customWidth="1"/>
    <col min="3" max="3" width="7.7109375" style="122" bestFit="1" customWidth="1"/>
    <col min="4" max="4" width="15.85546875" style="122" bestFit="1" customWidth="1"/>
    <col min="5" max="5" width="11.28515625" style="123" bestFit="1" customWidth="1"/>
    <col min="6" max="6" width="11.28515625" style="123" customWidth="1"/>
    <col min="7" max="7" width="7.85546875" style="202" bestFit="1" customWidth="1"/>
    <col min="8" max="8" width="10.140625" style="202" bestFit="1" customWidth="1"/>
    <col min="9" max="11" width="10" style="122" customWidth="1"/>
    <col min="12" max="12" width="14.7109375" style="122" customWidth="1"/>
    <col min="13" max="13" width="10.5703125" style="122" customWidth="1"/>
    <col min="14" max="18" width="16.28515625" style="122" customWidth="1"/>
    <col min="19" max="19" width="9.28515625" style="122" customWidth="1"/>
    <col min="20" max="20" width="11.28515625" style="122" customWidth="1"/>
    <col min="21" max="16384" width="18" style="122"/>
  </cols>
  <sheetData>
    <row r="1" spans="1:12" ht="15.75" thickBot="1">
      <c r="A1" s="319" t="s">
        <v>1465</v>
      </c>
      <c r="B1" s="319" t="s">
        <v>1464</v>
      </c>
      <c r="C1" s="319" t="s">
        <v>1463</v>
      </c>
      <c r="D1" s="319" t="s">
        <v>1462</v>
      </c>
      <c r="E1" s="318" t="s">
        <v>1064</v>
      </c>
      <c r="F1" s="318" t="s">
        <v>3139</v>
      </c>
      <c r="G1" s="317" t="s">
        <v>1461</v>
      </c>
      <c r="H1" s="317" t="s">
        <v>1423</v>
      </c>
      <c r="I1" s="316"/>
      <c r="J1" s="316"/>
      <c r="K1" s="316"/>
      <c r="L1" s="316"/>
    </row>
    <row r="6" spans="1:12" ht="15.75" thickBot="1"/>
    <row r="7" spans="1:12" s="316" customFormat="1" ht="15.75" thickBot="1">
      <c r="A7" s="319" t="s">
        <v>1465</v>
      </c>
      <c r="B7" s="319" t="s">
        <v>1464</v>
      </c>
      <c r="C7" s="319" t="s">
        <v>1463</v>
      </c>
      <c r="D7" s="319" t="s">
        <v>1462</v>
      </c>
      <c r="E7" s="318" t="s">
        <v>1064</v>
      </c>
      <c r="F7" s="318" t="s">
        <v>3139</v>
      </c>
      <c r="G7" s="317" t="s">
        <v>1461</v>
      </c>
      <c r="H7" s="317" t="s">
        <v>1423</v>
      </c>
    </row>
    <row r="8" spans="1:12" hidden="1">
      <c r="A8" s="122" t="s">
        <v>1443</v>
      </c>
      <c r="B8" s="122" t="s">
        <v>1458</v>
      </c>
      <c r="C8" s="122" t="s">
        <v>1441</v>
      </c>
      <c r="D8" s="122" t="s">
        <v>1455</v>
      </c>
      <c r="E8" s="312">
        <v>41394</v>
      </c>
      <c r="F8" s="311">
        <v>0.69444444444444442</v>
      </c>
      <c r="G8" s="202">
        <v>7</v>
      </c>
      <c r="H8" s="202">
        <v>2457</v>
      </c>
      <c r="L8" s="220"/>
    </row>
    <row r="9" spans="1:12" hidden="1">
      <c r="A9" s="122" t="s">
        <v>1474</v>
      </c>
      <c r="B9" s="122" t="s">
        <v>1437</v>
      </c>
      <c r="C9" s="122" t="s">
        <v>1445</v>
      </c>
      <c r="D9" s="122" t="s">
        <v>1452</v>
      </c>
      <c r="E9" s="312">
        <v>40917</v>
      </c>
      <c r="F9" s="311">
        <v>0.58680555555555547</v>
      </c>
      <c r="G9" s="202">
        <v>4</v>
      </c>
      <c r="H9" s="313">
        <v>1816</v>
      </c>
      <c r="L9" s="220"/>
    </row>
    <row r="10" spans="1:12" hidden="1">
      <c r="A10" s="122" t="s">
        <v>1474</v>
      </c>
      <c r="B10" s="122" t="s">
        <v>1457</v>
      </c>
      <c r="C10" s="122" t="s">
        <v>1436</v>
      </c>
      <c r="D10" s="122" t="s">
        <v>1435</v>
      </c>
      <c r="E10" s="312">
        <v>41544</v>
      </c>
      <c r="F10" s="311">
        <v>0.46180555555555552</v>
      </c>
      <c r="G10" s="202">
        <v>19</v>
      </c>
      <c r="H10" s="202">
        <v>28234</v>
      </c>
    </row>
    <row r="11" spans="1:12" hidden="1">
      <c r="A11" s="122" t="s">
        <v>1438</v>
      </c>
      <c r="B11" s="122" t="s">
        <v>1460</v>
      </c>
      <c r="C11" s="122" t="s">
        <v>1436</v>
      </c>
      <c r="D11" s="122" t="s">
        <v>1455</v>
      </c>
      <c r="E11" s="312">
        <v>41544</v>
      </c>
      <c r="F11" s="311">
        <v>0.65625</v>
      </c>
      <c r="G11" s="202">
        <v>9</v>
      </c>
      <c r="H11" s="202">
        <v>7920</v>
      </c>
    </row>
    <row r="12" spans="1:12">
      <c r="A12" s="122" t="s">
        <v>1472</v>
      </c>
      <c r="B12" s="122" t="s">
        <v>1460</v>
      </c>
      <c r="C12" s="122" t="s">
        <v>1441</v>
      </c>
      <c r="D12" s="122" t="s">
        <v>1435</v>
      </c>
      <c r="E12" s="312">
        <v>41388</v>
      </c>
      <c r="F12" s="311">
        <v>0.73958333333333326</v>
      </c>
      <c r="G12" s="202">
        <v>11</v>
      </c>
      <c r="H12" s="202">
        <v>4807</v>
      </c>
    </row>
    <row r="13" spans="1:12" hidden="1">
      <c r="A13" s="122" t="s">
        <v>1448</v>
      </c>
      <c r="B13" s="122" t="s">
        <v>1437</v>
      </c>
      <c r="C13" s="122" t="s">
        <v>1439</v>
      </c>
      <c r="D13" s="122" t="s">
        <v>1453</v>
      </c>
      <c r="E13" s="312">
        <v>41023</v>
      </c>
      <c r="F13" s="311">
        <v>0.42013888888888884</v>
      </c>
      <c r="G13" s="202">
        <v>11</v>
      </c>
      <c r="H13" s="202">
        <v>17237</v>
      </c>
    </row>
    <row r="14" spans="1:12" hidden="1">
      <c r="A14" s="122" t="s">
        <v>1472</v>
      </c>
      <c r="B14" s="122" t="s">
        <v>1459</v>
      </c>
      <c r="C14" s="122" t="s">
        <v>1436</v>
      </c>
      <c r="D14" s="122" t="s">
        <v>1450</v>
      </c>
      <c r="E14" s="312">
        <v>41037</v>
      </c>
      <c r="F14" s="311">
        <v>0.60416666666666663</v>
      </c>
      <c r="G14" s="202">
        <v>11</v>
      </c>
      <c r="H14" s="202">
        <v>8833</v>
      </c>
    </row>
    <row r="15" spans="1:12" hidden="1">
      <c r="A15" s="122" t="s">
        <v>1448</v>
      </c>
      <c r="B15" s="122" t="s">
        <v>1437</v>
      </c>
      <c r="C15" s="122" t="s">
        <v>1445</v>
      </c>
      <c r="D15" s="122" t="s">
        <v>1452</v>
      </c>
      <c r="E15" s="312">
        <v>41543</v>
      </c>
      <c r="F15" s="311">
        <v>0.4548611111111111</v>
      </c>
      <c r="G15" s="202">
        <v>9</v>
      </c>
      <c r="H15" s="202">
        <v>12690</v>
      </c>
    </row>
    <row r="16" spans="1:12">
      <c r="A16" s="122" t="s">
        <v>1449</v>
      </c>
      <c r="B16" s="122" t="s">
        <v>1460</v>
      </c>
      <c r="C16" s="122" t="s">
        <v>1439</v>
      </c>
      <c r="D16" s="122" t="s">
        <v>1453</v>
      </c>
      <c r="E16" s="312">
        <v>41542</v>
      </c>
      <c r="F16" s="311">
        <v>0.3923611111111111</v>
      </c>
      <c r="G16" s="202">
        <v>11</v>
      </c>
      <c r="H16" s="202">
        <v>5082</v>
      </c>
    </row>
    <row r="17" spans="1:8" hidden="1">
      <c r="A17" s="122" t="s">
        <v>1438</v>
      </c>
      <c r="B17" s="122" t="s">
        <v>1457</v>
      </c>
      <c r="C17" s="122" t="s">
        <v>1445</v>
      </c>
      <c r="D17" s="122" t="s">
        <v>1450</v>
      </c>
      <c r="E17" s="312">
        <v>41247</v>
      </c>
      <c r="F17" s="311">
        <v>0.375</v>
      </c>
      <c r="G17" s="202">
        <v>10</v>
      </c>
      <c r="H17" s="202">
        <v>8120</v>
      </c>
    </row>
    <row r="18" spans="1:8" hidden="1">
      <c r="A18" s="122" t="s">
        <v>1474</v>
      </c>
      <c r="B18" s="122" t="s">
        <v>1458</v>
      </c>
      <c r="C18" s="122" t="s">
        <v>1445</v>
      </c>
      <c r="D18" s="122" t="s">
        <v>1452</v>
      </c>
      <c r="E18" s="312">
        <v>41362</v>
      </c>
      <c r="F18" s="311">
        <v>0.43055555555555552</v>
      </c>
      <c r="G18" s="202">
        <v>15</v>
      </c>
      <c r="H18" s="202">
        <v>6570</v>
      </c>
    </row>
    <row r="19" spans="1:8" hidden="1">
      <c r="A19" s="122" t="s">
        <v>1443</v>
      </c>
      <c r="B19" s="122" t="s">
        <v>1459</v>
      </c>
      <c r="C19" s="122" t="s">
        <v>1441</v>
      </c>
      <c r="D19" s="122" t="s">
        <v>1450</v>
      </c>
      <c r="E19" s="312">
        <v>40974</v>
      </c>
      <c r="F19" s="311">
        <v>0.62847222222222221</v>
      </c>
      <c r="G19" s="202">
        <v>6</v>
      </c>
      <c r="H19" s="313">
        <v>3174</v>
      </c>
    </row>
    <row r="20" spans="1:8">
      <c r="A20" s="122" t="s">
        <v>1456</v>
      </c>
      <c r="B20" s="122" t="s">
        <v>1457</v>
      </c>
      <c r="C20" s="122" t="s">
        <v>1445</v>
      </c>
      <c r="D20" s="122" t="s">
        <v>1450</v>
      </c>
      <c r="E20" s="312">
        <v>41542</v>
      </c>
      <c r="F20" s="311">
        <v>0.4236111111111111</v>
      </c>
      <c r="G20" s="202">
        <v>11</v>
      </c>
      <c r="H20" s="202">
        <v>11253</v>
      </c>
    </row>
    <row r="21" spans="1:8">
      <c r="A21" s="122" t="s">
        <v>1476</v>
      </c>
      <c r="B21" s="122" t="s">
        <v>1460</v>
      </c>
      <c r="C21" s="122" t="s">
        <v>1439</v>
      </c>
      <c r="D21" s="122" t="s">
        <v>1452</v>
      </c>
      <c r="E21" s="312">
        <v>41542</v>
      </c>
      <c r="F21" s="311">
        <v>0.34375</v>
      </c>
      <c r="G21" s="202">
        <v>4</v>
      </c>
      <c r="H21" s="202">
        <v>2720</v>
      </c>
    </row>
    <row r="22" spans="1:8" hidden="1">
      <c r="A22" s="122" t="s">
        <v>1474</v>
      </c>
      <c r="B22" s="122" t="s">
        <v>1457</v>
      </c>
      <c r="C22" s="122" t="s">
        <v>1445</v>
      </c>
      <c r="D22" s="122" t="s">
        <v>1435</v>
      </c>
      <c r="E22" s="312">
        <v>41082</v>
      </c>
      <c r="F22" s="311">
        <v>0.3923611111111111</v>
      </c>
      <c r="G22" s="202">
        <v>12</v>
      </c>
      <c r="H22" s="202">
        <v>8568</v>
      </c>
    </row>
    <row r="23" spans="1:8" hidden="1">
      <c r="A23" s="122" t="s">
        <v>1449</v>
      </c>
      <c r="B23" s="122" t="s">
        <v>1458</v>
      </c>
      <c r="C23" s="122" t="s">
        <v>1439</v>
      </c>
      <c r="D23" s="122" t="s">
        <v>1452</v>
      </c>
      <c r="E23" s="312">
        <v>40920</v>
      </c>
      <c r="F23" s="311">
        <v>0.64236111111111105</v>
      </c>
      <c r="G23" s="202">
        <v>10</v>
      </c>
      <c r="H23" s="313">
        <v>4900</v>
      </c>
    </row>
    <row r="24" spans="1:8" hidden="1">
      <c r="A24" s="122" t="s">
        <v>1447</v>
      </c>
      <c r="B24" s="122" t="s">
        <v>1459</v>
      </c>
      <c r="C24" s="122" t="s">
        <v>1436</v>
      </c>
      <c r="D24" s="122" t="s">
        <v>1452</v>
      </c>
      <c r="E24" s="312">
        <v>41541</v>
      </c>
      <c r="F24" s="311">
        <v>0.73263888888888884</v>
      </c>
      <c r="G24" s="202">
        <v>3</v>
      </c>
      <c r="H24" s="202">
        <v>1995</v>
      </c>
    </row>
    <row r="25" spans="1:8" hidden="1">
      <c r="A25" s="122" t="s">
        <v>1474</v>
      </c>
      <c r="B25" s="122" t="s">
        <v>1460</v>
      </c>
      <c r="C25" s="122" t="s">
        <v>1436</v>
      </c>
      <c r="D25" s="122" t="s">
        <v>1455</v>
      </c>
      <c r="E25" s="312">
        <v>41585</v>
      </c>
      <c r="F25" s="311">
        <v>0.70138888888888884</v>
      </c>
      <c r="G25" s="202">
        <v>7</v>
      </c>
      <c r="H25" s="202">
        <v>5635</v>
      </c>
    </row>
    <row r="26" spans="1:8">
      <c r="A26" s="122" t="s">
        <v>1447</v>
      </c>
      <c r="B26" s="122" t="s">
        <v>1460</v>
      </c>
      <c r="C26" s="122" t="s">
        <v>1436</v>
      </c>
      <c r="D26" s="122" t="s">
        <v>1452</v>
      </c>
      <c r="E26" s="312">
        <v>40933</v>
      </c>
      <c r="F26" s="311">
        <v>0.38194444444444442</v>
      </c>
      <c r="G26" s="202">
        <v>7</v>
      </c>
      <c r="H26" s="313">
        <v>6083</v>
      </c>
    </row>
    <row r="27" spans="1:8" hidden="1">
      <c r="A27" s="122" t="s">
        <v>1449</v>
      </c>
      <c r="B27" s="122" t="s">
        <v>1458</v>
      </c>
      <c r="C27" s="122" t="s">
        <v>1441</v>
      </c>
      <c r="D27" s="122" t="s">
        <v>1450</v>
      </c>
      <c r="E27" s="312">
        <v>41541</v>
      </c>
      <c r="F27" s="311">
        <v>0.55555555555555558</v>
      </c>
      <c r="G27" s="202">
        <v>10</v>
      </c>
      <c r="H27" s="202">
        <v>5870</v>
      </c>
    </row>
    <row r="28" spans="1:8" hidden="1">
      <c r="A28" s="122" t="s">
        <v>1448</v>
      </c>
      <c r="B28" s="122" t="s">
        <v>1459</v>
      </c>
      <c r="C28" s="122" t="s">
        <v>1445</v>
      </c>
      <c r="D28" s="122" t="s">
        <v>1455</v>
      </c>
      <c r="E28" s="312">
        <v>41440</v>
      </c>
      <c r="F28" s="311">
        <v>0.37152777777777773</v>
      </c>
      <c r="G28" s="202">
        <v>7</v>
      </c>
      <c r="H28" s="202">
        <v>3395</v>
      </c>
    </row>
    <row r="29" spans="1:8" hidden="1">
      <c r="A29" s="122" t="s">
        <v>1472</v>
      </c>
      <c r="B29" s="122" t="s">
        <v>1457</v>
      </c>
      <c r="C29" s="122" t="s">
        <v>1439</v>
      </c>
      <c r="D29" s="122" t="s">
        <v>1455</v>
      </c>
      <c r="E29" s="312">
        <v>40969</v>
      </c>
      <c r="F29" s="311">
        <v>0.73958333333333326</v>
      </c>
      <c r="G29" s="202">
        <v>12</v>
      </c>
      <c r="H29" s="313">
        <v>7824</v>
      </c>
    </row>
    <row r="30" spans="1:8" hidden="1">
      <c r="A30" s="122" t="s">
        <v>1438</v>
      </c>
      <c r="B30" s="122" t="s">
        <v>1460</v>
      </c>
      <c r="C30" s="122" t="s">
        <v>1439</v>
      </c>
      <c r="D30" s="122" t="s">
        <v>1452</v>
      </c>
      <c r="E30" s="312">
        <v>41541</v>
      </c>
      <c r="F30" s="311">
        <v>0.47222222222222221</v>
      </c>
      <c r="G30" s="202">
        <v>15</v>
      </c>
      <c r="H30" s="202">
        <v>8280</v>
      </c>
    </row>
    <row r="31" spans="1:8" hidden="1">
      <c r="A31" s="122" t="s">
        <v>1438</v>
      </c>
      <c r="B31" s="122" t="s">
        <v>1459</v>
      </c>
      <c r="C31" s="122" t="s">
        <v>1441</v>
      </c>
      <c r="D31" s="122" t="s">
        <v>1453</v>
      </c>
      <c r="E31" s="312">
        <v>40957</v>
      </c>
      <c r="F31" s="311">
        <v>0.34375</v>
      </c>
      <c r="G31" s="202">
        <v>12</v>
      </c>
      <c r="H31" s="313">
        <v>10224</v>
      </c>
    </row>
    <row r="32" spans="1:8" hidden="1">
      <c r="A32" s="122" t="s">
        <v>1456</v>
      </c>
      <c r="B32" s="122" t="s">
        <v>1457</v>
      </c>
      <c r="C32" s="122" t="s">
        <v>1436</v>
      </c>
      <c r="D32" s="122" t="s">
        <v>1435</v>
      </c>
      <c r="E32" s="312">
        <v>41267</v>
      </c>
      <c r="F32" s="311">
        <v>0.41666666666666663</v>
      </c>
      <c r="G32" s="202">
        <v>20</v>
      </c>
      <c r="H32" s="202">
        <v>27120</v>
      </c>
    </row>
    <row r="33" spans="1:8" hidden="1">
      <c r="A33" s="122" t="s">
        <v>1443</v>
      </c>
      <c r="B33" s="122" t="s">
        <v>1459</v>
      </c>
      <c r="C33" s="122" t="s">
        <v>1439</v>
      </c>
      <c r="D33" s="122" t="s">
        <v>1452</v>
      </c>
      <c r="E33" s="312">
        <v>41226</v>
      </c>
      <c r="F33" s="311">
        <v>0.70138888888888884</v>
      </c>
      <c r="G33" s="202">
        <v>9</v>
      </c>
      <c r="H33" s="202">
        <v>7002</v>
      </c>
    </row>
    <row r="34" spans="1:8" hidden="1">
      <c r="A34" s="122" t="s">
        <v>1447</v>
      </c>
      <c r="B34" s="122" t="s">
        <v>1437</v>
      </c>
      <c r="C34" s="122" t="s">
        <v>1441</v>
      </c>
      <c r="D34" s="122" t="s">
        <v>1453</v>
      </c>
      <c r="E34" s="312">
        <v>41018</v>
      </c>
      <c r="F34" s="311">
        <v>0.52777777777777779</v>
      </c>
      <c r="G34" s="202">
        <v>4</v>
      </c>
      <c r="H34" s="202">
        <v>6340</v>
      </c>
    </row>
    <row r="35" spans="1:8" hidden="1">
      <c r="A35" s="122" t="s">
        <v>1454</v>
      </c>
      <c r="B35" s="122" t="s">
        <v>1457</v>
      </c>
      <c r="C35" s="122" t="s">
        <v>1436</v>
      </c>
      <c r="D35" s="122" t="s">
        <v>1452</v>
      </c>
      <c r="E35" s="312">
        <v>41018</v>
      </c>
      <c r="F35" s="311">
        <v>0.48958333333333331</v>
      </c>
      <c r="G35" s="202">
        <v>7</v>
      </c>
      <c r="H35" s="202">
        <v>7007</v>
      </c>
    </row>
    <row r="36" spans="1:8" hidden="1">
      <c r="A36" s="122" t="s">
        <v>3138</v>
      </c>
      <c r="B36" s="122" t="s">
        <v>1458</v>
      </c>
      <c r="C36" s="122" t="s">
        <v>1436</v>
      </c>
      <c r="D36" s="122" t="s">
        <v>1453</v>
      </c>
      <c r="E36" s="312">
        <v>41540</v>
      </c>
      <c r="F36" s="311">
        <v>0.74305555555555547</v>
      </c>
      <c r="G36" s="202">
        <v>10</v>
      </c>
      <c r="H36" s="202">
        <v>6270</v>
      </c>
    </row>
    <row r="37" spans="1:8" hidden="1">
      <c r="A37" s="122" t="s">
        <v>1449</v>
      </c>
      <c r="B37" s="122" t="s">
        <v>1458</v>
      </c>
      <c r="C37" s="122" t="s">
        <v>1439</v>
      </c>
      <c r="D37" s="122" t="s">
        <v>1452</v>
      </c>
      <c r="E37" s="312">
        <v>41583</v>
      </c>
      <c r="F37" s="311">
        <v>0.55208333333333326</v>
      </c>
      <c r="G37" s="202">
        <v>13</v>
      </c>
      <c r="H37" s="202">
        <v>4095</v>
      </c>
    </row>
    <row r="38" spans="1:8" hidden="1">
      <c r="A38" s="122" t="s">
        <v>1447</v>
      </c>
      <c r="B38" s="122" t="s">
        <v>1457</v>
      </c>
      <c r="C38" s="122" t="s">
        <v>1439</v>
      </c>
      <c r="D38" s="122" t="s">
        <v>1435</v>
      </c>
      <c r="E38" s="312">
        <v>41359</v>
      </c>
      <c r="F38" s="311">
        <v>0.4548611111111111</v>
      </c>
      <c r="G38" s="202">
        <v>9</v>
      </c>
      <c r="H38" s="202">
        <v>9171</v>
      </c>
    </row>
    <row r="39" spans="1:8" hidden="1">
      <c r="A39" s="122" t="s">
        <v>1444</v>
      </c>
      <c r="B39" s="122" t="s">
        <v>1458</v>
      </c>
      <c r="C39" s="122" t="s">
        <v>1439</v>
      </c>
      <c r="D39" s="122" t="s">
        <v>1452</v>
      </c>
      <c r="E39" s="312">
        <v>41180</v>
      </c>
      <c r="F39" s="311">
        <v>0.69097222222222221</v>
      </c>
      <c r="G39" s="202">
        <v>6</v>
      </c>
      <c r="H39" s="202">
        <v>1890</v>
      </c>
    </row>
    <row r="40" spans="1:8" hidden="1">
      <c r="A40" s="122" t="s">
        <v>1454</v>
      </c>
      <c r="B40" s="122" t="s">
        <v>1437</v>
      </c>
      <c r="C40" s="122" t="s">
        <v>1441</v>
      </c>
      <c r="D40" s="122" t="s">
        <v>1455</v>
      </c>
      <c r="E40" s="312">
        <v>41540</v>
      </c>
      <c r="F40" s="311">
        <v>0.33333333333333331</v>
      </c>
      <c r="G40" s="202">
        <v>13</v>
      </c>
      <c r="H40" s="202">
        <v>10192</v>
      </c>
    </row>
    <row r="41" spans="1:8" hidden="1">
      <c r="A41" s="122" t="s">
        <v>1438</v>
      </c>
      <c r="B41" s="122" t="s">
        <v>1457</v>
      </c>
      <c r="C41" s="122" t="s">
        <v>1441</v>
      </c>
      <c r="D41" s="122" t="s">
        <v>1450</v>
      </c>
      <c r="E41" s="312">
        <v>41537</v>
      </c>
      <c r="F41" s="311">
        <v>0.5625</v>
      </c>
      <c r="G41" s="202">
        <v>7</v>
      </c>
      <c r="H41" s="202">
        <v>8547</v>
      </c>
    </row>
    <row r="42" spans="1:8" hidden="1">
      <c r="A42" s="122" t="s">
        <v>1476</v>
      </c>
      <c r="B42" s="122" t="s">
        <v>1460</v>
      </c>
      <c r="C42" s="122" t="s">
        <v>1439</v>
      </c>
      <c r="D42" s="122" t="s">
        <v>1453</v>
      </c>
      <c r="E42" s="312">
        <v>40945</v>
      </c>
      <c r="F42" s="311">
        <v>0.65625</v>
      </c>
      <c r="G42" s="202">
        <v>11</v>
      </c>
      <c r="H42" s="313">
        <v>6875</v>
      </c>
    </row>
    <row r="43" spans="1:8" hidden="1">
      <c r="A43" s="122" t="s">
        <v>1448</v>
      </c>
      <c r="B43" s="122" t="s">
        <v>1458</v>
      </c>
      <c r="C43" s="122" t="s">
        <v>1441</v>
      </c>
      <c r="D43" s="122" t="s">
        <v>1455</v>
      </c>
      <c r="E43" s="312">
        <v>41536</v>
      </c>
      <c r="F43" s="311">
        <v>0.66666666666666663</v>
      </c>
      <c r="G43" s="202">
        <v>6</v>
      </c>
      <c r="H43" s="202">
        <v>3180</v>
      </c>
    </row>
    <row r="44" spans="1:8">
      <c r="A44" s="122" t="s">
        <v>1472</v>
      </c>
      <c r="B44" s="122" t="s">
        <v>1437</v>
      </c>
      <c r="C44" s="122" t="s">
        <v>1439</v>
      </c>
      <c r="D44" s="122" t="s">
        <v>1450</v>
      </c>
      <c r="E44" s="312">
        <v>41535</v>
      </c>
      <c r="F44" s="311">
        <v>0.69097222222222221</v>
      </c>
      <c r="G44" s="202">
        <v>10</v>
      </c>
      <c r="H44" s="202">
        <v>6410</v>
      </c>
    </row>
    <row r="45" spans="1:8" hidden="1">
      <c r="A45" s="122" t="s">
        <v>1438</v>
      </c>
      <c r="B45" s="122" t="s">
        <v>1458</v>
      </c>
      <c r="C45" s="122" t="s">
        <v>1441</v>
      </c>
      <c r="D45" s="122" t="s">
        <v>1435</v>
      </c>
      <c r="E45" s="312">
        <v>41048</v>
      </c>
      <c r="F45" s="311">
        <v>0.3611111111111111</v>
      </c>
      <c r="G45" s="202">
        <v>9</v>
      </c>
      <c r="H45" s="202">
        <v>3969</v>
      </c>
    </row>
    <row r="46" spans="1:8">
      <c r="A46" s="122" t="s">
        <v>1438</v>
      </c>
      <c r="B46" s="122" t="s">
        <v>1460</v>
      </c>
      <c r="C46" s="122" t="s">
        <v>1439</v>
      </c>
      <c r="D46" s="122" t="s">
        <v>1435</v>
      </c>
      <c r="E46" s="312">
        <v>41535</v>
      </c>
      <c r="F46" s="311">
        <v>0.61111111111111105</v>
      </c>
      <c r="G46" s="202">
        <v>19</v>
      </c>
      <c r="H46" s="202">
        <v>14820</v>
      </c>
    </row>
    <row r="47" spans="1:8" hidden="1">
      <c r="A47" s="122" t="s">
        <v>1474</v>
      </c>
      <c r="B47" s="122" t="s">
        <v>1458</v>
      </c>
      <c r="C47" s="122" t="s">
        <v>1439</v>
      </c>
      <c r="D47" s="122" t="s">
        <v>1435</v>
      </c>
      <c r="E47" s="312">
        <v>41534</v>
      </c>
      <c r="F47" s="311">
        <v>0.67013888888888884</v>
      </c>
      <c r="G47" s="202">
        <v>20</v>
      </c>
      <c r="H47" s="202">
        <v>11260</v>
      </c>
    </row>
    <row r="48" spans="1:8" hidden="1">
      <c r="A48" s="122" t="s">
        <v>1449</v>
      </c>
      <c r="B48" s="122" t="s">
        <v>1460</v>
      </c>
      <c r="C48" s="122" t="s">
        <v>1439</v>
      </c>
      <c r="D48" s="122" t="s">
        <v>1435</v>
      </c>
      <c r="E48" s="312">
        <v>41009</v>
      </c>
      <c r="F48" s="311">
        <v>0.56944444444444442</v>
      </c>
      <c r="G48" s="202">
        <v>7</v>
      </c>
      <c r="H48" s="202">
        <v>5922</v>
      </c>
    </row>
    <row r="49" spans="1:8" hidden="1">
      <c r="A49" s="122" t="s">
        <v>1449</v>
      </c>
      <c r="B49" s="122" t="s">
        <v>1437</v>
      </c>
      <c r="C49" s="122" t="s">
        <v>1441</v>
      </c>
      <c r="D49" s="122" t="s">
        <v>1452</v>
      </c>
      <c r="E49" s="312">
        <v>41368</v>
      </c>
      <c r="F49" s="311">
        <v>0.60069444444444442</v>
      </c>
      <c r="G49" s="202">
        <v>6</v>
      </c>
      <c r="H49" s="202">
        <v>4044</v>
      </c>
    </row>
    <row r="50" spans="1:8" hidden="1">
      <c r="A50" s="122" t="s">
        <v>1448</v>
      </c>
      <c r="B50" s="122" t="s">
        <v>1460</v>
      </c>
      <c r="C50" s="122" t="s">
        <v>1436</v>
      </c>
      <c r="D50" s="122" t="s">
        <v>1452</v>
      </c>
      <c r="E50" s="312">
        <v>41415</v>
      </c>
      <c r="F50" s="311">
        <v>0.45138888888888884</v>
      </c>
      <c r="G50" s="202">
        <v>4</v>
      </c>
      <c r="H50" s="202">
        <v>2580</v>
      </c>
    </row>
    <row r="51" spans="1:8" hidden="1">
      <c r="A51" s="122" t="s">
        <v>1449</v>
      </c>
      <c r="B51" s="122" t="s">
        <v>1458</v>
      </c>
      <c r="C51" s="122" t="s">
        <v>1441</v>
      </c>
      <c r="D51" s="122" t="s">
        <v>1455</v>
      </c>
      <c r="E51" s="312">
        <v>41548</v>
      </c>
      <c r="F51" s="311">
        <v>0.65972222222222221</v>
      </c>
      <c r="G51" s="202">
        <v>1</v>
      </c>
      <c r="H51" s="202">
        <v>312</v>
      </c>
    </row>
    <row r="52" spans="1:8" hidden="1">
      <c r="A52" s="122" t="s">
        <v>3138</v>
      </c>
      <c r="B52" s="122" t="s">
        <v>1437</v>
      </c>
      <c r="C52" s="122" t="s">
        <v>1439</v>
      </c>
      <c r="D52" s="122" t="s">
        <v>1453</v>
      </c>
      <c r="E52" s="312">
        <v>41366</v>
      </c>
      <c r="F52" s="311">
        <v>0.64583333333333326</v>
      </c>
      <c r="G52" s="202">
        <v>10</v>
      </c>
      <c r="H52" s="202">
        <v>13730</v>
      </c>
    </row>
    <row r="53" spans="1:8" hidden="1">
      <c r="A53" s="122" t="s">
        <v>1443</v>
      </c>
      <c r="B53" s="122" t="s">
        <v>1437</v>
      </c>
      <c r="C53" s="122" t="s">
        <v>1439</v>
      </c>
      <c r="D53" s="122" t="s">
        <v>1450</v>
      </c>
      <c r="E53" s="312">
        <v>41534</v>
      </c>
      <c r="F53" s="311">
        <v>0.61805555555555547</v>
      </c>
      <c r="G53" s="202">
        <v>6</v>
      </c>
      <c r="H53" s="202">
        <v>10428</v>
      </c>
    </row>
    <row r="54" spans="1:8" hidden="1">
      <c r="A54" s="122" t="s">
        <v>3138</v>
      </c>
      <c r="B54" s="122" t="s">
        <v>1437</v>
      </c>
      <c r="C54" s="122" t="s">
        <v>1436</v>
      </c>
      <c r="D54" s="122" t="s">
        <v>1453</v>
      </c>
      <c r="E54" s="312">
        <v>41534</v>
      </c>
      <c r="F54" s="311">
        <v>0.41666666666666663</v>
      </c>
      <c r="G54" s="202">
        <v>6</v>
      </c>
      <c r="H54" s="202">
        <v>5322</v>
      </c>
    </row>
    <row r="55" spans="1:8" hidden="1">
      <c r="A55" s="122" t="s">
        <v>3138</v>
      </c>
      <c r="B55" s="122" t="s">
        <v>1437</v>
      </c>
      <c r="C55" s="122" t="s">
        <v>1439</v>
      </c>
      <c r="D55" s="122" t="s">
        <v>1455</v>
      </c>
      <c r="E55" s="312">
        <v>41534</v>
      </c>
      <c r="F55" s="311">
        <v>0.64236111111111105</v>
      </c>
      <c r="G55" s="202">
        <v>8</v>
      </c>
      <c r="H55" s="202">
        <v>3800</v>
      </c>
    </row>
    <row r="56" spans="1:8">
      <c r="A56" s="122" t="s">
        <v>1472</v>
      </c>
      <c r="B56" s="122" t="s">
        <v>1460</v>
      </c>
      <c r="C56" s="122" t="s">
        <v>1441</v>
      </c>
      <c r="D56" s="122" t="s">
        <v>1435</v>
      </c>
      <c r="E56" s="312">
        <v>41276</v>
      </c>
      <c r="F56" s="311">
        <v>0.73611111111111105</v>
      </c>
      <c r="G56" s="202">
        <v>18</v>
      </c>
      <c r="H56" s="202">
        <v>7380</v>
      </c>
    </row>
    <row r="57" spans="1:8" hidden="1">
      <c r="A57" s="122" t="s">
        <v>1456</v>
      </c>
      <c r="B57" s="122" t="s">
        <v>1459</v>
      </c>
      <c r="C57" s="122" t="s">
        <v>1441</v>
      </c>
      <c r="D57" s="122" t="s">
        <v>1455</v>
      </c>
      <c r="E57" s="312">
        <v>41018</v>
      </c>
      <c r="F57" s="311">
        <v>0.64930555555555547</v>
      </c>
      <c r="G57" s="202">
        <v>8</v>
      </c>
      <c r="H57" s="202">
        <v>5088</v>
      </c>
    </row>
    <row r="58" spans="1:8" hidden="1">
      <c r="A58" s="122" t="s">
        <v>1438</v>
      </c>
      <c r="B58" s="122" t="s">
        <v>1457</v>
      </c>
      <c r="C58" s="122" t="s">
        <v>1445</v>
      </c>
      <c r="D58" s="122" t="s">
        <v>1435</v>
      </c>
      <c r="E58" s="312">
        <v>41011</v>
      </c>
      <c r="F58" s="311">
        <v>0.34375</v>
      </c>
      <c r="G58" s="202">
        <v>12</v>
      </c>
      <c r="H58" s="202">
        <v>12672</v>
      </c>
    </row>
    <row r="59" spans="1:8" hidden="1">
      <c r="A59" s="122" t="s">
        <v>3138</v>
      </c>
      <c r="B59" s="122" t="s">
        <v>1460</v>
      </c>
      <c r="C59" s="122" t="s">
        <v>1445</v>
      </c>
      <c r="D59" s="122" t="s">
        <v>1453</v>
      </c>
      <c r="E59" s="312">
        <v>41604</v>
      </c>
      <c r="F59" s="311">
        <v>0.48263888888888884</v>
      </c>
      <c r="G59" s="202">
        <v>15</v>
      </c>
      <c r="H59" s="202">
        <v>6855</v>
      </c>
    </row>
    <row r="60" spans="1:8" hidden="1">
      <c r="A60" s="122" t="s">
        <v>3138</v>
      </c>
      <c r="B60" s="122" t="s">
        <v>1459</v>
      </c>
      <c r="C60" s="122" t="s">
        <v>1445</v>
      </c>
      <c r="D60" s="122" t="s">
        <v>1455</v>
      </c>
      <c r="E60" s="312">
        <v>40931</v>
      </c>
      <c r="F60" s="311">
        <v>0.5625</v>
      </c>
      <c r="G60" s="202">
        <v>13</v>
      </c>
      <c r="H60" s="313">
        <v>5083</v>
      </c>
    </row>
    <row r="61" spans="1:8" hidden="1">
      <c r="A61" s="122" t="s">
        <v>1443</v>
      </c>
      <c r="B61" s="122" t="s">
        <v>1458</v>
      </c>
      <c r="C61" s="122" t="s">
        <v>1445</v>
      </c>
      <c r="D61" s="122" t="s">
        <v>1453</v>
      </c>
      <c r="E61" s="312">
        <v>41006</v>
      </c>
      <c r="F61" s="311">
        <v>0.70486111111111105</v>
      </c>
      <c r="G61" s="202">
        <v>10</v>
      </c>
      <c r="H61" s="202">
        <v>3130</v>
      </c>
    </row>
    <row r="62" spans="1:8" hidden="1">
      <c r="A62" s="122" t="s">
        <v>1474</v>
      </c>
      <c r="B62" s="122" t="s">
        <v>1458</v>
      </c>
      <c r="C62" s="122" t="s">
        <v>1441</v>
      </c>
      <c r="D62" s="122" t="s">
        <v>1450</v>
      </c>
      <c r="E62" s="312">
        <v>41534</v>
      </c>
      <c r="F62" s="311">
        <v>0.62847222222222221</v>
      </c>
      <c r="G62" s="202">
        <v>6</v>
      </c>
      <c r="H62" s="202">
        <v>1956</v>
      </c>
    </row>
    <row r="63" spans="1:8" hidden="1">
      <c r="A63" s="122" t="s">
        <v>1447</v>
      </c>
      <c r="B63" s="122" t="s">
        <v>1460</v>
      </c>
      <c r="C63" s="122" t="s">
        <v>1436</v>
      </c>
      <c r="D63" s="122" t="s">
        <v>1450</v>
      </c>
      <c r="E63" s="312">
        <v>41529</v>
      </c>
      <c r="F63" s="311">
        <v>0.5</v>
      </c>
      <c r="G63" s="202">
        <v>9</v>
      </c>
      <c r="H63" s="202">
        <v>4059</v>
      </c>
    </row>
    <row r="64" spans="1:8" hidden="1">
      <c r="A64" s="122" t="s">
        <v>1438</v>
      </c>
      <c r="B64" s="122" t="s">
        <v>1458</v>
      </c>
      <c r="C64" s="122" t="s">
        <v>1441</v>
      </c>
      <c r="D64" s="122" t="s">
        <v>1435</v>
      </c>
      <c r="E64" s="312">
        <v>40918</v>
      </c>
      <c r="F64" s="311">
        <v>0.33680555555555552</v>
      </c>
      <c r="G64" s="202">
        <v>11</v>
      </c>
      <c r="H64" s="202">
        <v>4818</v>
      </c>
    </row>
    <row r="65" spans="1:8" hidden="1">
      <c r="A65" s="122" t="s">
        <v>1448</v>
      </c>
      <c r="B65" s="122" t="s">
        <v>1437</v>
      </c>
      <c r="C65" s="122" t="s">
        <v>1439</v>
      </c>
      <c r="D65" s="122" t="s">
        <v>1455</v>
      </c>
      <c r="E65" s="312">
        <v>41604</v>
      </c>
      <c r="F65" s="311">
        <v>0.72222222222222221</v>
      </c>
      <c r="G65" s="202">
        <v>9</v>
      </c>
      <c r="H65" s="202">
        <v>10260</v>
      </c>
    </row>
    <row r="66" spans="1:8" hidden="1">
      <c r="A66" s="122" t="s">
        <v>1444</v>
      </c>
      <c r="B66" s="122" t="s">
        <v>1458</v>
      </c>
      <c r="C66" s="122" t="s">
        <v>1445</v>
      </c>
      <c r="D66" s="122" t="s">
        <v>1435</v>
      </c>
      <c r="E66" s="312">
        <v>41529</v>
      </c>
      <c r="F66" s="311">
        <v>0.4236111111111111</v>
      </c>
      <c r="G66" s="202">
        <v>20</v>
      </c>
      <c r="H66" s="202">
        <v>10620</v>
      </c>
    </row>
    <row r="67" spans="1:8" hidden="1">
      <c r="A67" s="122" t="s">
        <v>1448</v>
      </c>
      <c r="B67" s="122" t="s">
        <v>1459</v>
      </c>
      <c r="C67" s="122" t="s">
        <v>1441</v>
      </c>
      <c r="D67" s="122" t="s">
        <v>1452</v>
      </c>
      <c r="E67" s="312">
        <v>41393</v>
      </c>
      <c r="F67" s="311">
        <v>0.39583333333333331</v>
      </c>
      <c r="G67" s="202">
        <v>1</v>
      </c>
      <c r="H67" s="202">
        <v>352</v>
      </c>
    </row>
    <row r="68" spans="1:8" hidden="1">
      <c r="A68" s="122" t="s">
        <v>1476</v>
      </c>
      <c r="B68" s="122" t="s">
        <v>1437</v>
      </c>
      <c r="C68" s="122" t="s">
        <v>1445</v>
      </c>
      <c r="D68" s="122" t="s">
        <v>1452</v>
      </c>
      <c r="E68" s="312">
        <v>41529</v>
      </c>
      <c r="F68" s="311">
        <v>0.46180555555555552</v>
      </c>
      <c r="G68" s="202">
        <v>13</v>
      </c>
      <c r="H68" s="202">
        <v>18421</v>
      </c>
    </row>
    <row r="69" spans="1:8" hidden="1">
      <c r="A69" s="122" t="s">
        <v>1449</v>
      </c>
      <c r="B69" s="122" t="s">
        <v>1460</v>
      </c>
      <c r="C69" s="122" t="s">
        <v>1439</v>
      </c>
      <c r="D69" s="122" t="s">
        <v>1455</v>
      </c>
      <c r="E69" s="312">
        <v>41387</v>
      </c>
      <c r="F69" s="311">
        <v>0.56597222222222221</v>
      </c>
      <c r="G69" s="202">
        <v>8</v>
      </c>
      <c r="H69" s="202">
        <v>4016</v>
      </c>
    </row>
    <row r="70" spans="1:8">
      <c r="A70" s="122" t="s">
        <v>1447</v>
      </c>
      <c r="B70" s="122" t="s">
        <v>1457</v>
      </c>
      <c r="C70" s="122" t="s">
        <v>1441</v>
      </c>
      <c r="D70" s="122" t="s">
        <v>1452</v>
      </c>
      <c r="E70" s="312">
        <v>41528</v>
      </c>
      <c r="F70" s="311">
        <v>0.57986111111111105</v>
      </c>
      <c r="G70" s="202">
        <v>1</v>
      </c>
      <c r="H70" s="202">
        <v>778</v>
      </c>
    </row>
    <row r="71" spans="1:8" hidden="1">
      <c r="A71" s="122" t="s">
        <v>1448</v>
      </c>
      <c r="B71" s="122" t="s">
        <v>1437</v>
      </c>
      <c r="C71" s="122" t="s">
        <v>1441</v>
      </c>
      <c r="D71" s="122" t="s">
        <v>1453</v>
      </c>
      <c r="E71" s="312">
        <v>41382</v>
      </c>
      <c r="F71" s="311">
        <v>0.58333333333333326</v>
      </c>
      <c r="G71" s="202">
        <v>2</v>
      </c>
      <c r="H71" s="202">
        <v>2158</v>
      </c>
    </row>
    <row r="72" spans="1:8" hidden="1">
      <c r="A72" s="122" t="s">
        <v>1448</v>
      </c>
      <c r="B72" s="122" t="s">
        <v>1457</v>
      </c>
      <c r="C72" s="122" t="s">
        <v>1436</v>
      </c>
      <c r="D72" s="122" t="s">
        <v>1450</v>
      </c>
      <c r="E72" s="312">
        <v>41526</v>
      </c>
      <c r="F72" s="311">
        <v>0.60416666666666663</v>
      </c>
      <c r="G72" s="202">
        <v>15</v>
      </c>
      <c r="H72" s="202">
        <v>18315</v>
      </c>
    </row>
    <row r="73" spans="1:8">
      <c r="A73" s="122" t="s">
        <v>1438</v>
      </c>
      <c r="B73" s="122" t="s">
        <v>1459</v>
      </c>
      <c r="C73" s="122" t="s">
        <v>1436</v>
      </c>
      <c r="D73" s="122" t="s">
        <v>1450</v>
      </c>
      <c r="E73" s="312">
        <v>41206</v>
      </c>
      <c r="F73" s="311">
        <v>0.60416666666666663</v>
      </c>
      <c r="G73" s="202">
        <v>5</v>
      </c>
      <c r="H73" s="202">
        <v>1880</v>
      </c>
    </row>
    <row r="74" spans="1:8" hidden="1">
      <c r="A74" s="122" t="s">
        <v>1438</v>
      </c>
      <c r="B74" s="122" t="s">
        <v>1460</v>
      </c>
      <c r="C74" s="122" t="s">
        <v>1441</v>
      </c>
      <c r="D74" s="122" t="s">
        <v>1452</v>
      </c>
      <c r="E74" s="312">
        <v>41376</v>
      </c>
      <c r="F74" s="311">
        <v>0.64236111111111105</v>
      </c>
      <c r="G74" s="202">
        <v>13</v>
      </c>
      <c r="H74" s="202">
        <v>6097</v>
      </c>
    </row>
    <row r="75" spans="1:8" hidden="1">
      <c r="A75" s="122" t="s">
        <v>1449</v>
      </c>
      <c r="B75" s="122" t="s">
        <v>1437</v>
      </c>
      <c r="C75" s="122" t="s">
        <v>1439</v>
      </c>
      <c r="D75" s="122" t="s">
        <v>1450</v>
      </c>
      <c r="E75" s="312">
        <v>41526</v>
      </c>
      <c r="F75" s="311">
        <v>0.71180555555555547</v>
      </c>
      <c r="G75" s="202">
        <v>13</v>
      </c>
      <c r="H75" s="202">
        <v>17537</v>
      </c>
    </row>
    <row r="76" spans="1:8" hidden="1">
      <c r="A76" s="122" t="s">
        <v>1476</v>
      </c>
      <c r="B76" s="122" t="s">
        <v>1457</v>
      </c>
      <c r="C76" s="122" t="s">
        <v>1436</v>
      </c>
      <c r="D76" s="122" t="s">
        <v>1455</v>
      </c>
      <c r="E76" s="312">
        <v>41526</v>
      </c>
      <c r="F76" s="311">
        <v>0.37847222222222221</v>
      </c>
      <c r="G76" s="202">
        <v>7</v>
      </c>
      <c r="H76" s="202">
        <v>6377</v>
      </c>
    </row>
    <row r="77" spans="1:8" hidden="1">
      <c r="A77" s="122" t="s">
        <v>1447</v>
      </c>
      <c r="B77" s="122" t="s">
        <v>1460</v>
      </c>
      <c r="C77" s="122" t="s">
        <v>1436</v>
      </c>
      <c r="D77" s="122" t="s">
        <v>1452</v>
      </c>
      <c r="E77" s="312">
        <v>41429</v>
      </c>
      <c r="F77" s="311">
        <v>0.50694444444444442</v>
      </c>
      <c r="G77" s="202">
        <v>3</v>
      </c>
      <c r="H77" s="202">
        <v>1896</v>
      </c>
    </row>
    <row r="78" spans="1:8" hidden="1">
      <c r="A78" s="122" t="s">
        <v>1448</v>
      </c>
      <c r="B78" s="122" t="s">
        <v>1457</v>
      </c>
      <c r="C78" s="122" t="s">
        <v>1441</v>
      </c>
      <c r="D78" s="122" t="s">
        <v>1455</v>
      </c>
      <c r="E78" s="312">
        <v>41286</v>
      </c>
      <c r="F78" s="311">
        <v>0.54861111111111105</v>
      </c>
      <c r="G78" s="202">
        <v>2</v>
      </c>
      <c r="H78" s="202">
        <v>2310</v>
      </c>
    </row>
    <row r="79" spans="1:8" hidden="1">
      <c r="A79" s="122" t="s">
        <v>1472</v>
      </c>
      <c r="B79" s="122" t="s">
        <v>1460</v>
      </c>
      <c r="C79" s="122" t="s">
        <v>1441</v>
      </c>
      <c r="D79" s="122" t="s">
        <v>1452</v>
      </c>
      <c r="E79" s="312">
        <v>41260</v>
      </c>
      <c r="F79" s="311">
        <v>0.60416666666666663</v>
      </c>
      <c r="G79" s="202">
        <v>6</v>
      </c>
      <c r="H79" s="202">
        <v>3150</v>
      </c>
    </row>
    <row r="80" spans="1:8" hidden="1">
      <c r="A80" s="122" t="s">
        <v>1448</v>
      </c>
      <c r="B80" s="122" t="s">
        <v>1458</v>
      </c>
      <c r="C80" s="122" t="s">
        <v>1436</v>
      </c>
      <c r="D80" s="122" t="s">
        <v>1455</v>
      </c>
      <c r="E80" s="312">
        <v>41310</v>
      </c>
      <c r="F80" s="311">
        <v>0.62847222222222221</v>
      </c>
      <c r="G80" s="202">
        <v>14</v>
      </c>
      <c r="H80" s="202">
        <v>6608</v>
      </c>
    </row>
    <row r="81" spans="1:8" hidden="1">
      <c r="A81" s="122" t="s">
        <v>1476</v>
      </c>
      <c r="B81" s="122" t="s">
        <v>1458</v>
      </c>
      <c r="C81" s="122" t="s">
        <v>1445</v>
      </c>
      <c r="D81" s="122" t="s">
        <v>1455</v>
      </c>
      <c r="E81" s="312">
        <v>41520</v>
      </c>
      <c r="F81" s="311">
        <v>0.43055555555555552</v>
      </c>
      <c r="G81" s="202">
        <v>1</v>
      </c>
      <c r="H81" s="202">
        <v>594</v>
      </c>
    </row>
    <row r="82" spans="1:8" hidden="1">
      <c r="A82" s="122" t="s">
        <v>1476</v>
      </c>
      <c r="B82" s="122" t="s">
        <v>1459</v>
      </c>
      <c r="C82" s="122" t="s">
        <v>1441</v>
      </c>
      <c r="D82" s="122" t="s">
        <v>1453</v>
      </c>
      <c r="E82" s="312">
        <v>41559</v>
      </c>
      <c r="F82" s="311">
        <v>0.51736111111111105</v>
      </c>
      <c r="G82" s="202">
        <v>8</v>
      </c>
      <c r="H82" s="202">
        <v>3392</v>
      </c>
    </row>
    <row r="83" spans="1:8" hidden="1">
      <c r="A83" s="122" t="s">
        <v>1472</v>
      </c>
      <c r="B83" s="122" t="s">
        <v>1459</v>
      </c>
      <c r="C83" s="122" t="s">
        <v>1439</v>
      </c>
      <c r="D83" s="122" t="s">
        <v>1452</v>
      </c>
      <c r="E83" s="312">
        <v>41250</v>
      </c>
      <c r="F83" s="311">
        <v>0.53819444444444442</v>
      </c>
      <c r="G83" s="202">
        <v>1</v>
      </c>
      <c r="H83" s="202">
        <v>444</v>
      </c>
    </row>
    <row r="84" spans="1:8" hidden="1">
      <c r="A84" s="122" t="s">
        <v>3138</v>
      </c>
      <c r="B84" s="122" t="s">
        <v>1437</v>
      </c>
      <c r="C84" s="122" t="s">
        <v>1439</v>
      </c>
      <c r="D84" s="122" t="s">
        <v>1455</v>
      </c>
      <c r="E84" s="312">
        <v>41520</v>
      </c>
      <c r="F84" s="311">
        <v>0.61805555555555547</v>
      </c>
      <c r="G84" s="202">
        <v>14</v>
      </c>
      <c r="H84" s="202">
        <v>22386</v>
      </c>
    </row>
    <row r="85" spans="1:8" hidden="1">
      <c r="A85" s="122" t="s">
        <v>1449</v>
      </c>
      <c r="B85" s="122" t="s">
        <v>1437</v>
      </c>
      <c r="C85" s="122" t="s">
        <v>1445</v>
      </c>
      <c r="D85" s="122" t="s">
        <v>1453</v>
      </c>
      <c r="E85" s="312">
        <v>41016</v>
      </c>
      <c r="F85" s="311">
        <v>0.38194444444444442</v>
      </c>
      <c r="G85" s="202">
        <v>1</v>
      </c>
      <c r="H85" s="202">
        <v>419</v>
      </c>
    </row>
    <row r="86" spans="1:8" hidden="1">
      <c r="A86" s="122" t="s">
        <v>1447</v>
      </c>
      <c r="B86" s="122" t="s">
        <v>1459</v>
      </c>
      <c r="C86" s="122" t="s">
        <v>1441</v>
      </c>
      <c r="D86" s="122" t="s">
        <v>1453</v>
      </c>
      <c r="E86" s="312">
        <v>41407</v>
      </c>
      <c r="F86" s="311">
        <v>0.71527777777777779</v>
      </c>
      <c r="G86" s="202">
        <v>8</v>
      </c>
      <c r="H86" s="202">
        <v>3080</v>
      </c>
    </row>
    <row r="87" spans="1:8" hidden="1">
      <c r="A87" s="122" t="s">
        <v>1476</v>
      </c>
      <c r="B87" s="122" t="s">
        <v>1458</v>
      </c>
      <c r="C87" s="122" t="s">
        <v>1441</v>
      </c>
      <c r="D87" s="122" t="s">
        <v>1453</v>
      </c>
      <c r="E87" s="312">
        <v>41358</v>
      </c>
      <c r="F87" s="311">
        <v>0.3611111111111111</v>
      </c>
      <c r="G87" s="202">
        <v>14</v>
      </c>
      <c r="H87" s="202">
        <v>8148</v>
      </c>
    </row>
    <row r="88" spans="1:8">
      <c r="A88" s="122" t="s">
        <v>1438</v>
      </c>
      <c r="B88" s="122" t="s">
        <v>1460</v>
      </c>
      <c r="C88" s="122" t="s">
        <v>1436</v>
      </c>
      <c r="D88" s="122" t="s">
        <v>1435</v>
      </c>
      <c r="E88" s="312">
        <v>41262</v>
      </c>
      <c r="F88" s="311">
        <v>0.46875</v>
      </c>
      <c r="G88" s="202">
        <v>20</v>
      </c>
      <c r="H88" s="202">
        <v>15820</v>
      </c>
    </row>
    <row r="89" spans="1:8" hidden="1">
      <c r="A89" s="122" t="s">
        <v>1454</v>
      </c>
      <c r="B89" s="122" t="s">
        <v>1437</v>
      </c>
      <c r="C89" s="122" t="s">
        <v>1439</v>
      </c>
      <c r="D89" s="122" t="s">
        <v>1435</v>
      </c>
      <c r="E89" s="312">
        <v>41191</v>
      </c>
      <c r="F89" s="311">
        <v>0.42013888888888884</v>
      </c>
      <c r="G89" s="202">
        <v>13</v>
      </c>
      <c r="H89" s="202">
        <v>19825</v>
      </c>
    </row>
    <row r="90" spans="1:8" hidden="1">
      <c r="A90" s="122" t="s">
        <v>1454</v>
      </c>
      <c r="B90" s="122" t="s">
        <v>1457</v>
      </c>
      <c r="C90" s="122" t="s">
        <v>1439</v>
      </c>
      <c r="D90" s="122" t="s">
        <v>1453</v>
      </c>
      <c r="E90" s="312">
        <v>41012</v>
      </c>
      <c r="F90" s="311">
        <v>0.40625</v>
      </c>
      <c r="G90" s="202">
        <v>8</v>
      </c>
      <c r="H90" s="202">
        <v>5912</v>
      </c>
    </row>
    <row r="91" spans="1:8">
      <c r="A91" s="122" t="s">
        <v>3138</v>
      </c>
      <c r="B91" s="122" t="s">
        <v>1458</v>
      </c>
      <c r="C91" s="122" t="s">
        <v>1445</v>
      </c>
      <c r="D91" s="122" t="s">
        <v>1455</v>
      </c>
      <c r="E91" s="312">
        <v>41626</v>
      </c>
      <c r="F91" s="311">
        <v>0.53819444444444442</v>
      </c>
      <c r="G91" s="202">
        <v>3</v>
      </c>
      <c r="H91" s="202">
        <v>1149</v>
      </c>
    </row>
    <row r="92" spans="1:8" hidden="1">
      <c r="A92" s="122" t="s">
        <v>1444</v>
      </c>
      <c r="B92" s="122" t="s">
        <v>1457</v>
      </c>
      <c r="C92" s="122" t="s">
        <v>1436</v>
      </c>
      <c r="D92" s="122" t="s">
        <v>1435</v>
      </c>
      <c r="E92" s="312">
        <v>41016</v>
      </c>
      <c r="F92" s="311">
        <v>0.49652777777777773</v>
      </c>
      <c r="G92" s="202">
        <v>11</v>
      </c>
      <c r="H92" s="202">
        <v>6204</v>
      </c>
    </row>
    <row r="93" spans="1:8" hidden="1">
      <c r="A93" s="122" t="s">
        <v>1454</v>
      </c>
      <c r="B93" s="122" t="s">
        <v>1457</v>
      </c>
      <c r="C93" s="122" t="s">
        <v>1436</v>
      </c>
      <c r="D93" s="122" t="s">
        <v>1453</v>
      </c>
      <c r="E93" s="312">
        <v>41306</v>
      </c>
      <c r="F93" s="311">
        <v>0.63194444444444442</v>
      </c>
      <c r="G93" s="202">
        <v>1</v>
      </c>
      <c r="H93" s="202">
        <v>771</v>
      </c>
    </row>
    <row r="94" spans="1:8" hidden="1">
      <c r="A94" s="122" t="s">
        <v>1448</v>
      </c>
      <c r="B94" s="122" t="s">
        <v>1437</v>
      </c>
      <c r="C94" s="122" t="s">
        <v>1441</v>
      </c>
      <c r="D94" s="122" t="s">
        <v>1453</v>
      </c>
      <c r="E94" s="312">
        <v>41034</v>
      </c>
      <c r="F94" s="311">
        <v>0.45833333333333331</v>
      </c>
      <c r="G94" s="202">
        <v>15</v>
      </c>
      <c r="H94" s="202">
        <v>23430</v>
      </c>
    </row>
    <row r="95" spans="1:8" hidden="1">
      <c r="A95" s="122" t="s">
        <v>1474</v>
      </c>
      <c r="B95" s="122" t="s">
        <v>1460</v>
      </c>
      <c r="C95" s="122" t="s">
        <v>1445</v>
      </c>
      <c r="D95" s="122" t="s">
        <v>1452</v>
      </c>
      <c r="E95" s="312">
        <v>41015</v>
      </c>
      <c r="F95" s="311">
        <v>0.34722222222222221</v>
      </c>
      <c r="G95" s="202">
        <v>8</v>
      </c>
      <c r="H95" s="202">
        <v>4600</v>
      </c>
    </row>
    <row r="96" spans="1:8" hidden="1">
      <c r="A96" s="122" t="s">
        <v>1438</v>
      </c>
      <c r="B96" s="122" t="s">
        <v>1460</v>
      </c>
      <c r="C96" s="122" t="s">
        <v>1436</v>
      </c>
      <c r="D96" s="122" t="s">
        <v>1455</v>
      </c>
      <c r="E96" s="312">
        <v>41578</v>
      </c>
      <c r="F96" s="311">
        <v>0.4375</v>
      </c>
      <c r="G96" s="202">
        <v>2</v>
      </c>
      <c r="H96" s="202">
        <v>1292</v>
      </c>
    </row>
    <row r="97" spans="1:8" hidden="1">
      <c r="A97" s="122" t="s">
        <v>1472</v>
      </c>
      <c r="B97" s="122" t="s">
        <v>1459</v>
      </c>
      <c r="C97" s="122" t="s">
        <v>1436</v>
      </c>
      <c r="D97" s="122" t="s">
        <v>1455</v>
      </c>
      <c r="E97" s="312">
        <v>41072</v>
      </c>
      <c r="F97" s="311">
        <v>0.60416666666666663</v>
      </c>
      <c r="G97" s="202">
        <v>10</v>
      </c>
      <c r="H97" s="202">
        <v>3230</v>
      </c>
    </row>
    <row r="98" spans="1:8" hidden="1">
      <c r="A98" s="122" t="s">
        <v>1472</v>
      </c>
      <c r="B98" s="122" t="s">
        <v>1460</v>
      </c>
      <c r="C98" s="122" t="s">
        <v>1441</v>
      </c>
      <c r="D98" s="122" t="s">
        <v>1455</v>
      </c>
      <c r="E98" s="312">
        <v>41289</v>
      </c>
      <c r="F98" s="311">
        <v>0.6875</v>
      </c>
      <c r="G98" s="202">
        <v>3</v>
      </c>
      <c r="H98" s="202">
        <v>2508</v>
      </c>
    </row>
    <row r="99" spans="1:8" hidden="1">
      <c r="A99" s="122" t="s">
        <v>1476</v>
      </c>
      <c r="B99" s="122" t="s">
        <v>1437</v>
      </c>
      <c r="C99" s="122" t="s">
        <v>1445</v>
      </c>
      <c r="D99" s="122" t="s">
        <v>1435</v>
      </c>
      <c r="E99" s="312">
        <v>41254</v>
      </c>
      <c r="F99" s="311">
        <v>0.54166666666666663</v>
      </c>
      <c r="G99" s="202">
        <v>13</v>
      </c>
      <c r="H99" s="202">
        <v>6864</v>
      </c>
    </row>
    <row r="100" spans="1:8" hidden="1">
      <c r="A100" s="122" t="s">
        <v>1449</v>
      </c>
      <c r="B100" s="122" t="s">
        <v>1460</v>
      </c>
      <c r="C100" s="122" t="s">
        <v>1436</v>
      </c>
      <c r="D100" s="122" t="s">
        <v>1435</v>
      </c>
      <c r="E100" s="312">
        <v>41391</v>
      </c>
      <c r="F100" s="311">
        <v>0.55555555555555558</v>
      </c>
      <c r="G100" s="202">
        <v>20</v>
      </c>
      <c r="H100" s="202">
        <v>15300</v>
      </c>
    </row>
    <row r="101" spans="1:8" hidden="1">
      <c r="A101" s="122" t="s">
        <v>1443</v>
      </c>
      <c r="B101" s="122" t="s">
        <v>1460</v>
      </c>
      <c r="C101" s="122" t="s">
        <v>1441</v>
      </c>
      <c r="D101" s="122" t="s">
        <v>1435</v>
      </c>
      <c r="E101" s="312">
        <v>41253</v>
      </c>
      <c r="F101" s="311">
        <v>0.60416666666666663</v>
      </c>
      <c r="G101" s="202">
        <v>13</v>
      </c>
      <c r="H101" s="202">
        <v>6357</v>
      </c>
    </row>
    <row r="102" spans="1:8" hidden="1">
      <c r="A102" s="122" t="s">
        <v>1476</v>
      </c>
      <c r="B102" s="122" t="s">
        <v>1437</v>
      </c>
      <c r="C102" s="122" t="s">
        <v>1441</v>
      </c>
      <c r="D102" s="122" t="s">
        <v>1455</v>
      </c>
      <c r="E102" s="312">
        <v>41370</v>
      </c>
      <c r="F102" s="311">
        <v>0.4236111111111111</v>
      </c>
      <c r="G102" s="202">
        <v>7</v>
      </c>
      <c r="H102" s="202">
        <v>5327</v>
      </c>
    </row>
    <row r="103" spans="1:8" hidden="1">
      <c r="A103" s="122" t="s">
        <v>1444</v>
      </c>
      <c r="B103" s="122" t="s">
        <v>1460</v>
      </c>
      <c r="C103" s="122" t="s">
        <v>1436</v>
      </c>
      <c r="D103" s="122" t="s">
        <v>1435</v>
      </c>
      <c r="E103" s="312">
        <v>41292</v>
      </c>
      <c r="F103" s="311">
        <v>0.375</v>
      </c>
      <c r="G103" s="202">
        <v>15</v>
      </c>
      <c r="H103" s="202">
        <v>8790</v>
      </c>
    </row>
    <row r="104" spans="1:8" hidden="1">
      <c r="A104" s="122" t="s">
        <v>1449</v>
      </c>
      <c r="B104" s="122" t="s">
        <v>1458</v>
      </c>
      <c r="C104" s="122" t="s">
        <v>1441</v>
      </c>
      <c r="D104" s="122" t="s">
        <v>1453</v>
      </c>
      <c r="E104" s="312">
        <v>41520</v>
      </c>
      <c r="F104" s="311">
        <v>0.70833333333333326</v>
      </c>
      <c r="G104" s="202">
        <v>15</v>
      </c>
      <c r="H104" s="202">
        <v>4890</v>
      </c>
    </row>
    <row r="105" spans="1:8" hidden="1">
      <c r="A105" s="122" t="s">
        <v>1454</v>
      </c>
      <c r="B105" s="122" t="s">
        <v>1437</v>
      </c>
      <c r="C105" s="122" t="s">
        <v>1439</v>
      </c>
      <c r="D105" s="122" t="s">
        <v>1450</v>
      </c>
      <c r="E105" s="312">
        <v>41520</v>
      </c>
      <c r="F105" s="311">
        <v>0.46180555555555552</v>
      </c>
      <c r="G105" s="202">
        <v>8</v>
      </c>
      <c r="H105" s="202">
        <v>13952</v>
      </c>
    </row>
    <row r="106" spans="1:8" hidden="1">
      <c r="A106" s="122" t="s">
        <v>3138</v>
      </c>
      <c r="B106" s="122" t="s">
        <v>1457</v>
      </c>
      <c r="C106" s="122" t="s">
        <v>1441</v>
      </c>
      <c r="D106" s="122" t="s">
        <v>1452</v>
      </c>
      <c r="E106" s="312">
        <v>40936</v>
      </c>
      <c r="F106" s="311">
        <v>0.48263888888888884</v>
      </c>
      <c r="G106" s="202">
        <v>5</v>
      </c>
      <c r="H106" s="313">
        <v>6315</v>
      </c>
    </row>
    <row r="107" spans="1:8" hidden="1">
      <c r="A107" s="122" t="s">
        <v>1443</v>
      </c>
      <c r="B107" s="122" t="s">
        <v>1458</v>
      </c>
      <c r="C107" s="122" t="s">
        <v>1441</v>
      </c>
      <c r="D107" s="122" t="s">
        <v>1452</v>
      </c>
      <c r="E107" s="312">
        <v>41226</v>
      </c>
      <c r="F107" s="311">
        <v>0.3611111111111111</v>
      </c>
      <c r="G107" s="202">
        <v>5</v>
      </c>
      <c r="H107" s="202">
        <v>2285</v>
      </c>
    </row>
    <row r="108" spans="1:8" hidden="1">
      <c r="A108" s="122" t="s">
        <v>1448</v>
      </c>
      <c r="B108" s="122" t="s">
        <v>1458</v>
      </c>
      <c r="C108" s="122" t="s">
        <v>1445</v>
      </c>
      <c r="D108" s="122" t="s">
        <v>1453</v>
      </c>
      <c r="E108" s="312">
        <v>41520</v>
      </c>
      <c r="F108" s="311">
        <v>0.37847222222222221</v>
      </c>
      <c r="G108" s="202">
        <v>6</v>
      </c>
      <c r="H108" s="202">
        <v>1896</v>
      </c>
    </row>
    <row r="109" spans="1:8" hidden="1">
      <c r="A109" s="122" t="s">
        <v>1476</v>
      </c>
      <c r="B109" s="122" t="s">
        <v>1460</v>
      </c>
      <c r="C109" s="122" t="s">
        <v>1441</v>
      </c>
      <c r="D109" s="122" t="s">
        <v>1453</v>
      </c>
      <c r="E109" s="312">
        <v>41050</v>
      </c>
      <c r="F109" s="311">
        <v>0.51736111111111105</v>
      </c>
      <c r="G109" s="202">
        <v>10</v>
      </c>
      <c r="H109" s="202">
        <v>5960</v>
      </c>
    </row>
    <row r="110" spans="1:8" hidden="1">
      <c r="A110" s="122" t="s">
        <v>1456</v>
      </c>
      <c r="B110" s="122" t="s">
        <v>1458</v>
      </c>
      <c r="C110" s="122" t="s">
        <v>1439</v>
      </c>
      <c r="D110" s="122" t="s">
        <v>1453</v>
      </c>
      <c r="E110" s="312">
        <v>41205</v>
      </c>
      <c r="F110" s="311">
        <v>0.72222222222222221</v>
      </c>
      <c r="G110" s="202">
        <v>15</v>
      </c>
      <c r="H110" s="202">
        <v>7380</v>
      </c>
    </row>
    <row r="111" spans="1:8" hidden="1">
      <c r="A111" s="122" t="s">
        <v>1476</v>
      </c>
      <c r="B111" s="122" t="s">
        <v>1459</v>
      </c>
      <c r="C111" s="122" t="s">
        <v>1436</v>
      </c>
      <c r="D111" s="122" t="s">
        <v>1452</v>
      </c>
      <c r="E111" s="312">
        <v>41632</v>
      </c>
      <c r="F111" s="311">
        <v>0.53125</v>
      </c>
      <c r="G111" s="202">
        <v>14</v>
      </c>
      <c r="H111" s="202">
        <v>8190</v>
      </c>
    </row>
    <row r="112" spans="1:8" hidden="1">
      <c r="A112" s="122" t="s">
        <v>1472</v>
      </c>
      <c r="B112" s="122" t="s">
        <v>1459</v>
      </c>
      <c r="C112" s="122" t="s">
        <v>1436</v>
      </c>
      <c r="D112" s="122" t="s">
        <v>1435</v>
      </c>
      <c r="E112" s="312">
        <v>41236</v>
      </c>
      <c r="F112" s="311">
        <v>0.46180555555555552</v>
      </c>
      <c r="G112" s="202">
        <v>17</v>
      </c>
      <c r="H112" s="202">
        <v>13651</v>
      </c>
    </row>
    <row r="113" spans="1:8" hidden="1">
      <c r="A113" s="122" t="s">
        <v>1438</v>
      </c>
      <c r="B113" s="122" t="s">
        <v>1457</v>
      </c>
      <c r="C113" s="122" t="s">
        <v>1445</v>
      </c>
      <c r="D113" s="122" t="s">
        <v>1435</v>
      </c>
      <c r="E113" s="312">
        <v>41278</v>
      </c>
      <c r="F113" s="311">
        <v>0.54166666666666663</v>
      </c>
      <c r="G113" s="202">
        <v>16</v>
      </c>
      <c r="H113" s="202">
        <v>10880</v>
      </c>
    </row>
    <row r="114" spans="1:8" hidden="1">
      <c r="A114" s="122" t="s">
        <v>1448</v>
      </c>
      <c r="B114" s="122" t="s">
        <v>1459</v>
      </c>
      <c r="C114" s="122" t="s">
        <v>1445</v>
      </c>
      <c r="D114" s="122" t="s">
        <v>1453</v>
      </c>
      <c r="E114" s="312">
        <v>41324</v>
      </c>
      <c r="F114" s="311">
        <v>0.52777777777777779</v>
      </c>
      <c r="G114" s="202">
        <v>6</v>
      </c>
      <c r="H114" s="202">
        <v>3612</v>
      </c>
    </row>
    <row r="115" spans="1:8" hidden="1">
      <c r="A115" s="122" t="s">
        <v>1454</v>
      </c>
      <c r="B115" s="122" t="s">
        <v>1457</v>
      </c>
      <c r="C115" s="122" t="s">
        <v>1441</v>
      </c>
      <c r="D115" s="122" t="s">
        <v>1455</v>
      </c>
      <c r="E115" s="312">
        <v>41520</v>
      </c>
      <c r="F115" s="311">
        <v>0.67708333333333326</v>
      </c>
      <c r="G115" s="202">
        <v>2</v>
      </c>
      <c r="H115" s="202">
        <v>1948</v>
      </c>
    </row>
    <row r="116" spans="1:8" hidden="1">
      <c r="A116" s="122" t="s">
        <v>1438</v>
      </c>
      <c r="B116" s="122" t="s">
        <v>1459</v>
      </c>
      <c r="C116" s="122" t="s">
        <v>1441</v>
      </c>
      <c r="D116" s="122" t="s">
        <v>1455</v>
      </c>
      <c r="E116" s="312">
        <v>41520</v>
      </c>
      <c r="F116" s="311">
        <v>0.33333333333333331</v>
      </c>
      <c r="G116" s="202">
        <v>9</v>
      </c>
      <c r="H116" s="202">
        <v>7803</v>
      </c>
    </row>
    <row r="117" spans="1:8" hidden="1">
      <c r="A117" s="122" t="s">
        <v>1474</v>
      </c>
      <c r="B117" s="122" t="s">
        <v>1437</v>
      </c>
      <c r="C117" s="122" t="s">
        <v>1439</v>
      </c>
      <c r="D117" s="122" t="s">
        <v>1435</v>
      </c>
      <c r="E117" s="312">
        <v>41002</v>
      </c>
      <c r="F117" s="311">
        <v>0.58333333333333326</v>
      </c>
      <c r="G117" s="202">
        <v>18</v>
      </c>
      <c r="H117" s="202">
        <v>30564</v>
      </c>
    </row>
    <row r="118" spans="1:8">
      <c r="A118" s="122" t="s">
        <v>1448</v>
      </c>
      <c r="B118" s="122" t="s">
        <v>1458</v>
      </c>
      <c r="C118" s="122" t="s">
        <v>1439</v>
      </c>
      <c r="D118" s="122" t="s">
        <v>1450</v>
      </c>
      <c r="E118" s="312">
        <v>41248</v>
      </c>
      <c r="F118" s="311">
        <v>0.67361111111111105</v>
      </c>
      <c r="G118" s="202">
        <v>5</v>
      </c>
      <c r="H118" s="202">
        <v>2935</v>
      </c>
    </row>
    <row r="119" spans="1:8" hidden="1">
      <c r="A119" s="122" t="s">
        <v>1449</v>
      </c>
      <c r="B119" s="122" t="s">
        <v>1459</v>
      </c>
      <c r="C119" s="122" t="s">
        <v>1441</v>
      </c>
      <c r="D119" s="122" t="s">
        <v>1450</v>
      </c>
      <c r="E119" s="312">
        <v>41517</v>
      </c>
      <c r="F119" s="311">
        <v>0.40277777777777773</v>
      </c>
      <c r="G119" s="202">
        <v>7</v>
      </c>
      <c r="H119" s="202">
        <v>3304</v>
      </c>
    </row>
    <row r="120" spans="1:8" hidden="1">
      <c r="A120" s="122" t="s">
        <v>1448</v>
      </c>
      <c r="B120" s="122" t="s">
        <v>1457</v>
      </c>
      <c r="C120" s="122" t="s">
        <v>1441</v>
      </c>
      <c r="D120" s="122" t="s">
        <v>1455</v>
      </c>
      <c r="E120" s="312">
        <v>41033</v>
      </c>
      <c r="F120" s="311">
        <v>0.55902777777777779</v>
      </c>
      <c r="G120" s="202">
        <v>5</v>
      </c>
      <c r="H120" s="202">
        <v>5530</v>
      </c>
    </row>
    <row r="121" spans="1:8" hidden="1">
      <c r="A121" s="122" t="s">
        <v>1454</v>
      </c>
      <c r="B121" s="122" t="s">
        <v>1460</v>
      </c>
      <c r="C121" s="122" t="s">
        <v>1439</v>
      </c>
      <c r="D121" s="122" t="s">
        <v>1452</v>
      </c>
      <c r="E121" s="312">
        <v>41037</v>
      </c>
      <c r="F121" s="311">
        <v>0.4236111111111111</v>
      </c>
      <c r="G121" s="202">
        <v>10</v>
      </c>
      <c r="H121" s="202">
        <v>6030</v>
      </c>
    </row>
    <row r="122" spans="1:8">
      <c r="A122" s="122" t="s">
        <v>1454</v>
      </c>
      <c r="B122" s="122" t="s">
        <v>1457</v>
      </c>
      <c r="C122" s="122" t="s">
        <v>1445</v>
      </c>
      <c r="D122" s="122" t="s">
        <v>1452</v>
      </c>
      <c r="E122" s="312">
        <v>41269</v>
      </c>
      <c r="F122" s="311">
        <v>0.64236111111111105</v>
      </c>
      <c r="G122" s="202">
        <v>11</v>
      </c>
      <c r="H122" s="202">
        <v>6886</v>
      </c>
    </row>
    <row r="123" spans="1:8" hidden="1">
      <c r="A123" s="122" t="s">
        <v>1472</v>
      </c>
      <c r="B123" s="122" t="s">
        <v>1458</v>
      </c>
      <c r="C123" s="122" t="s">
        <v>1441</v>
      </c>
      <c r="D123" s="122" t="s">
        <v>1453</v>
      </c>
      <c r="E123" s="312">
        <v>41517</v>
      </c>
      <c r="F123" s="311">
        <v>0.55902777777777779</v>
      </c>
      <c r="G123" s="202">
        <v>3</v>
      </c>
      <c r="H123" s="202">
        <v>1524</v>
      </c>
    </row>
    <row r="124" spans="1:8" hidden="1">
      <c r="A124" s="122" t="s">
        <v>1454</v>
      </c>
      <c r="B124" s="122" t="s">
        <v>1437</v>
      </c>
      <c r="C124" s="122" t="s">
        <v>1439</v>
      </c>
      <c r="D124" s="122" t="s">
        <v>1453</v>
      </c>
      <c r="E124" s="312">
        <v>41184</v>
      </c>
      <c r="F124" s="311">
        <v>0.34375</v>
      </c>
      <c r="G124" s="202">
        <v>1</v>
      </c>
      <c r="H124" s="202">
        <v>950</v>
      </c>
    </row>
    <row r="125" spans="1:8" hidden="1">
      <c r="A125" s="122" t="s">
        <v>1472</v>
      </c>
      <c r="B125" s="122" t="s">
        <v>1459</v>
      </c>
      <c r="C125" s="122" t="s">
        <v>1439</v>
      </c>
      <c r="D125" s="122" t="s">
        <v>1450</v>
      </c>
      <c r="E125" s="312">
        <v>41285</v>
      </c>
      <c r="F125" s="311">
        <v>0.58680555555555547</v>
      </c>
      <c r="G125" s="202">
        <v>2</v>
      </c>
      <c r="H125" s="202">
        <v>1146</v>
      </c>
    </row>
    <row r="126" spans="1:8">
      <c r="A126" s="122" t="s">
        <v>1449</v>
      </c>
      <c r="B126" s="122" t="s">
        <v>1458</v>
      </c>
      <c r="C126" s="122" t="s">
        <v>1441</v>
      </c>
      <c r="D126" s="122" t="s">
        <v>1453</v>
      </c>
      <c r="E126" s="312">
        <v>41262</v>
      </c>
      <c r="F126" s="311">
        <v>0.67013888888888884</v>
      </c>
      <c r="G126" s="202">
        <v>12</v>
      </c>
      <c r="H126" s="202">
        <v>6288</v>
      </c>
    </row>
    <row r="127" spans="1:8" hidden="1">
      <c r="A127" s="122" t="s">
        <v>1454</v>
      </c>
      <c r="B127" s="122" t="s">
        <v>1457</v>
      </c>
      <c r="C127" s="122" t="s">
        <v>1436</v>
      </c>
      <c r="D127" s="122" t="s">
        <v>1455</v>
      </c>
      <c r="E127" s="312">
        <v>40980</v>
      </c>
      <c r="F127" s="311">
        <v>0.67708333333333326</v>
      </c>
      <c r="G127" s="202">
        <v>9</v>
      </c>
      <c r="H127" s="313">
        <v>11583</v>
      </c>
    </row>
    <row r="128" spans="1:8" hidden="1">
      <c r="A128" s="122" t="s">
        <v>1449</v>
      </c>
      <c r="B128" s="122" t="s">
        <v>1459</v>
      </c>
      <c r="C128" s="122" t="s">
        <v>1439</v>
      </c>
      <c r="D128" s="122" t="s">
        <v>1452</v>
      </c>
      <c r="E128" s="312">
        <v>40934</v>
      </c>
      <c r="F128" s="311">
        <v>0.39930555555555552</v>
      </c>
      <c r="G128" s="202">
        <v>8</v>
      </c>
      <c r="H128" s="313">
        <v>4096</v>
      </c>
    </row>
    <row r="129" spans="1:8" hidden="1">
      <c r="A129" s="122" t="s">
        <v>1476</v>
      </c>
      <c r="B129" s="122" t="s">
        <v>1460</v>
      </c>
      <c r="C129" s="122" t="s">
        <v>1439</v>
      </c>
      <c r="D129" s="122" t="s">
        <v>1455</v>
      </c>
      <c r="E129" s="312">
        <v>41516</v>
      </c>
      <c r="F129" s="311">
        <v>0.55902777777777779</v>
      </c>
      <c r="G129" s="202">
        <v>13</v>
      </c>
      <c r="H129" s="202">
        <v>9997</v>
      </c>
    </row>
    <row r="130" spans="1:8" hidden="1">
      <c r="A130" s="122" t="s">
        <v>1472</v>
      </c>
      <c r="B130" s="122" t="s">
        <v>1437</v>
      </c>
      <c r="C130" s="122" t="s">
        <v>1441</v>
      </c>
      <c r="D130" s="122" t="s">
        <v>1450</v>
      </c>
      <c r="E130" s="312">
        <v>41282</v>
      </c>
      <c r="F130" s="311">
        <v>0.40972222222222221</v>
      </c>
      <c r="G130" s="202">
        <v>1</v>
      </c>
      <c r="H130" s="202">
        <v>632</v>
      </c>
    </row>
    <row r="131" spans="1:8" hidden="1">
      <c r="A131" s="122" t="s">
        <v>1444</v>
      </c>
      <c r="B131" s="122" t="s">
        <v>1458</v>
      </c>
      <c r="C131" s="122" t="s">
        <v>1441</v>
      </c>
      <c r="D131" s="122" t="s">
        <v>1455</v>
      </c>
      <c r="E131" s="312">
        <v>41548</v>
      </c>
      <c r="F131" s="311">
        <v>0.56597222222222221</v>
      </c>
      <c r="G131" s="202">
        <v>1</v>
      </c>
      <c r="H131" s="202">
        <v>393</v>
      </c>
    </row>
    <row r="132" spans="1:8" hidden="1">
      <c r="A132" s="122" t="s">
        <v>1472</v>
      </c>
      <c r="B132" s="122" t="s">
        <v>1458</v>
      </c>
      <c r="C132" s="122" t="s">
        <v>1439</v>
      </c>
      <c r="D132" s="122" t="s">
        <v>1450</v>
      </c>
      <c r="E132" s="312">
        <v>41267</v>
      </c>
      <c r="F132" s="311">
        <v>0.68402777777777779</v>
      </c>
      <c r="G132" s="202">
        <v>3</v>
      </c>
      <c r="H132" s="202">
        <v>1857</v>
      </c>
    </row>
    <row r="133" spans="1:8" hidden="1">
      <c r="A133" s="122" t="s">
        <v>1444</v>
      </c>
      <c r="B133" s="122" t="s">
        <v>1457</v>
      </c>
      <c r="C133" s="122" t="s">
        <v>1436</v>
      </c>
      <c r="D133" s="122" t="s">
        <v>1452</v>
      </c>
      <c r="E133" s="312">
        <v>41515</v>
      </c>
      <c r="F133" s="311">
        <v>0.45833333333333331</v>
      </c>
      <c r="G133" s="202">
        <v>7</v>
      </c>
      <c r="H133" s="202">
        <v>9828</v>
      </c>
    </row>
    <row r="134" spans="1:8">
      <c r="A134" s="122" t="s">
        <v>1443</v>
      </c>
      <c r="B134" s="122" t="s">
        <v>1460</v>
      </c>
      <c r="C134" s="122" t="s">
        <v>1445</v>
      </c>
      <c r="D134" s="122" t="s">
        <v>1435</v>
      </c>
      <c r="E134" s="312">
        <v>40919</v>
      </c>
      <c r="F134" s="311">
        <v>0.40625</v>
      </c>
      <c r="G134" s="202">
        <v>6</v>
      </c>
      <c r="H134" s="202">
        <v>5346</v>
      </c>
    </row>
    <row r="135" spans="1:8">
      <c r="A135" s="122" t="s">
        <v>1474</v>
      </c>
      <c r="B135" s="122" t="s">
        <v>1437</v>
      </c>
      <c r="C135" s="122" t="s">
        <v>1436</v>
      </c>
      <c r="D135" s="122" t="s">
        <v>1452</v>
      </c>
      <c r="E135" s="312">
        <v>41514</v>
      </c>
      <c r="F135" s="311">
        <v>0.46875</v>
      </c>
      <c r="G135" s="202">
        <v>10</v>
      </c>
      <c r="H135" s="202">
        <v>5980</v>
      </c>
    </row>
    <row r="136" spans="1:8" hidden="1">
      <c r="A136" s="122" t="s">
        <v>1472</v>
      </c>
      <c r="B136" s="122" t="s">
        <v>1457</v>
      </c>
      <c r="C136" s="122" t="s">
        <v>1441</v>
      </c>
      <c r="D136" s="122" t="s">
        <v>1452</v>
      </c>
      <c r="E136" s="312">
        <v>41229</v>
      </c>
      <c r="F136" s="311">
        <v>0.63541666666666663</v>
      </c>
      <c r="G136" s="202">
        <v>11</v>
      </c>
      <c r="H136" s="202">
        <v>8217</v>
      </c>
    </row>
    <row r="137" spans="1:8">
      <c r="A137" s="122" t="s">
        <v>1476</v>
      </c>
      <c r="B137" s="122" t="s">
        <v>1460</v>
      </c>
      <c r="C137" s="122" t="s">
        <v>1441</v>
      </c>
      <c r="D137" s="122" t="s">
        <v>1453</v>
      </c>
      <c r="E137" s="312">
        <v>41584</v>
      </c>
      <c r="F137" s="311">
        <v>0.36458333333333331</v>
      </c>
      <c r="G137" s="202">
        <v>1</v>
      </c>
      <c r="H137" s="202">
        <v>582</v>
      </c>
    </row>
    <row r="138" spans="1:8" hidden="1">
      <c r="A138" s="122" t="s">
        <v>1448</v>
      </c>
      <c r="B138" s="122" t="s">
        <v>1437</v>
      </c>
      <c r="C138" s="122" t="s">
        <v>1436</v>
      </c>
      <c r="D138" s="122" t="s">
        <v>1452</v>
      </c>
      <c r="E138" s="312">
        <v>41513</v>
      </c>
      <c r="F138" s="311">
        <v>0.55902777777777779</v>
      </c>
      <c r="G138" s="202">
        <v>5</v>
      </c>
      <c r="H138" s="202">
        <v>2625</v>
      </c>
    </row>
    <row r="139" spans="1:8" hidden="1">
      <c r="A139" s="122" t="s">
        <v>1476</v>
      </c>
      <c r="B139" s="122" t="s">
        <v>1459</v>
      </c>
      <c r="C139" s="122" t="s">
        <v>1439</v>
      </c>
      <c r="D139" s="122" t="s">
        <v>1450</v>
      </c>
      <c r="E139" s="312">
        <v>41510</v>
      </c>
      <c r="F139" s="311">
        <v>0.35416666666666663</v>
      </c>
      <c r="G139" s="202">
        <v>7</v>
      </c>
      <c r="H139" s="202">
        <v>2947</v>
      </c>
    </row>
    <row r="140" spans="1:8" hidden="1">
      <c r="A140" s="122" t="s">
        <v>1449</v>
      </c>
      <c r="B140" s="122" t="s">
        <v>1459</v>
      </c>
      <c r="C140" s="122" t="s">
        <v>1439</v>
      </c>
      <c r="D140" s="122" t="s">
        <v>1452</v>
      </c>
      <c r="E140" s="312">
        <v>41594</v>
      </c>
      <c r="F140" s="311">
        <v>0.60416666666666663</v>
      </c>
      <c r="G140" s="202">
        <v>7</v>
      </c>
      <c r="H140" s="202">
        <v>5082</v>
      </c>
    </row>
    <row r="141" spans="1:8">
      <c r="A141" s="122" t="s">
        <v>1443</v>
      </c>
      <c r="B141" s="122" t="s">
        <v>1459</v>
      </c>
      <c r="C141" s="122" t="s">
        <v>1441</v>
      </c>
      <c r="D141" s="122" t="s">
        <v>1450</v>
      </c>
      <c r="E141" s="312">
        <v>41269</v>
      </c>
      <c r="F141" s="311">
        <v>0.46875</v>
      </c>
      <c r="G141" s="202">
        <v>8</v>
      </c>
      <c r="H141" s="202">
        <v>6872</v>
      </c>
    </row>
    <row r="142" spans="1:8" hidden="1">
      <c r="A142" s="122" t="s">
        <v>1438</v>
      </c>
      <c r="B142" s="122" t="s">
        <v>1457</v>
      </c>
      <c r="C142" s="122" t="s">
        <v>1441</v>
      </c>
      <c r="D142" s="122" t="s">
        <v>1455</v>
      </c>
      <c r="E142" s="312">
        <v>41321</v>
      </c>
      <c r="F142" s="311">
        <v>0.41319444444444442</v>
      </c>
      <c r="G142" s="202">
        <v>3</v>
      </c>
      <c r="H142" s="202">
        <v>2637</v>
      </c>
    </row>
    <row r="143" spans="1:8" hidden="1">
      <c r="A143" s="122" t="s">
        <v>1474</v>
      </c>
      <c r="B143" s="122" t="s">
        <v>1458</v>
      </c>
      <c r="C143" s="122" t="s">
        <v>1445</v>
      </c>
      <c r="D143" s="122" t="s">
        <v>1453</v>
      </c>
      <c r="E143" s="312">
        <v>41302</v>
      </c>
      <c r="F143" s="311">
        <v>0.3611111111111111</v>
      </c>
      <c r="G143" s="202">
        <v>13</v>
      </c>
      <c r="H143" s="202">
        <v>7059</v>
      </c>
    </row>
    <row r="144" spans="1:8" hidden="1">
      <c r="A144" s="122" t="s">
        <v>1449</v>
      </c>
      <c r="B144" s="122" t="s">
        <v>1437</v>
      </c>
      <c r="C144" s="122" t="s">
        <v>1445</v>
      </c>
      <c r="D144" s="122" t="s">
        <v>1455</v>
      </c>
      <c r="E144" s="312">
        <v>41509</v>
      </c>
      <c r="F144" s="311">
        <v>0.65625</v>
      </c>
      <c r="G144" s="202">
        <v>5</v>
      </c>
      <c r="H144" s="202">
        <v>6735</v>
      </c>
    </row>
    <row r="145" spans="1:8" hidden="1">
      <c r="A145" s="122" t="s">
        <v>1443</v>
      </c>
      <c r="B145" s="122" t="s">
        <v>1458</v>
      </c>
      <c r="C145" s="122" t="s">
        <v>1445</v>
      </c>
      <c r="D145" s="122" t="s">
        <v>1450</v>
      </c>
      <c r="E145" s="312">
        <v>41508</v>
      </c>
      <c r="F145" s="311">
        <v>0.42013888888888884</v>
      </c>
      <c r="G145" s="202">
        <v>12</v>
      </c>
      <c r="H145" s="202">
        <v>6456</v>
      </c>
    </row>
    <row r="146" spans="1:8" hidden="1">
      <c r="A146" s="122" t="s">
        <v>1472</v>
      </c>
      <c r="B146" s="122" t="s">
        <v>1457</v>
      </c>
      <c r="C146" s="122" t="s">
        <v>1441</v>
      </c>
      <c r="D146" s="122" t="s">
        <v>1452</v>
      </c>
      <c r="E146" s="312">
        <v>41384</v>
      </c>
      <c r="F146" s="311">
        <v>0.50347222222222221</v>
      </c>
      <c r="G146" s="202">
        <v>9</v>
      </c>
      <c r="H146" s="202">
        <v>4518</v>
      </c>
    </row>
    <row r="147" spans="1:8" hidden="1">
      <c r="A147" s="122" t="s">
        <v>1474</v>
      </c>
      <c r="B147" s="122" t="s">
        <v>1458</v>
      </c>
      <c r="C147" s="122" t="s">
        <v>1439</v>
      </c>
      <c r="D147" s="122" t="s">
        <v>1453</v>
      </c>
      <c r="E147" s="312">
        <v>41275</v>
      </c>
      <c r="F147" s="311">
        <v>0.54861111111111105</v>
      </c>
      <c r="G147" s="202">
        <v>15</v>
      </c>
      <c r="H147" s="202">
        <v>8460</v>
      </c>
    </row>
    <row r="148" spans="1:8" hidden="1">
      <c r="A148" s="122" t="s">
        <v>1474</v>
      </c>
      <c r="B148" s="122" t="s">
        <v>1437</v>
      </c>
      <c r="C148" s="122" t="s">
        <v>1441</v>
      </c>
      <c r="D148" s="122" t="s">
        <v>1435</v>
      </c>
      <c r="E148" s="312">
        <v>40985</v>
      </c>
      <c r="F148" s="311">
        <v>0.68055555555555547</v>
      </c>
      <c r="G148" s="202">
        <v>16</v>
      </c>
      <c r="H148" s="202">
        <v>20352</v>
      </c>
    </row>
    <row r="149" spans="1:8" hidden="1">
      <c r="A149" s="122" t="s">
        <v>1474</v>
      </c>
      <c r="B149" s="122" t="s">
        <v>1458</v>
      </c>
      <c r="C149" s="122" t="s">
        <v>1439</v>
      </c>
      <c r="D149" s="122" t="s">
        <v>1453</v>
      </c>
      <c r="E149" s="312">
        <v>41508</v>
      </c>
      <c r="F149" s="311">
        <v>0.70833333333333326</v>
      </c>
      <c r="G149" s="202">
        <v>13</v>
      </c>
      <c r="H149" s="202">
        <v>6552</v>
      </c>
    </row>
    <row r="150" spans="1:8" hidden="1">
      <c r="A150" s="122" t="s">
        <v>1448</v>
      </c>
      <c r="B150" s="122" t="s">
        <v>1458</v>
      </c>
      <c r="C150" s="122" t="s">
        <v>1439</v>
      </c>
      <c r="D150" s="122" t="s">
        <v>1435</v>
      </c>
      <c r="E150" s="312">
        <v>41265</v>
      </c>
      <c r="F150" s="311">
        <v>0.58680555555555547</v>
      </c>
      <c r="G150" s="202">
        <v>20</v>
      </c>
      <c r="H150" s="202">
        <v>7060</v>
      </c>
    </row>
    <row r="151" spans="1:8" hidden="1">
      <c r="A151" s="122" t="s">
        <v>1449</v>
      </c>
      <c r="B151" s="122" t="s">
        <v>1460</v>
      </c>
      <c r="C151" s="122" t="s">
        <v>1439</v>
      </c>
      <c r="D151" s="122" t="s">
        <v>1452</v>
      </c>
      <c r="E151" s="312">
        <v>41075</v>
      </c>
      <c r="F151" s="311">
        <v>0.58333333333333326</v>
      </c>
      <c r="G151" s="202">
        <v>11</v>
      </c>
      <c r="H151" s="202">
        <v>6413</v>
      </c>
    </row>
    <row r="152" spans="1:8" hidden="1">
      <c r="A152" s="122" t="s">
        <v>1474</v>
      </c>
      <c r="B152" s="122" t="s">
        <v>1459</v>
      </c>
      <c r="C152" s="122" t="s">
        <v>1439</v>
      </c>
      <c r="D152" s="122" t="s">
        <v>1435</v>
      </c>
      <c r="E152" s="312">
        <v>41235</v>
      </c>
      <c r="F152" s="311">
        <v>0.72569444444444442</v>
      </c>
      <c r="G152" s="202">
        <v>14</v>
      </c>
      <c r="H152" s="202">
        <v>5754</v>
      </c>
    </row>
    <row r="153" spans="1:8" hidden="1">
      <c r="A153" s="122" t="s">
        <v>1456</v>
      </c>
      <c r="B153" s="122" t="s">
        <v>1460</v>
      </c>
      <c r="C153" s="122" t="s">
        <v>1441</v>
      </c>
      <c r="D153" s="122" t="s">
        <v>1435</v>
      </c>
      <c r="E153" s="312">
        <v>41412</v>
      </c>
      <c r="F153" s="311">
        <v>0.60763888888888884</v>
      </c>
      <c r="G153" s="202">
        <v>7</v>
      </c>
      <c r="H153" s="202">
        <v>4571</v>
      </c>
    </row>
    <row r="154" spans="1:8" hidden="1">
      <c r="A154" s="122" t="s">
        <v>1448</v>
      </c>
      <c r="B154" s="122" t="s">
        <v>1458</v>
      </c>
      <c r="C154" s="122" t="s">
        <v>1441</v>
      </c>
      <c r="D154" s="122" t="s">
        <v>1455</v>
      </c>
      <c r="E154" s="312">
        <v>40911</v>
      </c>
      <c r="F154" s="311">
        <v>0.72222222222222221</v>
      </c>
      <c r="G154" s="202">
        <v>3</v>
      </c>
      <c r="H154" s="313">
        <v>1281</v>
      </c>
    </row>
    <row r="155" spans="1:8">
      <c r="A155" s="122" t="s">
        <v>1438</v>
      </c>
      <c r="B155" s="122" t="s">
        <v>1457</v>
      </c>
      <c r="C155" s="122" t="s">
        <v>1439</v>
      </c>
      <c r="D155" s="122" t="s">
        <v>1450</v>
      </c>
      <c r="E155" s="312">
        <v>41507</v>
      </c>
      <c r="F155" s="311">
        <v>0.49652777777777773</v>
      </c>
      <c r="G155" s="202">
        <v>15</v>
      </c>
      <c r="H155" s="202">
        <v>12450</v>
      </c>
    </row>
    <row r="156" spans="1:8" hidden="1">
      <c r="A156" s="122" t="s">
        <v>1449</v>
      </c>
      <c r="B156" s="122" t="s">
        <v>1458</v>
      </c>
      <c r="C156" s="122" t="s">
        <v>1436</v>
      </c>
      <c r="D156" s="122" t="s">
        <v>1450</v>
      </c>
      <c r="E156" s="312">
        <v>41310</v>
      </c>
      <c r="F156" s="311">
        <v>0.71527777777777779</v>
      </c>
      <c r="G156" s="202">
        <v>7</v>
      </c>
      <c r="H156" s="202">
        <v>2632</v>
      </c>
    </row>
    <row r="157" spans="1:8" hidden="1">
      <c r="A157" s="122" t="s">
        <v>1474</v>
      </c>
      <c r="B157" s="122" t="s">
        <v>1458</v>
      </c>
      <c r="C157" s="122" t="s">
        <v>1436</v>
      </c>
      <c r="D157" s="122" t="s">
        <v>1455</v>
      </c>
      <c r="E157" s="312">
        <v>41072</v>
      </c>
      <c r="F157" s="311">
        <v>0.69097222222222221</v>
      </c>
      <c r="G157" s="202">
        <v>9</v>
      </c>
      <c r="H157" s="202">
        <v>4725</v>
      </c>
    </row>
    <row r="158" spans="1:8" hidden="1">
      <c r="A158" s="122" t="s">
        <v>1472</v>
      </c>
      <c r="B158" s="122" t="s">
        <v>1457</v>
      </c>
      <c r="C158" s="122" t="s">
        <v>1436</v>
      </c>
      <c r="D158" s="122" t="s">
        <v>1452</v>
      </c>
      <c r="E158" s="312">
        <v>40967</v>
      </c>
      <c r="F158" s="311">
        <v>0.47916666666666663</v>
      </c>
      <c r="G158" s="202">
        <v>10</v>
      </c>
      <c r="H158" s="313">
        <v>15000</v>
      </c>
    </row>
    <row r="159" spans="1:8" hidden="1">
      <c r="A159" s="122" t="s">
        <v>1438</v>
      </c>
      <c r="B159" s="122" t="s">
        <v>1460</v>
      </c>
      <c r="C159" s="122" t="s">
        <v>1441</v>
      </c>
      <c r="D159" s="122" t="s">
        <v>1453</v>
      </c>
      <c r="E159" s="312">
        <v>41506</v>
      </c>
      <c r="F159" s="311">
        <v>0.44097222222222221</v>
      </c>
      <c r="G159" s="202">
        <v>10</v>
      </c>
      <c r="H159" s="202">
        <v>6330</v>
      </c>
    </row>
    <row r="160" spans="1:8" hidden="1">
      <c r="A160" s="122" t="s">
        <v>1449</v>
      </c>
      <c r="B160" s="122" t="s">
        <v>1459</v>
      </c>
      <c r="C160" s="122" t="s">
        <v>1441</v>
      </c>
      <c r="D160" s="122" t="s">
        <v>1450</v>
      </c>
      <c r="E160" s="312">
        <v>41419</v>
      </c>
      <c r="F160" s="311">
        <v>0.68055555555555547</v>
      </c>
      <c r="G160" s="202">
        <v>9</v>
      </c>
      <c r="H160" s="202">
        <v>4041</v>
      </c>
    </row>
    <row r="161" spans="1:8" hidden="1">
      <c r="A161" s="122" t="s">
        <v>1454</v>
      </c>
      <c r="B161" s="122" t="s">
        <v>1457</v>
      </c>
      <c r="C161" s="122" t="s">
        <v>1436</v>
      </c>
      <c r="D161" s="122" t="s">
        <v>1450</v>
      </c>
      <c r="E161" s="312">
        <v>41505</v>
      </c>
      <c r="F161" s="311">
        <v>0.47569444444444442</v>
      </c>
      <c r="G161" s="202">
        <v>8</v>
      </c>
      <c r="H161" s="202">
        <v>6864</v>
      </c>
    </row>
    <row r="162" spans="1:8" hidden="1">
      <c r="A162" s="122" t="s">
        <v>1448</v>
      </c>
      <c r="B162" s="122" t="s">
        <v>1460</v>
      </c>
      <c r="C162" s="122" t="s">
        <v>1441</v>
      </c>
      <c r="D162" s="122" t="s">
        <v>1435</v>
      </c>
      <c r="E162" s="312">
        <v>41019</v>
      </c>
      <c r="F162" s="311">
        <v>0.56944444444444442</v>
      </c>
      <c r="G162" s="202">
        <v>16</v>
      </c>
      <c r="H162" s="202">
        <v>12512</v>
      </c>
    </row>
    <row r="163" spans="1:8" hidden="1">
      <c r="A163" s="122" t="s">
        <v>1444</v>
      </c>
      <c r="B163" s="122" t="s">
        <v>1460</v>
      </c>
      <c r="C163" s="122" t="s">
        <v>1441</v>
      </c>
      <c r="D163" s="122" t="s">
        <v>1452</v>
      </c>
      <c r="E163" s="312">
        <v>41222</v>
      </c>
      <c r="F163" s="311">
        <v>0.34722222222222221</v>
      </c>
      <c r="G163" s="202">
        <v>3</v>
      </c>
      <c r="H163" s="202">
        <v>1542</v>
      </c>
    </row>
    <row r="164" spans="1:8" hidden="1">
      <c r="A164" s="122" t="s">
        <v>1443</v>
      </c>
      <c r="B164" s="122" t="s">
        <v>1437</v>
      </c>
      <c r="C164" s="122" t="s">
        <v>1439</v>
      </c>
      <c r="D164" s="122" t="s">
        <v>1452</v>
      </c>
      <c r="E164" s="312">
        <v>41503</v>
      </c>
      <c r="F164" s="311">
        <v>0.43055555555555552</v>
      </c>
      <c r="G164" s="202">
        <v>1</v>
      </c>
      <c r="H164" s="202">
        <v>1105</v>
      </c>
    </row>
    <row r="165" spans="1:8">
      <c r="A165" s="122" t="s">
        <v>3138</v>
      </c>
      <c r="B165" s="122" t="s">
        <v>1459</v>
      </c>
      <c r="C165" s="122" t="s">
        <v>1441</v>
      </c>
      <c r="D165" s="122" t="s">
        <v>1435</v>
      </c>
      <c r="E165" s="312">
        <v>41619</v>
      </c>
      <c r="F165" s="311">
        <v>0.71527777777777779</v>
      </c>
      <c r="G165" s="202">
        <v>8</v>
      </c>
      <c r="H165" s="202">
        <v>4824</v>
      </c>
    </row>
    <row r="166" spans="1:8" hidden="1">
      <c r="A166" s="122" t="s">
        <v>1448</v>
      </c>
      <c r="B166" s="122" t="s">
        <v>1459</v>
      </c>
      <c r="C166" s="122" t="s">
        <v>1436</v>
      </c>
      <c r="D166" s="122" t="s">
        <v>1453</v>
      </c>
      <c r="E166" s="312">
        <v>41502</v>
      </c>
      <c r="F166" s="311">
        <v>0.63888888888888884</v>
      </c>
      <c r="G166" s="202">
        <v>1</v>
      </c>
      <c r="H166" s="202">
        <v>669</v>
      </c>
    </row>
    <row r="167" spans="1:8" hidden="1">
      <c r="A167" s="122" t="s">
        <v>1456</v>
      </c>
      <c r="B167" s="122" t="s">
        <v>1437</v>
      </c>
      <c r="C167" s="122" t="s">
        <v>1441</v>
      </c>
      <c r="D167" s="122" t="s">
        <v>1452</v>
      </c>
      <c r="E167" s="312">
        <v>41624</v>
      </c>
      <c r="F167" s="311">
        <v>0.63541666666666663</v>
      </c>
      <c r="G167" s="202">
        <v>15</v>
      </c>
      <c r="H167" s="202">
        <v>10590</v>
      </c>
    </row>
    <row r="168" spans="1:8" hidden="1">
      <c r="A168" s="122" t="s">
        <v>1443</v>
      </c>
      <c r="B168" s="122" t="s">
        <v>1458</v>
      </c>
      <c r="C168" s="122" t="s">
        <v>1439</v>
      </c>
      <c r="D168" s="122" t="s">
        <v>1450</v>
      </c>
      <c r="E168" s="312">
        <v>41326</v>
      </c>
      <c r="F168" s="311">
        <v>0.47569444444444442</v>
      </c>
      <c r="G168" s="202">
        <v>8</v>
      </c>
      <c r="H168" s="202">
        <v>3976</v>
      </c>
    </row>
    <row r="169" spans="1:8" hidden="1">
      <c r="A169" s="122" t="s">
        <v>1444</v>
      </c>
      <c r="B169" s="122" t="s">
        <v>1457</v>
      </c>
      <c r="C169" s="122" t="s">
        <v>1439</v>
      </c>
      <c r="D169" s="122" t="s">
        <v>1455</v>
      </c>
      <c r="E169" s="312">
        <v>41219</v>
      </c>
      <c r="F169" s="311">
        <v>0.35069444444444442</v>
      </c>
      <c r="G169" s="202">
        <v>13</v>
      </c>
      <c r="H169" s="202">
        <v>15821</v>
      </c>
    </row>
    <row r="170" spans="1:8" hidden="1">
      <c r="A170" s="122" t="s">
        <v>1448</v>
      </c>
      <c r="B170" s="122" t="s">
        <v>1459</v>
      </c>
      <c r="C170" s="122" t="s">
        <v>1441</v>
      </c>
      <c r="D170" s="122" t="s">
        <v>1455</v>
      </c>
      <c r="E170" s="312">
        <v>41060</v>
      </c>
      <c r="F170" s="311">
        <v>0.41666666666666663</v>
      </c>
      <c r="G170" s="202">
        <v>9</v>
      </c>
      <c r="H170" s="202">
        <v>3438</v>
      </c>
    </row>
    <row r="171" spans="1:8">
      <c r="A171" s="122" t="s">
        <v>1472</v>
      </c>
      <c r="B171" s="122" t="s">
        <v>1458</v>
      </c>
      <c r="C171" s="122" t="s">
        <v>1441</v>
      </c>
      <c r="D171" s="122" t="s">
        <v>1452</v>
      </c>
      <c r="E171" s="312">
        <v>41500</v>
      </c>
      <c r="F171" s="311">
        <v>0.33680555555555552</v>
      </c>
      <c r="G171" s="202">
        <v>2</v>
      </c>
      <c r="H171" s="202">
        <v>938</v>
      </c>
    </row>
    <row r="172" spans="1:8" hidden="1">
      <c r="A172" s="122" t="s">
        <v>1438</v>
      </c>
      <c r="B172" s="122" t="s">
        <v>1460</v>
      </c>
      <c r="C172" s="122" t="s">
        <v>1436</v>
      </c>
      <c r="D172" s="122" t="s">
        <v>1453</v>
      </c>
      <c r="E172" s="312">
        <v>41233</v>
      </c>
      <c r="F172" s="311">
        <v>0.41666666666666663</v>
      </c>
      <c r="G172" s="202">
        <v>14</v>
      </c>
      <c r="H172" s="202">
        <v>12264</v>
      </c>
    </row>
    <row r="173" spans="1:8" hidden="1">
      <c r="A173" s="122" t="s">
        <v>1438</v>
      </c>
      <c r="B173" s="122" t="s">
        <v>1459</v>
      </c>
      <c r="C173" s="122" t="s">
        <v>1445</v>
      </c>
      <c r="D173" s="122" t="s">
        <v>1453</v>
      </c>
      <c r="E173" s="312">
        <v>41296</v>
      </c>
      <c r="F173" s="311">
        <v>0.61458333333333326</v>
      </c>
      <c r="G173" s="202">
        <v>15</v>
      </c>
      <c r="H173" s="202">
        <v>13020</v>
      </c>
    </row>
    <row r="174" spans="1:8" hidden="1">
      <c r="A174" s="122" t="s">
        <v>1444</v>
      </c>
      <c r="B174" s="122" t="s">
        <v>1459</v>
      </c>
      <c r="C174" s="122" t="s">
        <v>1441</v>
      </c>
      <c r="D174" s="122" t="s">
        <v>1435</v>
      </c>
      <c r="E174" s="312">
        <v>41044</v>
      </c>
      <c r="F174" s="311">
        <v>0.43402777777777773</v>
      </c>
      <c r="G174" s="202">
        <v>18</v>
      </c>
      <c r="H174" s="202">
        <v>11214</v>
      </c>
    </row>
    <row r="175" spans="1:8">
      <c r="A175" s="122" t="s">
        <v>1449</v>
      </c>
      <c r="B175" s="122" t="s">
        <v>1457</v>
      </c>
      <c r="C175" s="122" t="s">
        <v>1436</v>
      </c>
      <c r="D175" s="122" t="s">
        <v>1455</v>
      </c>
      <c r="E175" s="312">
        <v>41500</v>
      </c>
      <c r="F175" s="311">
        <v>0.70138888888888884</v>
      </c>
      <c r="G175" s="202">
        <v>13</v>
      </c>
      <c r="H175" s="202">
        <v>14079</v>
      </c>
    </row>
    <row r="176" spans="1:8" hidden="1">
      <c r="A176" s="122" t="s">
        <v>1449</v>
      </c>
      <c r="B176" s="122" t="s">
        <v>1437</v>
      </c>
      <c r="C176" s="122" t="s">
        <v>1441</v>
      </c>
      <c r="D176" s="122" t="s">
        <v>1435</v>
      </c>
      <c r="E176" s="312">
        <v>41232</v>
      </c>
      <c r="F176" s="311">
        <v>0.56944444444444442</v>
      </c>
      <c r="G176" s="202">
        <v>8</v>
      </c>
      <c r="H176" s="202">
        <v>9192</v>
      </c>
    </row>
    <row r="177" spans="1:8" hidden="1">
      <c r="A177" s="122" t="s">
        <v>1449</v>
      </c>
      <c r="B177" s="122" t="s">
        <v>1457</v>
      </c>
      <c r="C177" s="122" t="s">
        <v>1445</v>
      </c>
      <c r="D177" s="122" t="s">
        <v>1455</v>
      </c>
      <c r="E177" s="312">
        <v>41184</v>
      </c>
      <c r="F177" s="311">
        <v>0.59027777777777779</v>
      </c>
      <c r="G177" s="202">
        <v>4</v>
      </c>
      <c r="H177" s="202">
        <v>5128</v>
      </c>
    </row>
    <row r="178" spans="1:8" hidden="1">
      <c r="A178" s="122" t="s">
        <v>1449</v>
      </c>
      <c r="B178" s="122" t="s">
        <v>1459</v>
      </c>
      <c r="C178" s="122" t="s">
        <v>1436</v>
      </c>
      <c r="D178" s="122" t="s">
        <v>1455</v>
      </c>
      <c r="E178" s="312">
        <v>41254</v>
      </c>
      <c r="F178" s="311">
        <v>0.3611111111111111</v>
      </c>
      <c r="G178" s="202">
        <v>9</v>
      </c>
      <c r="H178" s="202">
        <v>2790</v>
      </c>
    </row>
    <row r="179" spans="1:8" hidden="1">
      <c r="A179" s="122" t="s">
        <v>1472</v>
      </c>
      <c r="B179" s="122" t="s">
        <v>1458</v>
      </c>
      <c r="C179" s="122" t="s">
        <v>1439</v>
      </c>
      <c r="D179" s="122" t="s">
        <v>1452</v>
      </c>
      <c r="E179" s="312">
        <v>41043</v>
      </c>
      <c r="F179" s="311">
        <v>0.49305555555555552</v>
      </c>
      <c r="G179" s="202">
        <v>11</v>
      </c>
      <c r="H179" s="202">
        <v>4565</v>
      </c>
    </row>
    <row r="180" spans="1:8">
      <c r="A180" s="122" t="s">
        <v>1449</v>
      </c>
      <c r="B180" s="122" t="s">
        <v>1460</v>
      </c>
      <c r="C180" s="122" t="s">
        <v>1436</v>
      </c>
      <c r="D180" s="122" t="s">
        <v>1435</v>
      </c>
      <c r="E180" s="312">
        <v>40954</v>
      </c>
      <c r="F180" s="311">
        <v>0.48263888888888884</v>
      </c>
      <c r="G180" s="202">
        <v>18</v>
      </c>
      <c r="H180" s="202">
        <v>12438</v>
      </c>
    </row>
    <row r="181" spans="1:8" hidden="1">
      <c r="A181" s="122" t="s">
        <v>1448</v>
      </c>
      <c r="B181" s="122" t="s">
        <v>1437</v>
      </c>
      <c r="C181" s="122" t="s">
        <v>1436</v>
      </c>
      <c r="D181" s="122" t="s">
        <v>1450</v>
      </c>
      <c r="E181" s="312">
        <v>41499</v>
      </c>
      <c r="F181" s="311">
        <v>0.65972222222222221</v>
      </c>
      <c r="G181" s="202">
        <v>1</v>
      </c>
      <c r="H181" s="202">
        <v>1284</v>
      </c>
    </row>
    <row r="182" spans="1:8" hidden="1">
      <c r="A182" s="122" t="s">
        <v>1476</v>
      </c>
      <c r="B182" s="122" t="s">
        <v>1458</v>
      </c>
      <c r="C182" s="122" t="s">
        <v>1445</v>
      </c>
      <c r="D182" s="122" t="s">
        <v>1450</v>
      </c>
      <c r="E182" s="312">
        <v>41590</v>
      </c>
      <c r="F182" s="311">
        <v>0.4236111111111111</v>
      </c>
      <c r="G182" s="202">
        <v>8</v>
      </c>
      <c r="H182" s="202">
        <v>2872</v>
      </c>
    </row>
    <row r="183" spans="1:8" hidden="1">
      <c r="A183" s="122" t="s">
        <v>1454</v>
      </c>
      <c r="B183" s="122" t="s">
        <v>1460</v>
      </c>
      <c r="C183" s="122" t="s">
        <v>1441</v>
      </c>
      <c r="D183" s="122" t="s">
        <v>1452</v>
      </c>
      <c r="E183" s="312">
        <v>41499</v>
      </c>
      <c r="F183" s="311">
        <v>0.71527777777777779</v>
      </c>
      <c r="G183" s="202">
        <v>13</v>
      </c>
      <c r="H183" s="202">
        <v>7345</v>
      </c>
    </row>
    <row r="184" spans="1:8" hidden="1">
      <c r="A184" s="122" t="s">
        <v>1443</v>
      </c>
      <c r="B184" s="122" t="s">
        <v>1457</v>
      </c>
      <c r="C184" s="122" t="s">
        <v>1439</v>
      </c>
      <c r="D184" s="122" t="s">
        <v>1455</v>
      </c>
      <c r="E184" s="312">
        <v>41447</v>
      </c>
      <c r="F184" s="311">
        <v>0.71180555555555547</v>
      </c>
      <c r="G184" s="202">
        <v>6</v>
      </c>
      <c r="H184" s="202">
        <v>6456</v>
      </c>
    </row>
    <row r="185" spans="1:8">
      <c r="A185" s="122" t="s">
        <v>1476</v>
      </c>
      <c r="B185" s="122" t="s">
        <v>1460</v>
      </c>
      <c r="C185" s="122" t="s">
        <v>1441</v>
      </c>
      <c r="D185" s="122" t="s">
        <v>1455</v>
      </c>
      <c r="E185" s="312">
        <v>41206</v>
      </c>
      <c r="F185" s="311">
        <v>0.61458333333333326</v>
      </c>
      <c r="G185" s="202">
        <v>9</v>
      </c>
      <c r="H185" s="202">
        <v>4194</v>
      </c>
    </row>
    <row r="186" spans="1:8" hidden="1">
      <c r="A186" s="122" t="s">
        <v>1449</v>
      </c>
      <c r="B186" s="122" t="s">
        <v>1458</v>
      </c>
      <c r="C186" s="122" t="s">
        <v>1436</v>
      </c>
      <c r="D186" s="122" t="s">
        <v>1435</v>
      </c>
      <c r="E186" s="312">
        <v>41267</v>
      </c>
      <c r="F186" s="311">
        <v>0.44444444444444442</v>
      </c>
      <c r="G186" s="202">
        <v>9</v>
      </c>
      <c r="H186" s="202">
        <v>5238</v>
      </c>
    </row>
    <row r="187" spans="1:8" hidden="1">
      <c r="A187" s="122" t="s">
        <v>1474</v>
      </c>
      <c r="B187" s="122" t="s">
        <v>1460</v>
      </c>
      <c r="C187" s="122" t="s">
        <v>1436</v>
      </c>
      <c r="D187" s="122" t="s">
        <v>1450</v>
      </c>
      <c r="E187" s="312">
        <v>41232</v>
      </c>
      <c r="F187" s="311">
        <v>0.43055555555555552</v>
      </c>
      <c r="G187" s="202">
        <v>2</v>
      </c>
      <c r="H187" s="202">
        <v>1350</v>
      </c>
    </row>
    <row r="188" spans="1:8" hidden="1">
      <c r="A188" s="122" t="s">
        <v>1472</v>
      </c>
      <c r="B188" s="122" t="s">
        <v>1459</v>
      </c>
      <c r="C188" s="122" t="s">
        <v>1445</v>
      </c>
      <c r="D188" s="122" t="s">
        <v>1453</v>
      </c>
      <c r="E188" s="312">
        <v>41438</v>
      </c>
      <c r="F188" s="311">
        <v>0.57638888888888884</v>
      </c>
      <c r="G188" s="202">
        <v>1</v>
      </c>
      <c r="H188" s="202">
        <v>816</v>
      </c>
    </row>
    <row r="189" spans="1:8">
      <c r="A189" s="122" t="s">
        <v>1474</v>
      </c>
      <c r="B189" s="122" t="s">
        <v>1460</v>
      </c>
      <c r="C189" s="122" t="s">
        <v>1441</v>
      </c>
      <c r="D189" s="122" t="s">
        <v>1453</v>
      </c>
      <c r="E189" s="312">
        <v>41598</v>
      </c>
      <c r="F189" s="311">
        <v>0.58333333333333326</v>
      </c>
      <c r="G189" s="202">
        <v>6</v>
      </c>
      <c r="H189" s="202">
        <v>4824</v>
      </c>
    </row>
    <row r="190" spans="1:8" hidden="1">
      <c r="A190" s="122" t="s">
        <v>1438</v>
      </c>
      <c r="B190" s="122" t="s">
        <v>1457</v>
      </c>
      <c r="C190" s="122" t="s">
        <v>1436</v>
      </c>
      <c r="D190" s="122" t="s">
        <v>1452</v>
      </c>
      <c r="E190" s="312">
        <v>41499</v>
      </c>
      <c r="F190" s="311">
        <v>0.65625</v>
      </c>
      <c r="G190" s="202">
        <v>7</v>
      </c>
      <c r="H190" s="202">
        <v>3857</v>
      </c>
    </row>
    <row r="191" spans="1:8" hidden="1">
      <c r="A191" s="122" t="s">
        <v>1448</v>
      </c>
      <c r="B191" s="122" t="s">
        <v>1457</v>
      </c>
      <c r="C191" s="122" t="s">
        <v>1436</v>
      </c>
      <c r="D191" s="122" t="s">
        <v>1450</v>
      </c>
      <c r="E191" s="312">
        <v>41267</v>
      </c>
      <c r="F191" s="311">
        <v>0.46875</v>
      </c>
      <c r="G191" s="202">
        <v>5</v>
      </c>
      <c r="H191" s="202">
        <v>4090</v>
      </c>
    </row>
    <row r="192" spans="1:8">
      <c r="A192" s="122" t="s">
        <v>1438</v>
      </c>
      <c r="B192" s="122" t="s">
        <v>1457</v>
      </c>
      <c r="C192" s="122" t="s">
        <v>1436</v>
      </c>
      <c r="D192" s="122" t="s">
        <v>1453</v>
      </c>
      <c r="E192" s="312">
        <v>41255</v>
      </c>
      <c r="F192" s="311">
        <v>0.43402777777777773</v>
      </c>
      <c r="G192" s="202">
        <v>4</v>
      </c>
      <c r="H192" s="202">
        <v>5300</v>
      </c>
    </row>
    <row r="193" spans="1:8" hidden="1">
      <c r="A193" s="122" t="s">
        <v>1448</v>
      </c>
      <c r="B193" s="122" t="s">
        <v>1437</v>
      </c>
      <c r="C193" s="122" t="s">
        <v>1439</v>
      </c>
      <c r="D193" s="122" t="s">
        <v>1455</v>
      </c>
      <c r="E193" s="312">
        <v>41496</v>
      </c>
      <c r="F193" s="311">
        <v>0.48263888888888884</v>
      </c>
      <c r="G193" s="202">
        <v>9</v>
      </c>
      <c r="H193" s="202">
        <v>12627</v>
      </c>
    </row>
    <row r="194" spans="1:8">
      <c r="A194" s="122" t="s">
        <v>3138</v>
      </c>
      <c r="B194" s="122" t="s">
        <v>1437</v>
      </c>
      <c r="C194" s="122" t="s">
        <v>1436</v>
      </c>
      <c r="D194" s="122" t="s">
        <v>1453</v>
      </c>
      <c r="E194" s="312">
        <v>41626</v>
      </c>
      <c r="F194" s="311">
        <v>0.57291666666666663</v>
      </c>
      <c r="G194" s="202">
        <v>12</v>
      </c>
      <c r="H194" s="202">
        <v>9084</v>
      </c>
    </row>
    <row r="195" spans="1:8" hidden="1">
      <c r="A195" s="122" t="s">
        <v>3138</v>
      </c>
      <c r="B195" s="122" t="s">
        <v>1437</v>
      </c>
      <c r="C195" s="122" t="s">
        <v>1436</v>
      </c>
      <c r="D195" s="122" t="s">
        <v>1450</v>
      </c>
      <c r="E195" s="312">
        <v>41496</v>
      </c>
      <c r="F195" s="311">
        <v>0.57986111111111105</v>
      </c>
      <c r="G195" s="202">
        <v>15</v>
      </c>
      <c r="H195" s="202">
        <v>15045</v>
      </c>
    </row>
    <row r="196" spans="1:8" hidden="1">
      <c r="A196" s="122" t="s">
        <v>1472</v>
      </c>
      <c r="B196" s="122" t="s">
        <v>1437</v>
      </c>
      <c r="C196" s="122" t="s">
        <v>1445</v>
      </c>
      <c r="D196" s="122" t="s">
        <v>1455</v>
      </c>
      <c r="E196" s="312">
        <v>40946</v>
      </c>
      <c r="F196" s="311">
        <v>0.38194444444444442</v>
      </c>
      <c r="G196" s="202">
        <v>6</v>
      </c>
      <c r="H196" s="313">
        <v>6480</v>
      </c>
    </row>
    <row r="197" spans="1:8" hidden="1">
      <c r="A197" s="122" t="s">
        <v>1474</v>
      </c>
      <c r="B197" s="122" t="s">
        <v>1460</v>
      </c>
      <c r="C197" s="122" t="s">
        <v>1441</v>
      </c>
      <c r="D197" s="122" t="s">
        <v>1453</v>
      </c>
      <c r="E197" s="312">
        <v>41034</v>
      </c>
      <c r="F197" s="311">
        <v>0.33680555555555552</v>
      </c>
      <c r="G197" s="202">
        <v>6</v>
      </c>
      <c r="H197" s="202">
        <v>3192</v>
      </c>
    </row>
    <row r="198" spans="1:8" hidden="1">
      <c r="A198" s="122" t="s">
        <v>1447</v>
      </c>
      <c r="B198" s="122" t="s">
        <v>1458</v>
      </c>
      <c r="C198" s="122" t="s">
        <v>1436</v>
      </c>
      <c r="D198" s="122" t="s">
        <v>1455</v>
      </c>
      <c r="E198" s="312">
        <v>41414</v>
      </c>
      <c r="F198" s="311">
        <v>0.6875</v>
      </c>
      <c r="G198" s="202">
        <v>12</v>
      </c>
      <c r="H198" s="202">
        <v>4932</v>
      </c>
    </row>
    <row r="199" spans="1:8" hidden="1">
      <c r="A199" s="122" t="s">
        <v>1438</v>
      </c>
      <c r="B199" s="122" t="s">
        <v>1458</v>
      </c>
      <c r="C199" s="122" t="s">
        <v>1439</v>
      </c>
      <c r="D199" s="122" t="s">
        <v>1435</v>
      </c>
      <c r="E199" s="312">
        <v>41057</v>
      </c>
      <c r="F199" s="311">
        <v>0.60069444444444442</v>
      </c>
      <c r="G199" s="202">
        <v>14</v>
      </c>
      <c r="H199" s="202">
        <v>8092</v>
      </c>
    </row>
    <row r="200" spans="1:8">
      <c r="A200" s="122" t="s">
        <v>1449</v>
      </c>
      <c r="B200" s="122" t="s">
        <v>1460</v>
      </c>
      <c r="C200" s="122" t="s">
        <v>1439</v>
      </c>
      <c r="D200" s="122" t="s">
        <v>1435</v>
      </c>
      <c r="E200" s="312">
        <v>41073</v>
      </c>
      <c r="F200" s="311">
        <v>0.61458333333333326</v>
      </c>
      <c r="G200" s="202">
        <v>19</v>
      </c>
      <c r="H200" s="202">
        <v>8189</v>
      </c>
    </row>
    <row r="201" spans="1:8" hidden="1">
      <c r="A201" s="122" t="s">
        <v>1448</v>
      </c>
      <c r="B201" s="122" t="s">
        <v>1437</v>
      </c>
      <c r="C201" s="122" t="s">
        <v>1445</v>
      </c>
      <c r="D201" s="122" t="s">
        <v>1450</v>
      </c>
      <c r="E201" s="312">
        <v>41198</v>
      </c>
      <c r="F201" s="311">
        <v>0.64236111111111105</v>
      </c>
      <c r="G201" s="202">
        <v>2</v>
      </c>
      <c r="H201" s="202">
        <v>3370</v>
      </c>
    </row>
    <row r="202" spans="1:8" hidden="1">
      <c r="A202" s="122" t="s">
        <v>1472</v>
      </c>
      <c r="B202" s="122" t="s">
        <v>1460</v>
      </c>
      <c r="C202" s="122" t="s">
        <v>1445</v>
      </c>
      <c r="D202" s="122" t="s">
        <v>1452</v>
      </c>
      <c r="E202" s="312">
        <v>41569</v>
      </c>
      <c r="F202" s="311">
        <v>0.5</v>
      </c>
      <c r="G202" s="202">
        <v>5</v>
      </c>
      <c r="H202" s="202">
        <v>2530</v>
      </c>
    </row>
    <row r="203" spans="1:8" hidden="1">
      <c r="A203" s="122" t="s">
        <v>1444</v>
      </c>
      <c r="B203" s="122" t="s">
        <v>1437</v>
      </c>
      <c r="C203" s="122" t="s">
        <v>1436</v>
      </c>
      <c r="D203" s="122" t="s">
        <v>1453</v>
      </c>
      <c r="E203" s="312">
        <v>41496</v>
      </c>
      <c r="F203" s="311">
        <v>0.51041666666666663</v>
      </c>
      <c r="G203" s="202">
        <v>8</v>
      </c>
      <c r="H203" s="202">
        <v>6264</v>
      </c>
    </row>
    <row r="204" spans="1:8" hidden="1">
      <c r="A204" s="122" t="s">
        <v>1444</v>
      </c>
      <c r="B204" s="122" t="s">
        <v>1460</v>
      </c>
      <c r="C204" s="122" t="s">
        <v>1445</v>
      </c>
      <c r="D204" s="122" t="s">
        <v>1455</v>
      </c>
      <c r="E204" s="312">
        <v>40962</v>
      </c>
      <c r="F204" s="311">
        <v>0.56597222222222221</v>
      </c>
      <c r="G204" s="202">
        <v>9</v>
      </c>
      <c r="H204" s="313">
        <v>5814</v>
      </c>
    </row>
    <row r="205" spans="1:8">
      <c r="A205" s="122" t="s">
        <v>1472</v>
      </c>
      <c r="B205" s="122" t="s">
        <v>1437</v>
      </c>
      <c r="C205" s="122" t="s">
        <v>1436</v>
      </c>
      <c r="D205" s="122" t="s">
        <v>1455</v>
      </c>
      <c r="E205" s="312">
        <v>41318</v>
      </c>
      <c r="F205" s="311">
        <v>0.57986111111111105</v>
      </c>
      <c r="G205" s="202">
        <v>7</v>
      </c>
      <c r="H205" s="202">
        <v>4473</v>
      </c>
    </row>
    <row r="206" spans="1:8" hidden="1">
      <c r="A206" s="122" t="s">
        <v>1449</v>
      </c>
      <c r="B206" s="122" t="s">
        <v>1459</v>
      </c>
      <c r="C206" s="122" t="s">
        <v>1439</v>
      </c>
      <c r="D206" s="122" t="s">
        <v>1452</v>
      </c>
      <c r="E206" s="312">
        <v>41496</v>
      </c>
      <c r="F206" s="311">
        <v>0.37152777777777773</v>
      </c>
      <c r="G206" s="202">
        <v>3</v>
      </c>
      <c r="H206" s="202">
        <v>1401</v>
      </c>
    </row>
    <row r="207" spans="1:8" hidden="1">
      <c r="A207" s="122" t="s">
        <v>1448</v>
      </c>
      <c r="B207" s="122" t="s">
        <v>1458</v>
      </c>
      <c r="C207" s="122" t="s">
        <v>1445</v>
      </c>
      <c r="D207" s="122" t="s">
        <v>1435</v>
      </c>
      <c r="E207" s="312">
        <v>41316</v>
      </c>
      <c r="F207" s="311">
        <v>0.59375</v>
      </c>
      <c r="G207" s="202">
        <v>14</v>
      </c>
      <c r="H207" s="202">
        <v>6230</v>
      </c>
    </row>
    <row r="208" spans="1:8" hidden="1">
      <c r="A208" s="122" t="s">
        <v>1476</v>
      </c>
      <c r="B208" s="122" t="s">
        <v>1437</v>
      </c>
      <c r="C208" s="122" t="s">
        <v>1436</v>
      </c>
      <c r="D208" s="122" t="s">
        <v>1453</v>
      </c>
      <c r="E208" s="312">
        <v>41368</v>
      </c>
      <c r="F208" s="311">
        <v>0.66319444444444442</v>
      </c>
      <c r="G208" s="202">
        <v>6</v>
      </c>
      <c r="H208" s="202">
        <v>10890</v>
      </c>
    </row>
    <row r="209" spans="1:8" hidden="1">
      <c r="A209" s="122" t="s">
        <v>1443</v>
      </c>
      <c r="B209" s="122" t="s">
        <v>1457</v>
      </c>
      <c r="C209" s="122" t="s">
        <v>1436</v>
      </c>
      <c r="D209" s="122" t="s">
        <v>1450</v>
      </c>
      <c r="E209" s="312">
        <v>41495</v>
      </c>
      <c r="F209" s="311">
        <v>0.38888888888888884</v>
      </c>
      <c r="G209" s="202">
        <v>8</v>
      </c>
      <c r="H209" s="202">
        <v>6080</v>
      </c>
    </row>
    <row r="210" spans="1:8" hidden="1">
      <c r="A210" s="122" t="s">
        <v>1443</v>
      </c>
      <c r="B210" s="122" t="s">
        <v>1459</v>
      </c>
      <c r="C210" s="122" t="s">
        <v>1441</v>
      </c>
      <c r="D210" s="122" t="s">
        <v>1455</v>
      </c>
      <c r="E210" s="312">
        <v>41323</v>
      </c>
      <c r="F210" s="311">
        <v>0.40625</v>
      </c>
      <c r="G210" s="202">
        <v>11</v>
      </c>
      <c r="H210" s="202">
        <v>4609</v>
      </c>
    </row>
    <row r="211" spans="1:8">
      <c r="A211" s="122" t="s">
        <v>1449</v>
      </c>
      <c r="B211" s="122" t="s">
        <v>1437</v>
      </c>
      <c r="C211" s="122" t="s">
        <v>1441</v>
      </c>
      <c r="D211" s="122" t="s">
        <v>1450</v>
      </c>
      <c r="E211" s="312">
        <v>41626</v>
      </c>
      <c r="F211" s="311">
        <v>0.47569444444444442</v>
      </c>
      <c r="G211" s="202">
        <v>15</v>
      </c>
      <c r="H211" s="202">
        <v>8055</v>
      </c>
    </row>
    <row r="212" spans="1:8" hidden="1">
      <c r="A212" s="122" t="s">
        <v>1447</v>
      </c>
      <c r="B212" s="122" t="s">
        <v>1458</v>
      </c>
      <c r="C212" s="122" t="s">
        <v>1441</v>
      </c>
      <c r="D212" s="122" t="s">
        <v>1453</v>
      </c>
      <c r="E212" s="312">
        <v>41219</v>
      </c>
      <c r="F212" s="311">
        <v>0.46180555555555552</v>
      </c>
      <c r="G212" s="202">
        <v>1</v>
      </c>
      <c r="H212" s="202">
        <v>461</v>
      </c>
    </row>
    <row r="213" spans="1:8" hidden="1">
      <c r="A213" s="122" t="s">
        <v>1443</v>
      </c>
      <c r="B213" s="122" t="s">
        <v>1460</v>
      </c>
      <c r="C213" s="122" t="s">
        <v>1441</v>
      </c>
      <c r="D213" s="122" t="s">
        <v>1435</v>
      </c>
      <c r="E213" s="312">
        <v>41495</v>
      </c>
      <c r="F213" s="311">
        <v>0.38541666666666663</v>
      </c>
      <c r="G213" s="202">
        <v>16</v>
      </c>
      <c r="H213" s="202">
        <v>9360</v>
      </c>
    </row>
    <row r="214" spans="1:8" hidden="1">
      <c r="A214" s="122" t="s">
        <v>1474</v>
      </c>
      <c r="B214" s="122" t="s">
        <v>1460</v>
      </c>
      <c r="C214" s="122" t="s">
        <v>1436</v>
      </c>
      <c r="D214" s="122" t="s">
        <v>1455</v>
      </c>
      <c r="E214" s="312">
        <v>41613</v>
      </c>
      <c r="F214" s="311">
        <v>0.64930555555555547</v>
      </c>
      <c r="G214" s="202">
        <v>14</v>
      </c>
      <c r="H214" s="202">
        <v>8540</v>
      </c>
    </row>
    <row r="215" spans="1:8" hidden="1">
      <c r="A215" s="122" t="s">
        <v>1474</v>
      </c>
      <c r="B215" s="122" t="s">
        <v>1459</v>
      </c>
      <c r="C215" s="122" t="s">
        <v>1436</v>
      </c>
      <c r="D215" s="122" t="s">
        <v>1450</v>
      </c>
      <c r="E215" s="312">
        <v>41204</v>
      </c>
      <c r="F215" s="311">
        <v>0.35069444444444442</v>
      </c>
      <c r="G215" s="202">
        <v>5</v>
      </c>
      <c r="H215" s="202">
        <v>3555</v>
      </c>
    </row>
    <row r="216" spans="1:8" hidden="1">
      <c r="A216" s="122" t="s">
        <v>1443</v>
      </c>
      <c r="B216" s="122" t="s">
        <v>1458</v>
      </c>
      <c r="C216" s="122" t="s">
        <v>1445</v>
      </c>
      <c r="D216" s="122" t="s">
        <v>1450</v>
      </c>
      <c r="E216" s="312">
        <v>41495</v>
      </c>
      <c r="F216" s="311">
        <v>0.46527777777777773</v>
      </c>
      <c r="G216" s="202">
        <v>5</v>
      </c>
      <c r="H216" s="202">
        <v>2705</v>
      </c>
    </row>
    <row r="217" spans="1:8" hidden="1">
      <c r="A217" s="122" t="s">
        <v>1438</v>
      </c>
      <c r="B217" s="122" t="s">
        <v>1460</v>
      </c>
      <c r="C217" s="122" t="s">
        <v>1436</v>
      </c>
      <c r="D217" s="122" t="s">
        <v>1435</v>
      </c>
      <c r="E217" s="312">
        <v>41599</v>
      </c>
      <c r="F217" s="311">
        <v>0.67361111111111105</v>
      </c>
      <c r="G217" s="202">
        <v>18</v>
      </c>
      <c r="H217" s="202">
        <v>8046</v>
      </c>
    </row>
    <row r="218" spans="1:8" hidden="1">
      <c r="A218" s="122" t="s">
        <v>1443</v>
      </c>
      <c r="B218" s="122" t="s">
        <v>1458</v>
      </c>
      <c r="C218" s="122" t="s">
        <v>1439</v>
      </c>
      <c r="D218" s="122" t="s">
        <v>1452</v>
      </c>
      <c r="E218" s="312">
        <v>41632</v>
      </c>
      <c r="F218" s="311">
        <v>0.51041666666666663</v>
      </c>
      <c r="G218" s="202">
        <v>8</v>
      </c>
      <c r="H218" s="202">
        <v>2640</v>
      </c>
    </row>
    <row r="219" spans="1:8" hidden="1">
      <c r="A219" s="122" t="s">
        <v>1448</v>
      </c>
      <c r="B219" s="122" t="s">
        <v>1458</v>
      </c>
      <c r="C219" s="122" t="s">
        <v>1445</v>
      </c>
      <c r="D219" s="122" t="s">
        <v>1450</v>
      </c>
      <c r="E219" s="312">
        <v>41550</v>
      </c>
      <c r="F219" s="311">
        <v>0.53819444444444442</v>
      </c>
      <c r="G219" s="202">
        <v>12</v>
      </c>
      <c r="H219" s="202">
        <v>5592</v>
      </c>
    </row>
    <row r="220" spans="1:8" hidden="1">
      <c r="A220" s="122" t="s">
        <v>1449</v>
      </c>
      <c r="B220" s="122" t="s">
        <v>1437</v>
      </c>
      <c r="C220" s="122" t="s">
        <v>1439</v>
      </c>
      <c r="D220" s="122" t="s">
        <v>1452</v>
      </c>
      <c r="E220" s="312">
        <v>41239</v>
      </c>
      <c r="F220" s="311">
        <v>0.71875</v>
      </c>
      <c r="G220" s="202">
        <v>14</v>
      </c>
      <c r="H220" s="202">
        <v>11676</v>
      </c>
    </row>
    <row r="221" spans="1:8" hidden="1">
      <c r="A221" s="122" t="s">
        <v>1448</v>
      </c>
      <c r="B221" s="122" t="s">
        <v>1458</v>
      </c>
      <c r="C221" s="122" t="s">
        <v>1436</v>
      </c>
      <c r="D221" s="122" t="s">
        <v>1453</v>
      </c>
      <c r="E221" s="312">
        <v>41205</v>
      </c>
      <c r="F221" s="311">
        <v>0.72222222222222221</v>
      </c>
      <c r="G221" s="202">
        <v>12</v>
      </c>
      <c r="H221" s="202">
        <v>4764</v>
      </c>
    </row>
    <row r="222" spans="1:8" hidden="1">
      <c r="A222" s="122" t="s">
        <v>1449</v>
      </c>
      <c r="B222" s="122" t="s">
        <v>1437</v>
      </c>
      <c r="C222" s="122" t="s">
        <v>1441</v>
      </c>
      <c r="D222" s="122" t="s">
        <v>1455</v>
      </c>
      <c r="E222" s="312">
        <v>41202</v>
      </c>
      <c r="F222" s="311">
        <v>0.71875</v>
      </c>
      <c r="G222" s="202">
        <v>4</v>
      </c>
      <c r="H222" s="202">
        <v>6728</v>
      </c>
    </row>
    <row r="223" spans="1:8" hidden="1">
      <c r="A223" s="122" t="s">
        <v>1447</v>
      </c>
      <c r="B223" s="122" t="s">
        <v>1460</v>
      </c>
      <c r="C223" s="122" t="s">
        <v>1441</v>
      </c>
      <c r="D223" s="122" t="s">
        <v>1452</v>
      </c>
      <c r="E223" s="312">
        <v>41296</v>
      </c>
      <c r="F223" s="311">
        <v>0.72916666666666663</v>
      </c>
      <c r="G223" s="202">
        <v>11</v>
      </c>
      <c r="H223" s="202">
        <v>6413</v>
      </c>
    </row>
    <row r="224" spans="1:8" hidden="1">
      <c r="A224" s="122" t="s">
        <v>3138</v>
      </c>
      <c r="B224" s="122" t="s">
        <v>1458</v>
      </c>
      <c r="C224" s="122" t="s">
        <v>1441</v>
      </c>
      <c r="D224" s="122" t="s">
        <v>1452</v>
      </c>
      <c r="E224" s="312">
        <v>40917</v>
      </c>
      <c r="F224" s="311">
        <v>0.47916666666666663</v>
      </c>
      <c r="G224" s="202">
        <v>10</v>
      </c>
      <c r="H224" s="313">
        <v>5720</v>
      </c>
    </row>
    <row r="225" spans="1:8" hidden="1">
      <c r="A225" s="122" t="s">
        <v>1472</v>
      </c>
      <c r="B225" s="122" t="s">
        <v>1458</v>
      </c>
      <c r="C225" s="122" t="s">
        <v>1445</v>
      </c>
      <c r="D225" s="122" t="s">
        <v>1455</v>
      </c>
      <c r="E225" s="312">
        <v>40966</v>
      </c>
      <c r="F225" s="311">
        <v>0.67361111111111105</v>
      </c>
      <c r="G225" s="202">
        <v>4</v>
      </c>
      <c r="H225" s="313">
        <v>2632</v>
      </c>
    </row>
    <row r="226" spans="1:8">
      <c r="A226" s="122" t="s">
        <v>1438</v>
      </c>
      <c r="B226" s="122" t="s">
        <v>1459</v>
      </c>
      <c r="C226" s="122" t="s">
        <v>1445</v>
      </c>
      <c r="D226" s="122" t="s">
        <v>1450</v>
      </c>
      <c r="E226" s="312">
        <v>41493</v>
      </c>
      <c r="F226" s="311">
        <v>0.42013888888888884</v>
      </c>
      <c r="G226" s="202">
        <v>7</v>
      </c>
      <c r="H226" s="202">
        <v>4277</v>
      </c>
    </row>
    <row r="227" spans="1:8" hidden="1">
      <c r="A227" s="122" t="s">
        <v>1448</v>
      </c>
      <c r="B227" s="122" t="s">
        <v>1459</v>
      </c>
      <c r="C227" s="122" t="s">
        <v>1439</v>
      </c>
      <c r="D227" s="122" t="s">
        <v>1452</v>
      </c>
      <c r="E227" s="312">
        <v>41226</v>
      </c>
      <c r="F227" s="311">
        <v>0.39583333333333331</v>
      </c>
      <c r="G227" s="202">
        <v>10</v>
      </c>
      <c r="H227" s="202">
        <v>6470</v>
      </c>
    </row>
    <row r="228" spans="1:8" hidden="1">
      <c r="A228" s="122" t="s">
        <v>1444</v>
      </c>
      <c r="B228" s="122" t="s">
        <v>1458</v>
      </c>
      <c r="C228" s="122" t="s">
        <v>1436</v>
      </c>
      <c r="D228" s="122" t="s">
        <v>1450</v>
      </c>
      <c r="E228" s="312">
        <v>41580</v>
      </c>
      <c r="F228" s="311">
        <v>0.49305555555555552</v>
      </c>
      <c r="G228" s="202">
        <v>9</v>
      </c>
      <c r="H228" s="202">
        <v>3555</v>
      </c>
    </row>
    <row r="229" spans="1:8">
      <c r="A229" s="122" t="s">
        <v>1454</v>
      </c>
      <c r="B229" s="122" t="s">
        <v>1457</v>
      </c>
      <c r="C229" s="122" t="s">
        <v>1439</v>
      </c>
      <c r="D229" s="122" t="s">
        <v>1455</v>
      </c>
      <c r="E229" s="312">
        <v>40919</v>
      </c>
      <c r="F229" s="311">
        <v>0.68055555555555547</v>
      </c>
      <c r="G229" s="202">
        <v>11</v>
      </c>
      <c r="H229" s="313">
        <v>10010</v>
      </c>
    </row>
    <row r="230" spans="1:8" hidden="1">
      <c r="A230" s="122" t="s">
        <v>1443</v>
      </c>
      <c r="B230" s="122" t="s">
        <v>1457</v>
      </c>
      <c r="C230" s="122" t="s">
        <v>1445</v>
      </c>
      <c r="D230" s="122" t="s">
        <v>1455</v>
      </c>
      <c r="E230" s="312">
        <v>41627</v>
      </c>
      <c r="F230" s="311">
        <v>0.62152777777777779</v>
      </c>
      <c r="G230" s="202">
        <v>11</v>
      </c>
      <c r="H230" s="202">
        <v>5841</v>
      </c>
    </row>
    <row r="231" spans="1:8" hidden="1">
      <c r="A231" s="122" t="s">
        <v>1474</v>
      </c>
      <c r="B231" s="122" t="s">
        <v>1460</v>
      </c>
      <c r="C231" s="122" t="s">
        <v>1445</v>
      </c>
      <c r="D231" s="122" t="s">
        <v>1453</v>
      </c>
      <c r="E231" s="312">
        <v>40955</v>
      </c>
      <c r="F231" s="311">
        <v>0.63888888888888884</v>
      </c>
      <c r="G231" s="202">
        <v>14</v>
      </c>
      <c r="H231" s="313">
        <v>7658</v>
      </c>
    </row>
    <row r="232" spans="1:8">
      <c r="A232" s="122" t="s">
        <v>1443</v>
      </c>
      <c r="B232" s="122" t="s">
        <v>1457</v>
      </c>
      <c r="C232" s="122" t="s">
        <v>1439</v>
      </c>
      <c r="D232" s="122" t="s">
        <v>1452</v>
      </c>
      <c r="E232" s="312">
        <v>41080</v>
      </c>
      <c r="F232" s="311">
        <v>0.50694444444444442</v>
      </c>
      <c r="G232" s="202">
        <v>11</v>
      </c>
      <c r="H232" s="202">
        <v>8481</v>
      </c>
    </row>
    <row r="233" spans="1:8">
      <c r="A233" s="122" t="s">
        <v>1476</v>
      </c>
      <c r="B233" s="122" t="s">
        <v>1458</v>
      </c>
      <c r="C233" s="122" t="s">
        <v>1439</v>
      </c>
      <c r="D233" s="122" t="s">
        <v>1435</v>
      </c>
      <c r="E233" s="312">
        <v>41493</v>
      </c>
      <c r="F233" s="311">
        <v>0.46875</v>
      </c>
      <c r="G233" s="202">
        <v>8</v>
      </c>
      <c r="H233" s="202">
        <v>5600</v>
      </c>
    </row>
    <row r="234" spans="1:8" hidden="1">
      <c r="A234" s="122" t="s">
        <v>1456</v>
      </c>
      <c r="B234" s="122" t="s">
        <v>1459</v>
      </c>
      <c r="C234" s="122" t="s">
        <v>1436</v>
      </c>
      <c r="D234" s="122" t="s">
        <v>1455</v>
      </c>
      <c r="E234" s="312">
        <v>41492</v>
      </c>
      <c r="F234" s="311">
        <v>0.49652777777777773</v>
      </c>
      <c r="G234" s="202">
        <v>11</v>
      </c>
      <c r="H234" s="202">
        <v>8646</v>
      </c>
    </row>
    <row r="235" spans="1:8">
      <c r="A235" s="122" t="s">
        <v>1476</v>
      </c>
      <c r="B235" s="122" t="s">
        <v>1458</v>
      </c>
      <c r="C235" s="122" t="s">
        <v>1436</v>
      </c>
      <c r="D235" s="122" t="s">
        <v>1455</v>
      </c>
      <c r="E235" s="312">
        <v>41227</v>
      </c>
      <c r="F235" s="311">
        <v>0.64930555555555547</v>
      </c>
      <c r="G235" s="202">
        <v>4</v>
      </c>
      <c r="H235" s="202">
        <v>1884</v>
      </c>
    </row>
    <row r="236" spans="1:8" hidden="1">
      <c r="A236" s="122" t="s">
        <v>1448</v>
      </c>
      <c r="B236" s="122" t="s">
        <v>1437</v>
      </c>
      <c r="C236" s="122" t="s">
        <v>1436</v>
      </c>
      <c r="D236" s="122" t="s">
        <v>1453</v>
      </c>
      <c r="E236" s="312">
        <v>41292</v>
      </c>
      <c r="F236" s="311">
        <v>0.68402777777777779</v>
      </c>
      <c r="G236" s="202">
        <v>11</v>
      </c>
      <c r="H236" s="202">
        <v>17270</v>
      </c>
    </row>
    <row r="237" spans="1:8" hidden="1">
      <c r="A237" s="122" t="s">
        <v>1447</v>
      </c>
      <c r="B237" s="122" t="s">
        <v>1459</v>
      </c>
      <c r="C237" s="122" t="s">
        <v>1436</v>
      </c>
      <c r="D237" s="122" t="s">
        <v>1450</v>
      </c>
      <c r="E237" s="312">
        <v>41184</v>
      </c>
      <c r="F237" s="311">
        <v>0.34027777777777773</v>
      </c>
      <c r="G237" s="202">
        <v>7</v>
      </c>
      <c r="H237" s="202">
        <v>2919</v>
      </c>
    </row>
    <row r="238" spans="1:8" hidden="1">
      <c r="A238" s="122" t="s">
        <v>1438</v>
      </c>
      <c r="B238" s="122" t="s">
        <v>1437</v>
      </c>
      <c r="C238" s="122" t="s">
        <v>1436</v>
      </c>
      <c r="D238" s="122" t="s">
        <v>1452</v>
      </c>
      <c r="E238" s="312">
        <v>41013</v>
      </c>
      <c r="F238" s="311">
        <v>0.47569444444444442</v>
      </c>
      <c r="G238" s="202">
        <v>5</v>
      </c>
      <c r="H238" s="202">
        <v>5940</v>
      </c>
    </row>
    <row r="239" spans="1:8" hidden="1">
      <c r="A239" s="122" t="s">
        <v>1454</v>
      </c>
      <c r="B239" s="122" t="s">
        <v>1457</v>
      </c>
      <c r="C239" s="122" t="s">
        <v>1439</v>
      </c>
      <c r="D239" s="122" t="s">
        <v>1455</v>
      </c>
      <c r="E239" s="312">
        <v>40910</v>
      </c>
      <c r="F239" s="311">
        <v>0.68402777777777779</v>
      </c>
      <c r="G239" s="202">
        <v>7</v>
      </c>
      <c r="H239" s="313">
        <v>4298</v>
      </c>
    </row>
    <row r="240" spans="1:8" hidden="1">
      <c r="A240" s="122" t="s">
        <v>1444</v>
      </c>
      <c r="B240" s="122" t="s">
        <v>1459</v>
      </c>
      <c r="C240" s="122" t="s">
        <v>1445</v>
      </c>
      <c r="D240" s="122" t="s">
        <v>1452</v>
      </c>
      <c r="E240" s="312">
        <v>41449</v>
      </c>
      <c r="F240" s="311">
        <v>0.47222222222222221</v>
      </c>
      <c r="G240" s="202">
        <v>2</v>
      </c>
      <c r="H240" s="202">
        <v>792</v>
      </c>
    </row>
    <row r="241" spans="1:8" hidden="1">
      <c r="A241" s="122" t="s">
        <v>1438</v>
      </c>
      <c r="B241" s="122" t="s">
        <v>1457</v>
      </c>
      <c r="C241" s="122" t="s">
        <v>1441</v>
      </c>
      <c r="D241" s="122" t="s">
        <v>1453</v>
      </c>
      <c r="E241" s="312">
        <v>41411</v>
      </c>
      <c r="F241" s="311">
        <v>0.53819444444444442</v>
      </c>
      <c r="G241" s="202">
        <v>2</v>
      </c>
      <c r="H241" s="202">
        <v>2028</v>
      </c>
    </row>
    <row r="242" spans="1:8" hidden="1">
      <c r="A242" s="122" t="s">
        <v>3138</v>
      </c>
      <c r="B242" s="122" t="s">
        <v>1458</v>
      </c>
      <c r="C242" s="122" t="s">
        <v>1441</v>
      </c>
      <c r="D242" s="122" t="s">
        <v>1452</v>
      </c>
      <c r="E242" s="312">
        <v>41051</v>
      </c>
      <c r="F242" s="311">
        <v>0.44791666666666663</v>
      </c>
      <c r="G242" s="202">
        <v>9</v>
      </c>
      <c r="H242" s="202">
        <v>3780</v>
      </c>
    </row>
    <row r="243" spans="1:8" hidden="1">
      <c r="A243" s="122" t="s">
        <v>1447</v>
      </c>
      <c r="B243" s="122" t="s">
        <v>1437</v>
      </c>
      <c r="C243" s="122" t="s">
        <v>1436</v>
      </c>
      <c r="D243" s="122" t="s">
        <v>1455</v>
      </c>
      <c r="E243" s="312">
        <v>41492</v>
      </c>
      <c r="F243" s="311">
        <v>0.65277777777777779</v>
      </c>
      <c r="G243" s="202">
        <v>13</v>
      </c>
      <c r="H243" s="202">
        <v>16341</v>
      </c>
    </row>
    <row r="244" spans="1:8" hidden="1">
      <c r="A244" s="122" t="s">
        <v>1476</v>
      </c>
      <c r="B244" s="122" t="s">
        <v>1457</v>
      </c>
      <c r="C244" s="122" t="s">
        <v>1439</v>
      </c>
      <c r="D244" s="122" t="s">
        <v>1450</v>
      </c>
      <c r="E244" s="312">
        <v>41492</v>
      </c>
      <c r="F244" s="311">
        <v>0.39583333333333331</v>
      </c>
      <c r="G244" s="202">
        <v>1</v>
      </c>
      <c r="H244" s="202">
        <v>519</v>
      </c>
    </row>
    <row r="245" spans="1:8" hidden="1">
      <c r="A245" s="122" t="s">
        <v>1449</v>
      </c>
      <c r="B245" s="122" t="s">
        <v>1457</v>
      </c>
      <c r="C245" s="122" t="s">
        <v>1445</v>
      </c>
      <c r="D245" s="122" t="s">
        <v>1455</v>
      </c>
      <c r="E245" s="312">
        <v>40981</v>
      </c>
      <c r="F245" s="311">
        <v>0.40277777777777773</v>
      </c>
      <c r="G245" s="202">
        <v>5</v>
      </c>
      <c r="H245" s="202">
        <v>7245</v>
      </c>
    </row>
    <row r="246" spans="1:8" hidden="1">
      <c r="A246" s="122" t="s">
        <v>1444</v>
      </c>
      <c r="B246" s="122" t="s">
        <v>1457</v>
      </c>
      <c r="C246" s="122" t="s">
        <v>1436</v>
      </c>
      <c r="D246" s="122" t="s">
        <v>1452</v>
      </c>
      <c r="E246" s="312">
        <v>40939</v>
      </c>
      <c r="F246" s="311">
        <v>0.61458333333333326</v>
      </c>
      <c r="G246" s="202">
        <v>10</v>
      </c>
      <c r="H246" s="313">
        <v>10620</v>
      </c>
    </row>
    <row r="247" spans="1:8" hidden="1">
      <c r="A247" s="122" t="s">
        <v>3138</v>
      </c>
      <c r="B247" s="122" t="s">
        <v>1457</v>
      </c>
      <c r="C247" s="122" t="s">
        <v>1441</v>
      </c>
      <c r="D247" s="122" t="s">
        <v>1455</v>
      </c>
      <c r="E247" s="312">
        <v>41492</v>
      </c>
      <c r="F247" s="311">
        <v>0.55208333333333326</v>
      </c>
      <c r="G247" s="202">
        <v>13</v>
      </c>
      <c r="H247" s="202">
        <v>6864</v>
      </c>
    </row>
    <row r="248" spans="1:8" hidden="1">
      <c r="A248" s="122" t="s">
        <v>1444</v>
      </c>
      <c r="B248" s="122" t="s">
        <v>1460</v>
      </c>
      <c r="C248" s="122" t="s">
        <v>1439</v>
      </c>
      <c r="D248" s="122" t="s">
        <v>1450</v>
      </c>
      <c r="E248" s="312">
        <v>41352</v>
      </c>
      <c r="F248" s="311">
        <v>0.38194444444444442</v>
      </c>
      <c r="G248" s="202">
        <v>10</v>
      </c>
      <c r="H248" s="202">
        <v>6920</v>
      </c>
    </row>
    <row r="249" spans="1:8" hidden="1">
      <c r="A249" s="122" t="s">
        <v>1456</v>
      </c>
      <c r="B249" s="122" t="s">
        <v>1457</v>
      </c>
      <c r="C249" s="122" t="s">
        <v>1441</v>
      </c>
      <c r="D249" s="122" t="s">
        <v>1435</v>
      </c>
      <c r="E249" s="312">
        <v>41041</v>
      </c>
      <c r="F249" s="311">
        <v>0.6875</v>
      </c>
      <c r="G249" s="202">
        <v>7</v>
      </c>
      <c r="H249" s="202">
        <v>5320</v>
      </c>
    </row>
    <row r="250" spans="1:8" hidden="1">
      <c r="A250" s="122" t="s">
        <v>1449</v>
      </c>
      <c r="B250" s="122" t="s">
        <v>1437</v>
      </c>
      <c r="C250" s="122" t="s">
        <v>1436</v>
      </c>
      <c r="D250" s="122" t="s">
        <v>1455</v>
      </c>
      <c r="E250" s="312">
        <v>41608</v>
      </c>
      <c r="F250" s="311">
        <v>0.71180555555555547</v>
      </c>
      <c r="G250" s="202">
        <v>12</v>
      </c>
      <c r="H250" s="202">
        <v>13836</v>
      </c>
    </row>
    <row r="251" spans="1:8" hidden="1">
      <c r="A251" s="122" t="s">
        <v>1443</v>
      </c>
      <c r="B251" s="122" t="s">
        <v>1437</v>
      </c>
      <c r="C251" s="122" t="s">
        <v>1436</v>
      </c>
      <c r="D251" s="122" t="s">
        <v>1435</v>
      </c>
      <c r="E251" s="312">
        <v>41419</v>
      </c>
      <c r="F251" s="311">
        <v>0.68055555555555547</v>
      </c>
      <c r="G251" s="202">
        <v>20</v>
      </c>
      <c r="H251" s="202">
        <v>14120</v>
      </c>
    </row>
    <row r="252" spans="1:8" hidden="1">
      <c r="A252" s="122" t="s">
        <v>1444</v>
      </c>
      <c r="B252" s="122" t="s">
        <v>1460</v>
      </c>
      <c r="C252" s="122" t="s">
        <v>1436</v>
      </c>
      <c r="D252" s="122" t="s">
        <v>1452</v>
      </c>
      <c r="E252" s="312">
        <v>41492</v>
      </c>
      <c r="F252" s="311">
        <v>0.71180555555555547</v>
      </c>
      <c r="G252" s="202">
        <v>12</v>
      </c>
      <c r="H252" s="202">
        <v>5628</v>
      </c>
    </row>
    <row r="253" spans="1:8" hidden="1">
      <c r="A253" s="122" t="s">
        <v>1454</v>
      </c>
      <c r="B253" s="122" t="s">
        <v>1459</v>
      </c>
      <c r="C253" s="122" t="s">
        <v>1436</v>
      </c>
      <c r="D253" s="122" t="s">
        <v>1452</v>
      </c>
      <c r="E253" s="312">
        <v>41408</v>
      </c>
      <c r="F253" s="311">
        <v>0.54513888888888884</v>
      </c>
      <c r="G253" s="202">
        <v>8</v>
      </c>
      <c r="H253" s="202">
        <v>3544</v>
      </c>
    </row>
    <row r="254" spans="1:8">
      <c r="A254" s="122" t="s">
        <v>1472</v>
      </c>
      <c r="B254" s="122" t="s">
        <v>1457</v>
      </c>
      <c r="C254" s="122" t="s">
        <v>1439</v>
      </c>
      <c r="D254" s="122" t="s">
        <v>1452</v>
      </c>
      <c r="E254" s="312">
        <v>41038</v>
      </c>
      <c r="F254" s="311">
        <v>0.50694444444444442</v>
      </c>
      <c r="G254" s="202">
        <v>3</v>
      </c>
      <c r="H254" s="202">
        <v>2862</v>
      </c>
    </row>
    <row r="255" spans="1:8" hidden="1">
      <c r="A255" s="122" t="s">
        <v>1447</v>
      </c>
      <c r="B255" s="122" t="s">
        <v>1460</v>
      </c>
      <c r="C255" s="122" t="s">
        <v>1436</v>
      </c>
      <c r="D255" s="122" t="s">
        <v>1455</v>
      </c>
      <c r="E255" s="312">
        <v>41198</v>
      </c>
      <c r="F255" s="311">
        <v>0.4236111111111111</v>
      </c>
      <c r="G255" s="202">
        <v>13</v>
      </c>
      <c r="H255" s="202">
        <v>10881</v>
      </c>
    </row>
    <row r="256" spans="1:8" hidden="1">
      <c r="A256" s="122" t="s">
        <v>1438</v>
      </c>
      <c r="B256" s="122" t="s">
        <v>1459</v>
      </c>
      <c r="C256" s="122" t="s">
        <v>1439</v>
      </c>
      <c r="D256" s="122" t="s">
        <v>1453</v>
      </c>
      <c r="E256" s="312">
        <v>41356</v>
      </c>
      <c r="F256" s="311">
        <v>0.625</v>
      </c>
      <c r="G256" s="202">
        <v>6</v>
      </c>
      <c r="H256" s="202">
        <v>3948</v>
      </c>
    </row>
    <row r="257" spans="1:8" hidden="1">
      <c r="A257" s="122" t="s">
        <v>1438</v>
      </c>
      <c r="B257" s="122" t="s">
        <v>1457</v>
      </c>
      <c r="C257" s="122" t="s">
        <v>1439</v>
      </c>
      <c r="D257" s="122" t="s">
        <v>1455</v>
      </c>
      <c r="E257" s="312">
        <v>41489</v>
      </c>
      <c r="F257" s="311">
        <v>0.63541666666666663</v>
      </c>
      <c r="G257" s="202">
        <v>8</v>
      </c>
      <c r="H257" s="202">
        <v>11048</v>
      </c>
    </row>
    <row r="258" spans="1:8" hidden="1">
      <c r="A258" s="122" t="s">
        <v>3138</v>
      </c>
      <c r="B258" s="122" t="s">
        <v>1457</v>
      </c>
      <c r="C258" s="122" t="s">
        <v>1445</v>
      </c>
      <c r="D258" s="122" t="s">
        <v>1453</v>
      </c>
      <c r="E258" s="312">
        <v>40942</v>
      </c>
      <c r="F258" s="311">
        <v>0.63541666666666663</v>
      </c>
      <c r="G258" s="202">
        <v>14</v>
      </c>
      <c r="H258" s="313">
        <v>16632</v>
      </c>
    </row>
    <row r="259" spans="1:8" hidden="1">
      <c r="A259" s="122" t="s">
        <v>1472</v>
      </c>
      <c r="B259" s="122" t="s">
        <v>1458</v>
      </c>
      <c r="C259" s="122" t="s">
        <v>1439</v>
      </c>
      <c r="D259" s="122" t="s">
        <v>1435</v>
      </c>
      <c r="E259" s="312">
        <v>41422</v>
      </c>
      <c r="F259" s="311">
        <v>0.34722222222222221</v>
      </c>
      <c r="G259" s="202">
        <v>14</v>
      </c>
      <c r="H259" s="202">
        <v>4340</v>
      </c>
    </row>
    <row r="260" spans="1:8" hidden="1">
      <c r="A260" s="122" t="s">
        <v>1449</v>
      </c>
      <c r="B260" s="122" t="s">
        <v>1457</v>
      </c>
      <c r="C260" s="122" t="s">
        <v>1439</v>
      </c>
      <c r="D260" s="122" t="s">
        <v>1455</v>
      </c>
      <c r="E260" s="312">
        <v>41243</v>
      </c>
      <c r="F260" s="311">
        <v>0.40277777777777773</v>
      </c>
      <c r="G260" s="202">
        <v>3</v>
      </c>
      <c r="H260" s="202">
        <v>3351</v>
      </c>
    </row>
    <row r="261" spans="1:8" hidden="1">
      <c r="A261" s="122" t="s">
        <v>1443</v>
      </c>
      <c r="B261" s="122" t="s">
        <v>1459</v>
      </c>
      <c r="C261" s="122" t="s">
        <v>1441</v>
      </c>
      <c r="D261" s="122" t="s">
        <v>1450</v>
      </c>
      <c r="E261" s="312">
        <v>41284</v>
      </c>
      <c r="F261" s="311">
        <v>0.59722222222222221</v>
      </c>
      <c r="G261" s="202">
        <v>13</v>
      </c>
      <c r="H261" s="202">
        <v>5512</v>
      </c>
    </row>
    <row r="262" spans="1:8" hidden="1">
      <c r="A262" s="122" t="s">
        <v>1456</v>
      </c>
      <c r="B262" s="122" t="s">
        <v>1437</v>
      </c>
      <c r="C262" s="122" t="s">
        <v>1445</v>
      </c>
      <c r="D262" s="122" t="s">
        <v>1452</v>
      </c>
      <c r="E262" s="312">
        <v>41489</v>
      </c>
      <c r="F262" s="311">
        <v>0.73263888888888884</v>
      </c>
      <c r="G262" s="202">
        <v>5</v>
      </c>
      <c r="H262" s="202">
        <v>7640</v>
      </c>
    </row>
    <row r="263" spans="1:8" hidden="1">
      <c r="A263" s="122" t="s">
        <v>3138</v>
      </c>
      <c r="B263" s="122" t="s">
        <v>1459</v>
      </c>
      <c r="C263" s="122" t="s">
        <v>1436</v>
      </c>
      <c r="D263" s="122" t="s">
        <v>1435</v>
      </c>
      <c r="E263" s="312">
        <v>41488</v>
      </c>
      <c r="F263" s="311">
        <v>0.69444444444444442</v>
      </c>
      <c r="G263" s="202">
        <v>16</v>
      </c>
      <c r="H263" s="202">
        <v>10688</v>
      </c>
    </row>
    <row r="264" spans="1:8" hidden="1">
      <c r="A264" s="122" t="s">
        <v>1447</v>
      </c>
      <c r="B264" s="122" t="s">
        <v>1459</v>
      </c>
      <c r="C264" s="122" t="s">
        <v>1445</v>
      </c>
      <c r="D264" s="122" t="s">
        <v>1435</v>
      </c>
      <c r="E264" s="312">
        <v>41040</v>
      </c>
      <c r="F264" s="311">
        <v>0.46180555555555552</v>
      </c>
      <c r="G264" s="202">
        <v>6</v>
      </c>
      <c r="H264" s="202">
        <v>3666</v>
      </c>
    </row>
    <row r="265" spans="1:8" hidden="1">
      <c r="A265" s="122" t="s">
        <v>1454</v>
      </c>
      <c r="B265" s="122" t="s">
        <v>1459</v>
      </c>
      <c r="C265" s="122" t="s">
        <v>1439</v>
      </c>
      <c r="D265" s="122" t="s">
        <v>1453</v>
      </c>
      <c r="E265" s="312">
        <v>41270</v>
      </c>
      <c r="F265" s="311">
        <v>0.71875</v>
      </c>
      <c r="G265" s="202">
        <v>4</v>
      </c>
      <c r="H265" s="202">
        <v>2836</v>
      </c>
    </row>
    <row r="266" spans="1:8" hidden="1">
      <c r="A266" s="122" t="s">
        <v>1472</v>
      </c>
      <c r="B266" s="122" t="s">
        <v>1457</v>
      </c>
      <c r="C266" s="122" t="s">
        <v>1441</v>
      </c>
      <c r="D266" s="122" t="s">
        <v>1455</v>
      </c>
      <c r="E266" s="312">
        <v>41282</v>
      </c>
      <c r="F266" s="311">
        <v>0.67013888888888884</v>
      </c>
      <c r="G266" s="202">
        <v>12</v>
      </c>
      <c r="H266" s="202">
        <v>10224</v>
      </c>
    </row>
    <row r="267" spans="1:8" hidden="1">
      <c r="A267" s="122" t="s">
        <v>3138</v>
      </c>
      <c r="B267" s="122" t="s">
        <v>1459</v>
      </c>
      <c r="C267" s="122" t="s">
        <v>1445</v>
      </c>
      <c r="D267" s="122" t="s">
        <v>1455</v>
      </c>
      <c r="E267" s="312">
        <v>41487</v>
      </c>
      <c r="F267" s="311">
        <v>0.52083333333333326</v>
      </c>
      <c r="G267" s="202">
        <v>10</v>
      </c>
      <c r="H267" s="202">
        <v>7760</v>
      </c>
    </row>
    <row r="268" spans="1:8" hidden="1">
      <c r="A268" s="122" t="s">
        <v>1443</v>
      </c>
      <c r="B268" s="122" t="s">
        <v>1457</v>
      </c>
      <c r="C268" s="122" t="s">
        <v>1436</v>
      </c>
      <c r="D268" s="122" t="s">
        <v>1455</v>
      </c>
      <c r="E268" s="312">
        <v>41450</v>
      </c>
      <c r="F268" s="311">
        <v>0.61458333333333326</v>
      </c>
      <c r="G268" s="202">
        <v>4</v>
      </c>
      <c r="H268" s="202">
        <v>5280</v>
      </c>
    </row>
    <row r="269" spans="1:8" hidden="1">
      <c r="A269" s="122" t="s">
        <v>1447</v>
      </c>
      <c r="B269" s="122" t="s">
        <v>1457</v>
      </c>
      <c r="C269" s="122" t="s">
        <v>1436</v>
      </c>
      <c r="D269" s="122" t="s">
        <v>1452</v>
      </c>
      <c r="E269" s="312">
        <v>41487</v>
      </c>
      <c r="F269" s="311">
        <v>0.52430555555555558</v>
      </c>
      <c r="G269" s="202">
        <v>3</v>
      </c>
      <c r="H269" s="202">
        <v>4461</v>
      </c>
    </row>
    <row r="270" spans="1:8" hidden="1">
      <c r="A270" s="122" t="s">
        <v>1449</v>
      </c>
      <c r="B270" s="122" t="s">
        <v>1458</v>
      </c>
      <c r="C270" s="122" t="s">
        <v>1445</v>
      </c>
      <c r="D270" s="122" t="s">
        <v>1452</v>
      </c>
      <c r="E270" s="312">
        <v>40950</v>
      </c>
      <c r="F270" s="311">
        <v>0.66319444444444442</v>
      </c>
      <c r="G270" s="202">
        <v>11</v>
      </c>
      <c r="H270" s="313">
        <v>6490</v>
      </c>
    </row>
    <row r="271" spans="1:8" hidden="1">
      <c r="A271" s="122" t="s">
        <v>1456</v>
      </c>
      <c r="B271" s="122" t="s">
        <v>1458</v>
      </c>
      <c r="C271" s="122" t="s">
        <v>1445</v>
      </c>
      <c r="D271" s="122" t="s">
        <v>1450</v>
      </c>
      <c r="E271" s="312">
        <v>41485</v>
      </c>
      <c r="F271" s="311">
        <v>0.58680555555555547</v>
      </c>
      <c r="G271" s="202">
        <v>5</v>
      </c>
      <c r="H271" s="202">
        <v>1590</v>
      </c>
    </row>
    <row r="272" spans="1:8" hidden="1">
      <c r="A272" s="122" t="s">
        <v>1449</v>
      </c>
      <c r="B272" s="122" t="s">
        <v>1437</v>
      </c>
      <c r="C272" s="122" t="s">
        <v>1441</v>
      </c>
      <c r="D272" s="122" t="s">
        <v>1452</v>
      </c>
      <c r="E272" s="312">
        <v>41485</v>
      </c>
      <c r="F272" s="311">
        <v>0.34722222222222221</v>
      </c>
      <c r="G272" s="202">
        <v>10</v>
      </c>
      <c r="H272" s="202">
        <v>9850</v>
      </c>
    </row>
    <row r="273" spans="1:8" hidden="1">
      <c r="A273" s="122" t="s">
        <v>1444</v>
      </c>
      <c r="B273" s="122" t="s">
        <v>1437</v>
      </c>
      <c r="C273" s="122" t="s">
        <v>1439</v>
      </c>
      <c r="D273" s="122" t="s">
        <v>1452</v>
      </c>
      <c r="E273" s="312">
        <v>41618</v>
      </c>
      <c r="F273" s="311">
        <v>0.60416666666666663</v>
      </c>
      <c r="G273" s="202">
        <v>5</v>
      </c>
      <c r="H273" s="202">
        <v>4795</v>
      </c>
    </row>
    <row r="274" spans="1:8" hidden="1">
      <c r="A274" s="122" t="s">
        <v>1456</v>
      </c>
      <c r="B274" s="122" t="s">
        <v>1459</v>
      </c>
      <c r="C274" s="122" t="s">
        <v>1441</v>
      </c>
      <c r="D274" s="122" t="s">
        <v>1452</v>
      </c>
      <c r="E274" s="312">
        <v>41484</v>
      </c>
      <c r="F274" s="311">
        <v>0.65277777777777779</v>
      </c>
      <c r="G274" s="202">
        <v>8</v>
      </c>
      <c r="H274" s="202">
        <v>6800</v>
      </c>
    </row>
    <row r="275" spans="1:8" hidden="1">
      <c r="A275" s="122" t="s">
        <v>1474</v>
      </c>
      <c r="B275" s="122" t="s">
        <v>1460</v>
      </c>
      <c r="C275" s="122" t="s">
        <v>1439</v>
      </c>
      <c r="D275" s="122" t="s">
        <v>1452</v>
      </c>
      <c r="E275" s="312">
        <v>41482</v>
      </c>
      <c r="F275" s="311">
        <v>0.74305555555555547</v>
      </c>
      <c r="G275" s="202">
        <v>7</v>
      </c>
      <c r="H275" s="202">
        <v>4270</v>
      </c>
    </row>
    <row r="276" spans="1:8" hidden="1">
      <c r="A276" s="122" t="s">
        <v>1472</v>
      </c>
      <c r="B276" s="122" t="s">
        <v>1458</v>
      </c>
      <c r="C276" s="122" t="s">
        <v>1445</v>
      </c>
      <c r="D276" s="122" t="s">
        <v>1453</v>
      </c>
      <c r="E276" s="312">
        <v>41250</v>
      </c>
      <c r="F276" s="311">
        <v>0.50347222222222221</v>
      </c>
      <c r="G276" s="202">
        <v>1</v>
      </c>
      <c r="H276" s="202">
        <v>443</v>
      </c>
    </row>
    <row r="277" spans="1:8" hidden="1">
      <c r="A277" s="122" t="s">
        <v>1444</v>
      </c>
      <c r="B277" s="122" t="s">
        <v>1460</v>
      </c>
      <c r="C277" s="122" t="s">
        <v>1445</v>
      </c>
      <c r="D277" s="122" t="s">
        <v>1450</v>
      </c>
      <c r="E277" s="312">
        <v>41482</v>
      </c>
      <c r="F277" s="311">
        <v>0.47916666666666663</v>
      </c>
      <c r="G277" s="202">
        <v>5</v>
      </c>
      <c r="H277" s="202">
        <v>3135</v>
      </c>
    </row>
    <row r="278" spans="1:8" hidden="1">
      <c r="A278" s="122" t="s">
        <v>1449</v>
      </c>
      <c r="B278" s="122" t="s">
        <v>1437</v>
      </c>
      <c r="C278" s="122" t="s">
        <v>1439</v>
      </c>
      <c r="D278" s="122" t="s">
        <v>1455</v>
      </c>
      <c r="E278" s="312">
        <v>41565</v>
      </c>
      <c r="F278" s="311">
        <v>0.36458333333333331</v>
      </c>
      <c r="G278" s="202">
        <v>6</v>
      </c>
      <c r="H278" s="202">
        <v>6192</v>
      </c>
    </row>
    <row r="279" spans="1:8" hidden="1">
      <c r="A279" s="122" t="s">
        <v>1438</v>
      </c>
      <c r="B279" s="122" t="s">
        <v>1458</v>
      </c>
      <c r="C279" s="122" t="s">
        <v>1436</v>
      </c>
      <c r="D279" s="122" t="s">
        <v>1453</v>
      </c>
      <c r="E279" s="312">
        <v>41586</v>
      </c>
      <c r="F279" s="311">
        <v>0.75</v>
      </c>
      <c r="G279" s="202">
        <v>6</v>
      </c>
      <c r="H279" s="202">
        <v>2772</v>
      </c>
    </row>
    <row r="280" spans="1:8" hidden="1">
      <c r="A280" s="122" t="s">
        <v>1447</v>
      </c>
      <c r="B280" s="122" t="s">
        <v>1458</v>
      </c>
      <c r="C280" s="122" t="s">
        <v>1439</v>
      </c>
      <c r="D280" s="122" t="s">
        <v>1450</v>
      </c>
      <c r="E280" s="312">
        <v>41593</v>
      </c>
      <c r="F280" s="311">
        <v>0.54861111111111105</v>
      </c>
      <c r="G280" s="202">
        <v>3</v>
      </c>
      <c r="H280" s="202">
        <v>1728</v>
      </c>
    </row>
    <row r="281" spans="1:8" hidden="1">
      <c r="A281" s="122" t="s">
        <v>1443</v>
      </c>
      <c r="B281" s="122" t="s">
        <v>1459</v>
      </c>
      <c r="C281" s="122" t="s">
        <v>1445</v>
      </c>
      <c r="D281" s="122" t="s">
        <v>1453</v>
      </c>
      <c r="E281" s="312">
        <v>41338</v>
      </c>
      <c r="F281" s="311">
        <v>0.57986111111111105</v>
      </c>
      <c r="G281" s="202">
        <v>2</v>
      </c>
      <c r="H281" s="202">
        <v>1158</v>
      </c>
    </row>
    <row r="282" spans="1:8" hidden="1">
      <c r="A282" s="122" t="s">
        <v>1448</v>
      </c>
      <c r="B282" s="122" t="s">
        <v>1458</v>
      </c>
      <c r="C282" s="122" t="s">
        <v>1436</v>
      </c>
      <c r="D282" s="122" t="s">
        <v>1435</v>
      </c>
      <c r="E282" s="312">
        <v>41580</v>
      </c>
      <c r="F282" s="311">
        <v>0.63541666666666663</v>
      </c>
      <c r="G282" s="202">
        <v>9</v>
      </c>
      <c r="H282" s="202">
        <v>3681</v>
      </c>
    </row>
    <row r="283" spans="1:8">
      <c r="A283" s="122" t="s">
        <v>1444</v>
      </c>
      <c r="B283" s="122" t="s">
        <v>1457</v>
      </c>
      <c r="C283" s="122" t="s">
        <v>1436</v>
      </c>
      <c r="D283" s="122" t="s">
        <v>1455</v>
      </c>
      <c r="E283" s="312">
        <v>41577</v>
      </c>
      <c r="F283" s="311">
        <v>0.3611111111111111</v>
      </c>
      <c r="G283" s="202">
        <v>1</v>
      </c>
      <c r="H283" s="202">
        <v>1363</v>
      </c>
    </row>
    <row r="284" spans="1:8" hidden="1">
      <c r="A284" s="122" t="s">
        <v>1438</v>
      </c>
      <c r="B284" s="122" t="s">
        <v>1437</v>
      </c>
      <c r="C284" s="122" t="s">
        <v>1439</v>
      </c>
      <c r="D284" s="122" t="s">
        <v>1435</v>
      </c>
      <c r="E284" s="312">
        <v>41230</v>
      </c>
      <c r="F284" s="311">
        <v>0.49652777777777773</v>
      </c>
      <c r="G284" s="202">
        <v>19</v>
      </c>
      <c r="H284" s="202">
        <v>11552</v>
      </c>
    </row>
    <row r="285" spans="1:8" hidden="1">
      <c r="A285" s="122" t="s">
        <v>1454</v>
      </c>
      <c r="B285" s="122" t="s">
        <v>1457</v>
      </c>
      <c r="C285" s="122" t="s">
        <v>1441</v>
      </c>
      <c r="D285" s="122" t="s">
        <v>1450</v>
      </c>
      <c r="E285" s="312">
        <v>41481</v>
      </c>
      <c r="F285" s="311">
        <v>0.42708333333333331</v>
      </c>
      <c r="G285" s="202">
        <v>9</v>
      </c>
      <c r="H285" s="202">
        <v>13410</v>
      </c>
    </row>
    <row r="286" spans="1:8" hidden="1">
      <c r="A286" s="122" t="s">
        <v>3138</v>
      </c>
      <c r="B286" s="122" t="s">
        <v>1457</v>
      </c>
      <c r="C286" s="122" t="s">
        <v>1445</v>
      </c>
      <c r="D286" s="122" t="s">
        <v>1435</v>
      </c>
      <c r="E286" s="312">
        <v>41480</v>
      </c>
      <c r="F286" s="311">
        <v>0.62847222222222221</v>
      </c>
      <c r="G286" s="202">
        <v>8</v>
      </c>
      <c r="H286" s="202">
        <v>6992</v>
      </c>
    </row>
    <row r="287" spans="1:8" hidden="1">
      <c r="A287" s="122" t="s">
        <v>1449</v>
      </c>
      <c r="B287" s="122" t="s">
        <v>1457</v>
      </c>
      <c r="C287" s="122" t="s">
        <v>1436</v>
      </c>
      <c r="D287" s="122" t="s">
        <v>1453</v>
      </c>
      <c r="E287" s="312">
        <v>41445</v>
      </c>
      <c r="F287" s="311">
        <v>0.52083333333333326</v>
      </c>
      <c r="G287" s="202">
        <v>15</v>
      </c>
      <c r="H287" s="202">
        <v>16860</v>
      </c>
    </row>
    <row r="288" spans="1:8" hidden="1">
      <c r="A288" s="122" t="s">
        <v>1444</v>
      </c>
      <c r="B288" s="122" t="s">
        <v>1460</v>
      </c>
      <c r="C288" s="122" t="s">
        <v>1439</v>
      </c>
      <c r="D288" s="122" t="s">
        <v>1455</v>
      </c>
      <c r="E288" s="312">
        <v>41208</v>
      </c>
      <c r="F288" s="311">
        <v>0.42708333333333331</v>
      </c>
      <c r="G288" s="202">
        <v>10</v>
      </c>
      <c r="H288" s="202">
        <v>6960</v>
      </c>
    </row>
    <row r="289" spans="1:8" hidden="1">
      <c r="A289" s="122" t="s">
        <v>1474</v>
      </c>
      <c r="B289" s="122" t="s">
        <v>1459</v>
      </c>
      <c r="C289" s="122" t="s">
        <v>1439</v>
      </c>
      <c r="D289" s="122" t="s">
        <v>1455</v>
      </c>
      <c r="E289" s="312">
        <v>41478</v>
      </c>
      <c r="F289" s="311">
        <v>0.47222222222222221</v>
      </c>
      <c r="G289" s="202">
        <v>9</v>
      </c>
      <c r="H289" s="202">
        <v>5256</v>
      </c>
    </row>
    <row r="290" spans="1:8" hidden="1">
      <c r="A290" s="122" t="s">
        <v>1456</v>
      </c>
      <c r="B290" s="122" t="s">
        <v>1457</v>
      </c>
      <c r="C290" s="122" t="s">
        <v>1439</v>
      </c>
      <c r="D290" s="122" t="s">
        <v>1453</v>
      </c>
      <c r="E290" s="312">
        <v>41478</v>
      </c>
      <c r="F290" s="311">
        <v>0.53125</v>
      </c>
      <c r="G290" s="202">
        <v>10</v>
      </c>
      <c r="H290" s="202">
        <v>14800</v>
      </c>
    </row>
    <row r="291" spans="1:8" hidden="1">
      <c r="A291" s="122" t="s">
        <v>1444</v>
      </c>
      <c r="B291" s="122" t="s">
        <v>1437</v>
      </c>
      <c r="C291" s="122" t="s">
        <v>1445</v>
      </c>
      <c r="D291" s="122" t="s">
        <v>1453</v>
      </c>
      <c r="E291" s="312">
        <v>41267</v>
      </c>
      <c r="F291" s="311">
        <v>0.4236111111111111</v>
      </c>
      <c r="G291" s="202">
        <v>6</v>
      </c>
      <c r="H291" s="202">
        <v>9846</v>
      </c>
    </row>
    <row r="292" spans="1:8" hidden="1">
      <c r="A292" s="122" t="s">
        <v>1449</v>
      </c>
      <c r="B292" s="122" t="s">
        <v>1458</v>
      </c>
      <c r="C292" s="122" t="s">
        <v>1441</v>
      </c>
      <c r="D292" s="122" t="s">
        <v>1435</v>
      </c>
      <c r="E292" s="312">
        <v>41211</v>
      </c>
      <c r="F292" s="311">
        <v>0.71875</v>
      </c>
      <c r="G292" s="202">
        <v>11</v>
      </c>
      <c r="H292" s="202">
        <v>5698</v>
      </c>
    </row>
    <row r="293" spans="1:8" hidden="1">
      <c r="A293" s="122" t="s">
        <v>1444</v>
      </c>
      <c r="B293" s="122" t="s">
        <v>1460</v>
      </c>
      <c r="C293" s="122" t="s">
        <v>1445</v>
      </c>
      <c r="D293" s="122" t="s">
        <v>1452</v>
      </c>
      <c r="E293" s="312">
        <v>41008</v>
      </c>
      <c r="F293" s="311">
        <v>0.62152777777777779</v>
      </c>
      <c r="G293" s="202">
        <v>4</v>
      </c>
      <c r="H293" s="202">
        <v>3512</v>
      </c>
    </row>
    <row r="294" spans="1:8">
      <c r="A294" s="122" t="s">
        <v>1456</v>
      </c>
      <c r="B294" s="122" t="s">
        <v>1459</v>
      </c>
      <c r="C294" s="122" t="s">
        <v>1439</v>
      </c>
      <c r="D294" s="122" t="s">
        <v>1452</v>
      </c>
      <c r="E294" s="312">
        <v>41367</v>
      </c>
      <c r="F294" s="311">
        <v>0.61111111111111105</v>
      </c>
      <c r="G294" s="202">
        <v>4</v>
      </c>
      <c r="H294" s="202">
        <v>1968</v>
      </c>
    </row>
    <row r="295" spans="1:8" hidden="1">
      <c r="A295" s="122" t="s">
        <v>1447</v>
      </c>
      <c r="B295" s="122" t="s">
        <v>1437</v>
      </c>
      <c r="C295" s="122" t="s">
        <v>1436</v>
      </c>
      <c r="D295" s="122" t="s">
        <v>1452</v>
      </c>
      <c r="E295" s="312">
        <v>41624</v>
      </c>
      <c r="F295" s="311">
        <v>0.48263888888888884</v>
      </c>
      <c r="G295" s="202">
        <v>12</v>
      </c>
      <c r="H295" s="202">
        <v>16584</v>
      </c>
    </row>
    <row r="296" spans="1:8">
      <c r="A296" s="122" t="s">
        <v>1472</v>
      </c>
      <c r="B296" s="122" t="s">
        <v>1460</v>
      </c>
      <c r="C296" s="122" t="s">
        <v>1439</v>
      </c>
      <c r="D296" s="122" t="s">
        <v>1453</v>
      </c>
      <c r="E296" s="312">
        <v>41066</v>
      </c>
      <c r="F296" s="311">
        <v>0.50347222222222221</v>
      </c>
      <c r="G296" s="202">
        <v>3</v>
      </c>
      <c r="H296" s="202">
        <v>2058</v>
      </c>
    </row>
    <row r="297" spans="1:8" hidden="1">
      <c r="A297" s="122" t="s">
        <v>1438</v>
      </c>
      <c r="B297" s="122" t="s">
        <v>1460</v>
      </c>
      <c r="C297" s="122" t="s">
        <v>1439</v>
      </c>
      <c r="D297" s="122" t="s">
        <v>1452</v>
      </c>
      <c r="E297" s="312">
        <v>41477</v>
      </c>
      <c r="F297" s="311">
        <v>0.45833333333333331</v>
      </c>
      <c r="G297" s="202">
        <v>10</v>
      </c>
      <c r="H297" s="202">
        <v>7210</v>
      </c>
    </row>
    <row r="298" spans="1:8" hidden="1">
      <c r="A298" s="122" t="s">
        <v>1443</v>
      </c>
      <c r="B298" s="122" t="s">
        <v>1458</v>
      </c>
      <c r="C298" s="122" t="s">
        <v>1439</v>
      </c>
      <c r="D298" s="122" t="s">
        <v>1455</v>
      </c>
      <c r="E298" s="312">
        <v>41047</v>
      </c>
      <c r="F298" s="311">
        <v>0.33333333333333331</v>
      </c>
      <c r="G298" s="202">
        <v>4</v>
      </c>
      <c r="H298" s="202">
        <v>1852</v>
      </c>
    </row>
    <row r="299" spans="1:8">
      <c r="A299" s="122" t="s">
        <v>1476</v>
      </c>
      <c r="B299" s="122" t="s">
        <v>1457</v>
      </c>
      <c r="C299" s="122" t="s">
        <v>1439</v>
      </c>
      <c r="D299" s="122" t="s">
        <v>1435</v>
      </c>
      <c r="E299" s="312">
        <v>40926</v>
      </c>
      <c r="F299" s="311">
        <v>0.65625</v>
      </c>
      <c r="G299" s="202">
        <v>20</v>
      </c>
      <c r="H299" s="202">
        <v>12720</v>
      </c>
    </row>
    <row r="300" spans="1:8" hidden="1">
      <c r="A300" s="122" t="s">
        <v>1474</v>
      </c>
      <c r="B300" s="122" t="s">
        <v>1457</v>
      </c>
      <c r="C300" s="122" t="s">
        <v>1441</v>
      </c>
      <c r="D300" s="122" t="s">
        <v>1435</v>
      </c>
      <c r="E300" s="312">
        <v>41407</v>
      </c>
      <c r="F300" s="311">
        <v>0.50347222222222221</v>
      </c>
      <c r="G300" s="202">
        <v>17</v>
      </c>
      <c r="H300" s="202">
        <v>10115</v>
      </c>
    </row>
    <row r="301" spans="1:8" hidden="1">
      <c r="A301" s="122" t="s">
        <v>1449</v>
      </c>
      <c r="B301" s="122" t="s">
        <v>1457</v>
      </c>
      <c r="C301" s="122" t="s">
        <v>1445</v>
      </c>
      <c r="D301" s="122" t="s">
        <v>1452</v>
      </c>
      <c r="E301" s="312">
        <v>41002</v>
      </c>
      <c r="F301" s="311">
        <v>0.72222222222222221</v>
      </c>
      <c r="G301" s="202">
        <v>13</v>
      </c>
      <c r="H301" s="202">
        <v>12155</v>
      </c>
    </row>
    <row r="302" spans="1:8" hidden="1">
      <c r="A302" s="122" t="s">
        <v>1438</v>
      </c>
      <c r="B302" s="122" t="s">
        <v>1437</v>
      </c>
      <c r="C302" s="122" t="s">
        <v>1445</v>
      </c>
      <c r="D302" s="122" t="s">
        <v>1453</v>
      </c>
      <c r="E302" s="312">
        <v>41354</v>
      </c>
      <c r="F302" s="311">
        <v>0.61111111111111105</v>
      </c>
      <c r="G302" s="202">
        <v>4</v>
      </c>
      <c r="H302" s="202">
        <v>5192</v>
      </c>
    </row>
    <row r="303" spans="1:8" hidden="1">
      <c r="A303" s="122" t="s">
        <v>1444</v>
      </c>
      <c r="B303" s="122" t="s">
        <v>1458</v>
      </c>
      <c r="C303" s="122" t="s">
        <v>1445</v>
      </c>
      <c r="D303" s="122" t="s">
        <v>1455</v>
      </c>
      <c r="E303" s="312">
        <v>41285</v>
      </c>
      <c r="F303" s="311">
        <v>0.54166666666666663</v>
      </c>
      <c r="G303" s="202">
        <v>15</v>
      </c>
      <c r="H303" s="202">
        <v>5130</v>
      </c>
    </row>
    <row r="304" spans="1:8" hidden="1">
      <c r="A304" s="122" t="s">
        <v>1449</v>
      </c>
      <c r="B304" s="122" t="s">
        <v>1437</v>
      </c>
      <c r="C304" s="122" t="s">
        <v>1436</v>
      </c>
      <c r="D304" s="122" t="s">
        <v>1452</v>
      </c>
      <c r="E304" s="312">
        <v>41596</v>
      </c>
      <c r="F304" s="311">
        <v>0.65972222222222221</v>
      </c>
      <c r="G304" s="202">
        <v>8</v>
      </c>
      <c r="H304" s="202">
        <v>12936</v>
      </c>
    </row>
    <row r="305" spans="1:8" hidden="1">
      <c r="A305" s="122" t="s">
        <v>1474</v>
      </c>
      <c r="B305" s="122" t="s">
        <v>1437</v>
      </c>
      <c r="C305" s="122" t="s">
        <v>1436</v>
      </c>
      <c r="D305" s="122" t="s">
        <v>1452</v>
      </c>
      <c r="E305" s="312">
        <v>41477</v>
      </c>
      <c r="F305" s="311">
        <v>0.58333333333333326</v>
      </c>
      <c r="G305" s="202">
        <v>14</v>
      </c>
      <c r="H305" s="202">
        <v>7560</v>
      </c>
    </row>
    <row r="306" spans="1:8" hidden="1">
      <c r="A306" s="122" t="s">
        <v>1438</v>
      </c>
      <c r="B306" s="122" t="s">
        <v>1457</v>
      </c>
      <c r="C306" s="122" t="s">
        <v>1445</v>
      </c>
      <c r="D306" s="122" t="s">
        <v>1435</v>
      </c>
      <c r="E306" s="312">
        <v>40911</v>
      </c>
      <c r="F306" s="311">
        <v>0.49305555555555552</v>
      </c>
      <c r="G306" s="202">
        <v>12</v>
      </c>
      <c r="H306" s="202">
        <v>10692</v>
      </c>
    </row>
    <row r="307" spans="1:8" hidden="1">
      <c r="A307" s="122" t="s">
        <v>1456</v>
      </c>
      <c r="B307" s="122" t="s">
        <v>1437</v>
      </c>
      <c r="C307" s="122" t="s">
        <v>1441</v>
      </c>
      <c r="D307" s="122" t="s">
        <v>1452</v>
      </c>
      <c r="E307" s="312">
        <v>40909</v>
      </c>
      <c r="F307" s="311">
        <v>0.35069444444444442</v>
      </c>
      <c r="G307" s="202">
        <v>2</v>
      </c>
      <c r="H307" s="313">
        <v>1430</v>
      </c>
    </row>
    <row r="308" spans="1:8" hidden="1">
      <c r="A308" s="122" t="s">
        <v>1449</v>
      </c>
      <c r="B308" s="122" t="s">
        <v>1437</v>
      </c>
      <c r="C308" s="122" t="s">
        <v>1441</v>
      </c>
      <c r="D308" s="122" t="s">
        <v>1435</v>
      </c>
      <c r="E308" s="312">
        <v>41625</v>
      </c>
      <c r="F308" s="311">
        <v>0.51041666666666663</v>
      </c>
      <c r="G308" s="202">
        <v>20</v>
      </c>
      <c r="H308" s="202">
        <v>8420</v>
      </c>
    </row>
    <row r="309" spans="1:8" hidden="1">
      <c r="A309" s="122" t="s">
        <v>3138</v>
      </c>
      <c r="B309" s="122" t="s">
        <v>1458</v>
      </c>
      <c r="C309" s="122" t="s">
        <v>1445</v>
      </c>
      <c r="D309" s="122" t="s">
        <v>1435</v>
      </c>
      <c r="E309" s="312">
        <v>41475</v>
      </c>
      <c r="F309" s="311">
        <v>0.51736111111111105</v>
      </c>
      <c r="G309" s="202">
        <v>17</v>
      </c>
      <c r="H309" s="202">
        <v>8585</v>
      </c>
    </row>
    <row r="310" spans="1:8" hidden="1">
      <c r="A310" s="122" t="s">
        <v>1447</v>
      </c>
      <c r="B310" s="122" t="s">
        <v>1457</v>
      </c>
      <c r="C310" s="122" t="s">
        <v>1441</v>
      </c>
      <c r="D310" s="122" t="s">
        <v>1450</v>
      </c>
      <c r="E310" s="312">
        <v>41394</v>
      </c>
      <c r="F310" s="311">
        <v>0.50347222222222221</v>
      </c>
      <c r="G310" s="202">
        <v>7</v>
      </c>
      <c r="H310" s="202">
        <v>7203</v>
      </c>
    </row>
    <row r="311" spans="1:8" hidden="1">
      <c r="A311" s="122" t="s">
        <v>1474</v>
      </c>
      <c r="B311" s="122" t="s">
        <v>1460</v>
      </c>
      <c r="C311" s="122" t="s">
        <v>1436</v>
      </c>
      <c r="D311" s="122" t="s">
        <v>1435</v>
      </c>
      <c r="E311" s="312">
        <v>41625</v>
      </c>
      <c r="F311" s="311">
        <v>0.59375</v>
      </c>
      <c r="G311" s="202">
        <v>9</v>
      </c>
      <c r="H311" s="202">
        <v>3987</v>
      </c>
    </row>
    <row r="312" spans="1:8" hidden="1">
      <c r="A312" s="122" t="s">
        <v>3138</v>
      </c>
      <c r="B312" s="122" t="s">
        <v>1457</v>
      </c>
      <c r="C312" s="122" t="s">
        <v>1441</v>
      </c>
      <c r="D312" s="122" t="s">
        <v>1452</v>
      </c>
      <c r="E312" s="312">
        <v>41298</v>
      </c>
      <c r="F312" s="311">
        <v>0.63194444444444442</v>
      </c>
      <c r="G312" s="202">
        <v>2</v>
      </c>
      <c r="H312" s="202">
        <v>2058</v>
      </c>
    </row>
    <row r="313" spans="1:8">
      <c r="A313" s="122" t="s">
        <v>1447</v>
      </c>
      <c r="B313" s="122" t="s">
        <v>1458</v>
      </c>
      <c r="C313" s="122" t="s">
        <v>1436</v>
      </c>
      <c r="D313" s="122" t="s">
        <v>1452</v>
      </c>
      <c r="E313" s="312">
        <v>40982</v>
      </c>
      <c r="F313" s="311">
        <v>0.74305555555555547</v>
      </c>
      <c r="G313" s="202">
        <v>12</v>
      </c>
      <c r="H313" s="202">
        <v>4104</v>
      </c>
    </row>
    <row r="314" spans="1:8" hidden="1">
      <c r="A314" s="122" t="s">
        <v>1474</v>
      </c>
      <c r="B314" s="122" t="s">
        <v>1459</v>
      </c>
      <c r="C314" s="122" t="s">
        <v>1439</v>
      </c>
      <c r="D314" s="122" t="s">
        <v>1450</v>
      </c>
      <c r="E314" s="312">
        <v>41474</v>
      </c>
      <c r="F314" s="311">
        <v>0.64583333333333326</v>
      </c>
      <c r="G314" s="202">
        <v>6</v>
      </c>
      <c r="H314" s="202">
        <v>5028</v>
      </c>
    </row>
    <row r="315" spans="1:8" hidden="1">
      <c r="A315" s="122" t="s">
        <v>1454</v>
      </c>
      <c r="B315" s="122" t="s">
        <v>1458</v>
      </c>
      <c r="C315" s="122" t="s">
        <v>1445</v>
      </c>
      <c r="D315" s="122" t="s">
        <v>1435</v>
      </c>
      <c r="E315" s="312">
        <v>41219</v>
      </c>
      <c r="F315" s="311">
        <v>0.57291666666666663</v>
      </c>
      <c r="G315" s="202">
        <v>11</v>
      </c>
      <c r="H315" s="202">
        <v>5005</v>
      </c>
    </row>
    <row r="316" spans="1:8">
      <c r="A316" s="122" t="s">
        <v>1454</v>
      </c>
      <c r="B316" s="122" t="s">
        <v>1460</v>
      </c>
      <c r="C316" s="122" t="s">
        <v>1439</v>
      </c>
      <c r="D316" s="122" t="s">
        <v>1455</v>
      </c>
      <c r="E316" s="312">
        <v>41577</v>
      </c>
      <c r="F316" s="311">
        <v>0.51736111111111105</v>
      </c>
      <c r="G316" s="202">
        <v>13</v>
      </c>
      <c r="H316" s="202">
        <v>10153</v>
      </c>
    </row>
    <row r="317" spans="1:8" hidden="1">
      <c r="A317" s="122" t="s">
        <v>1449</v>
      </c>
      <c r="B317" s="122" t="s">
        <v>1460</v>
      </c>
      <c r="C317" s="122" t="s">
        <v>1436</v>
      </c>
      <c r="D317" s="122" t="s">
        <v>1455</v>
      </c>
      <c r="E317" s="312">
        <v>41438</v>
      </c>
      <c r="F317" s="311">
        <v>0.375</v>
      </c>
      <c r="G317" s="202">
        <v>1</v>
      </c>
      <c r="H317" s="202">
        <v>655</v>
      </c>
    </row>
    <row r="318" spans="1:8" hidden="1">
      <c r="A318" s="122" t="s">
        <v>1448</v>
      </c>
      <c r="B318" s="122" t="s">
        <v>1460</v>
      </c>
      <c r="C318" s="122" t="s">
        <v>1439</v>
      </c>
      <c r="D318" s="122" t="s">
        <v>1452</v>
      </c>
      <c r="E318" s="312">
        <v>41569</v>
      </c>
      <c r="F318" s="311">
        <v>0.33680555555555552</v>
      </c>
      <c r="G318" s="202">
        <v>13</v>
      </c>
      <c r="H318" s="202">
        <v>9698</v>
      </c>
    </row>
    <row r="319" spans="1:8" hidden="1">
      <c r="A319" s="122" t="s">
        <v>1447</v>
      </c>
      <c r="B319" s="122" t="s">
        <v>1457</v>
      </c>
      <c r="C319" s="122" t="s">
        <v>1445</v>
      </c>
      <c r="D319" s="122" t="s">
        <v>1450</v>
      </c>
      <c r="E319" s="312">
        <v>41473</v>
      </c>
      <c r="F319" s="311">
        <v>0.49305555555555552</v>
      </c>
      <c r="G319" s="202">
        <v>2</v>
      </c>
      <c r="H319" s="202">
        <v>1608</v>
      </c>
    </row>
    <row r="320" spans="1:8" hidden="1">
      <c r="A320" s="122" t="s">
        <v>3138</v>
      </c>
      <c r="B320" s="122" t="s">
        <v>1437</v>
      </c>
      <c r="C320" s="122" t="s">
        <v>1436</v>
      </c>
      <c r="D320" s="122" t="s">
        <v>1450</v>
      </c>
      <c r="E320" s="312">
        <v>41431</v>
      </c>
      <c r="F320" s="311">
        <v>0.46180555555555552</v>
      </c>
      <c r="G320" s="202">
        <v>9</v>
      </c>
      <c r="H320" s="202">
        <v>15624</v>
      </c>
    </row>
    <row r="321" spans="1:8">
      <c r="A321" s="122" t="s">
        <v>1438</v>
      </c>
      <c r="B321" s="122" t="s">
        <v>1458</v>
      </c>
      <c r="C321" s="122" t="s">
        <v>1439</v>
      </c>
      <c r="D321" s="122" t="s">
        <v>1455</v>
      </c>
      <c r="E321" s="312">
        <v>41472</v>
      </c>
      <c r="F321" s="311">
        <v>0.40277777777777773</v>
      </c>
      <c r="G321" s="202">
        <v>2</v>
      </c>
      <c r="H321" s="202">
        <v>1316</v>
      </c>
    </row>
    <row r="322" spans="1:8" hidden="1">
      <c r="A322" s="122" t="s">
        <v>1447</v>
      </c>
      <c r="B322" s="122" t="s">
        <v>1457</v>
      </c>
      <c r="C322" s="122" t="s">
        <v>1441</v>
      </c>
      <c r="D322" s="122" t="s">
        <v>1450</v>
      </c>
      <c r="E322" s="312">
        <v>41436</v>
      </c>
      <c r="F322" s="311">
        <v>0.58333333333333326</v>
      </c>
      <c r="G322" s="202">
        <v>11</v>
      </c>
      <c r="H322" s="202">
        <v>7733</v>
      </c>
    </row>
    <row r="323" spans="1:8" hidden="1">
      <c r="A323" s="122" t="s">
        <v>1438</v>
      </c>
      <c r="B323" s="122" t="s">
        <v>1459</v>
      </c>
      <c r="C323" s="122" t="s">
        <v>1445</v>
      </c>
      <c r="D323" s="122" t="s">
        <v>1450</v>
      </c>
      <c r="E323" s="312">
        <v>40999</v>
      </c>
      <c r="F323" s="311">
        <v>0.37847222222222221</v>
      </c>
      <c r="G323" s="202">
        <v>5</v>
      </c>
      <c r="H323" s="202">
        <v>3910</v>
      </c>
    </row>
    <row r="324" spans="1:8">
      <c r="A324" s="122" t="s">
        <v>1438</v>
      </c>
      <c r="B324" s="122" t="s">
        <v>1457</v>
      </c>
      <c r="C324" s="122" t="s">
        <v>1439</v>
      </c>
      <c r="D324" s="122" t="s">
        <v>1453</v>
      </c>
      <c r="E324" s="312">
        <v>41262</v>
      </c>
      <c r="F324" s="311">
        <v>0.57986111111111105</v>
      </c>
      <c r="G324" s="202">
        <v>1</v>
      </c>
      <c r="H324" s="202">
        <v>573</v>
      </c>
    </row>
    <row r="325" spans="1:8" hidden="1">
      <c r="A325" s="122" t="s">
        <v>1456</v>
      </c>
      <c r="B325" s="122" t="s">
        <v>1459</v>
      </c>
      <c r="C325" s="122" t="s">
        <v>1441</v>
      </c>
      <c r="D325" s="122" t="s">
        <v>1453</v>
      </c>
      <c r="E325" s="312">
        <v>41398</v>
      </c>
      <c r="F325" s="311">
        <v>0.73611111111111105</v>
      </c>
      <c r="G325" s="202">
        <v>2</v>
      </c>
      <c r="H325" s="202">
        <v>708</v>
      </c>
    </row>
    <row r="326" spans="1:8" hidden="1">
      <c r="A326" s="122" t="s">
        <v>1448</v>
      </c>
      <c r="B326" s="122" t="s">
        <v>1458</v>
      </c>
      <c r="C326" s="122" t="s">
        <v>1445</v>
      </c>
      <c r="D326" s="122" t="s">
        <v>1455</v>
      </c>
      <c r="E326" s="312">
        <v>40998</v>
      </c>
      <c r="F326" s="311">
        <v>0.49305555555555552</v>
      </c>
      <c r="G326" s="202">
        <v>14</v>
      </c>
      <c r="H326" s="202">
        <v>6300</v>
      </c>
    </row>
    <row r="327" spans="1:8" hidden="1">
      <c r="A327" s="122" t="s">
        <v>1447</v>
      </c>
      <c r="B327" s="122" t="s">
        <v>1460</v>
      </c>
      <c r="C327" s="122" t="s">
        <v>1441</v>
      </c>
      <c r="D327" s="122" t="s">
        <v>1455</v>
      </c>
      <c r="E327" s="312">
        <v>41440</v>
      </c>
      <c r="F327" s="311">
        <v>0.50347222222222221</v>
      </c>
      <c r="G327" s="202">
        <v>12</v>
      </c>
      <c r="H327" s="202">
        <v>7788</v>
      </c>
    </row>
    <row r="328" spans="1:8" hidden="1">
      <c r="A328" s="122" t="s">
        <v>1444</v>
      </c>
      <c r="B328" s="122" t="s">
        <v>1458</v>
      </c>
      <c r="C328" s="122" t="s">
        <v>1445</v>
      </c>
      <c r="D328" s="122" t="s">
        <v>1453</v>
      </c>
      <c r="E328" s="312">
        <v>41400</v>
      </c>
      <c r="F328" s="311">
        <v>0.71875</v>
      </c>
      <c r="G328" s="202">
        <v>14</v>
      </c>
      <c r="H328" s="202">
        <v>9646</v>
      </c>
    </row>
    <row r="329" spans="1:8" hidden="1">
      <c r="A329" s="122" t="s">
        <v>1476</v>
      </c>
      <c r="B329" s="122" t="s">
        <v>1459</v>
      </c>
      <c r="C329" s="122" t="s">
        <v>1436</v>
      </c>
      <c r="D329" s="122" t="s">
        <v>1452</v>
      </c>
      <c r="E329" s="312">
        <v>40935</v>
      </c>
      <c r="F329" s="311">
        <v>0.50694444444444442</v>
      </c>
      <c r="G329" s="202">
        <v>6</v>
      </c>
      <c r="H329" s="313">
        <v>4086</v>
      </c>
    </row>
    <row r="330" spans="1:8" hidden="1">
      <c r="A330" s="122" t="s">
        <v>1476</v>
      </c>
      <c r="B330" s="122" t="s">
        <v>1458</v>
      </c>
      <c r="C330" s="122" t="s">
        <v>1439</v>
      </c>
      <c r="D330" s="122" t="s">
        <v>1435</v>
      </c>
      <c r="E330" s="312">
        <v>41551</v>
      </c>
      <c r="F330" s="311">
        <v>0.61111111111111105</v>
      </c>
      <c r="G330" s="202">
        <v>8</v>
      </c>
      <c r="H330" s="202">
        <v>4264</v>
      </c>
    </row>
    <row r="331" spans="1:8">
      <c r="A331" s="122" t="s">
        <v>1449</v>
      </c>
      <c r="B331" s="122" t="s">
        <v>1458</v>
      </c>
      <c r="C331" s="122" t="s">
        <v>1445</v>
      </c>
      <c r="D331" s="122" t="s">
        <v>1452</v>
      </c>
      <c r="E331" s="312">
        <v>41269</v>
      </c>
      <c r="F331" s="311">
        <v>0.57291666666666663</v>
      </c>
      <c r="G331" s="202">
        <v>15</v>
      </c>
      <c r="H331" s="202">
        <v>4770</v>
      </c>
    </row>
    <row r="332" spans="1:8" hidden="1">
      <c r="A332" s="122" t="s">
        <v>3138</v>
      </c>
      <c r="B332" s="122" t="s">
        <v>1458</v>
      </c>
      <c r="C332" s="122" t="s">
        <v>1436</v>
      </c>
      <c r="D332" s="122" t="s">
        <v>1435</v>
      </c>
      <c r="E332" s="312">
        <v>41064</v>
      </c>
      <c r="F332" s="311">
        <v>0.33680555555555552</v>
      </c>
      <c r="G332" s="202">
        <v>18</v>
      </c>
      <c r="H332" s="202">
        <v>11484</v>
      </c>
    </row>
    <row r="333" spans="1:8">
      <c r="A333" s="122" t="s">
        <v>1454</v>
      </c>
      <c r="B333" s="122" t="s">
        <v>1458</v>
      </c>
      <c r="C333" s="122" t="s">
        <v>1436</v>
      </c>
      <c r="D333" s="122" t="s">
        <v>1455</v>
      </c>
      <c r="E333" s="312">
        <v>41472</v>
      </c>
      <c r="F333" s="311">
        <v>0.62152777777777779</v>
      </c>
      <c r="G333" s="202">
        <v>2</v>
      </c>
      <c r="H333" s="202">
        <v>686</v>
      </c>
    </row>
    <row r="334" spans="1:8" hidden="1">
      <c r="A334" s="122" t="s">
        <v>1448</v>
      </c>
      <c r="B334" s="122" t="s">
        <v>1459</v>
      </c>
      <c r="C334" s="122" t="s">
        <v>1439</v>
      </c>
      <c r="D334" s="122" t="s">
        <v>1452</v>
      </c>
      <c r="E334" s="312">
        <v>41001</v>
      </c>
      <c r="F334" s="311">
        <v>0.49652777777777773</v>
      </c>
      <c r="G334" s="202">
        <v>3</v>
      </c>
      <c r="H334" s="202">
        <v>1254</v>
      </c>
    </row>
    <row r="335" spans="1:8" hidden="1">
      <c r="A335" s="122" t="s">
        <v>1449</v>
      </c>
      <c r="B335" s="122" t="s">
        <v>1457</v>
      </c>
      <c r="C335" s="122" t="s">
        <v>1445</v>
      </c>
      <c r="D335" s="122" t="s">
        <v>1453</v>
      </c>
      <c r="E335" s="312">
        <v>41468</v>
      </c>
      <c r="F335" s="311">
        <v>0.52777777777777779</v>
      </c>
      <c r="G335" s="202">
        <v>3</v>
      </c>
      <c r="H335" s="202">
        <v>3444</v>
      </c>
    </row>
    <row r="336" spans="1:8">
      <c r="A336" s="122" t="s">
        <v>1443</v>
      </c>
      <c r="B336" s="122" t="s">
        <v>1457</v>
      </c>
      <c r="C336" s="122" t="s">
        <v>1439</v>
      </c>
      <c r="D336" s="122" t="s">
        <v>1435</v>
      </c>
      <c r="E336" s="312">
        <v>41346</v>
      </c>
      <c r="F336" s="311">
        <v>0.42013888888888884</v>
      </c>
      <c r="G336" s="202">
        <v>18</v>
      </c>
      <c r="H336" s="202">
        <v>9864</v>
      </c>
    </row>
    <row r="337" spans="1:8" hidden="1">
      <c r="A337" s="122" t="s">
        <v>1476</v>
      </c>
      <c r="B337" s="122" t="s">
        <v>1437</v>
      </c>
      <c r="C337" s="122" t="s">
        <v>1445</v>
      </c>
      <c r="D337" s="122" t="s">
        <v>1450</v>
      </c>
      <c r="E337" s="312">
        <v>41081</v>
      </c>
      <c r="F337" s="311">
        <v>0.69097222222222221</v>
      </c>
      <c r="G337" s="202">
        <v>15</v>
      </c>
      <c r="H337" s="202">
        <v>18660</v>
      </c>
    </row>
    <row r="338" spans="1:8" hidden="1">
      <c r="A338" s="122" t="s">
        <v>1472</v>
      </c>
      <c r="B338" s="122" t="s">
        <v>1437</v>
      </c>
      <c r="C338" s="122" t="s">
        <v>1439</v>
      </c>
      <c r="D338" s="122" t="s">
        <v>1452</v>
      </c>
      <c r="E338" s="312">
        <v>41081</v>
      </c>
      <c r="F338" s="311">
        <v>0.50347222222222221</v>
      </c>
      <c r="G338" s="202">
        <v>2</v>
      </c>
      <c r="H338" s="202">
        <v>1146</v>
      </c>
    </row>
    <row r="339" spans="1:8" hidden="1">
      <c r="A339" s="122" t="s">
        <v>1447</v>
      </c>
      <c r="B339" s="122" t="s">
        <v>1437</v>
      </c>
      <c r="C339" s="122" t="s">
        <v>1436</v>
      </c>
      <c r="D339" s="122" t="s">
        <v>1452</v>
      </c>
      <c r="E339" s="312">
        <v>41201</v>
      </c>
      <c r="F339" s="311">
        <v>0.44097222222222221</v>
      </c>
      <c r="G339" s="202">
        <v>8</v>
      </c>
      <c r="H339" s="202">
        <v>11520</v>
      </c>
    </row>
    <row r="340" spans="1:8" hidden="1">
      <c r="A340" s="122" t="s">
        <v>1449</v>
      </c>
      <c r="B340" s="122" t="s">
        <v>1437</v>
      </c>
      <c r="C340" s="122" t="s">
        <v>1441</v>
      </c>
      <c r="D340" s="122" t="s">
        <v>1450</v>
      </c>
      <c r="E340" s="312">
        <v>41467</v>
      </c>
      <c r="F340" s="311">
        <v>0.33333333333333331</v>
      </c>
      <c r="G340" s="202">
        <v>3</v>
      </c>
      <c r="H340" s="202">
        <v>4104</v>
      </c>
    </row>
    <row r="341" spans="1:8" hidden="1">
      <c r="A341" s="122" t="s">
        <v>1449</v>
      </c>
      <c r="B341" s="122" t="s">
        <v>1437</v>
      </c>
      <c r="C341" s="122" t="s">
        <v>1441</v>
      </c>
      <c r="D341" s="122" t="s">
        <v>1435</v>
      </c>
      <c r="E341" s="312">
        <v>41548</v>
      </c>
      <c r="F341" s="311">
        <v>0.51041666666666663</v>
      </c>
      <c r="G341" s="202">
        <v>12</v>
      </c>
      <c r="H341" s="202">
        <v>21060</v>
      </c>
    </row>
    <row r="342" spans="1:8" hidden="1">
      <c r="A342" s="122" t="s">
        <v>1448</v>
      </c>
      <c r="B342" s="122" t="s">
        <v>1460</v>
      </c>
      <c r="C342" s="122" t="s">
        <v>1439</v>
      </c>
      <c r="D342" s="122" t="s">
        <v>1435</v>
      </c>
      <c r="E342" s="312">
        <v>41258</v>
      </c>
      <c r="F342" s="311">
        <v>0.47916666666666663</v>
      </c>
      <c r="G342" s="202">
        <v>11</v>
      </c>
      <c r="H342" s="202">
        <v>8635</v>
      </c>
    </row>
    <row r="343" spans="1:8" hidden="1">
      <c r="A343" s="122" t="s">
        <v>1449</v>
      </c>
      <c r="B343" s="122" t="s">
        <v>1437</v>
      </c>
      <c r="C343" s="122" t="s">
        <v>1439</v>
      </c>
      <c r="D343" s="122" t="s">
        <v>1452</v>
      </c>
      <c r="E343" s="312">
        <v>41467</v>
      </c>
      <c r="F343" s="311">
        <v>0.46527777777777773</v>
      </c>
      <c r="G343" s="202">
        <v>5</v>
      </c>
      <c r="H343" s="202">
        <v>4230</v>
      </c>
    </row>
    <row r="344" spans="1:8" hidden="1">
      <c r="A344" s="122" t="s">
        <v>1449</v>
      </c>
      <c r="B344" s="122" t="s">
        <v>1458</v>
      </c>
      <c r="C344" s="122" t="s">
        <v>1436</v>
      </c>
      <c r="D344" s="122" t="s">
        <v>1453</v>
      </c>
      <c r="E344" s="312">
        <v>41617</v>
      </c>
      <c r="F344" s="311">
        <v>0.56944444444444442</v>
      </c>
      <c r="G344" s="202">
        <v>6</v>
      </c>
      <c r="H344" s="202">
        <v>2052</v>
      </c>
    </row>
    <row r="345" spans="1:8" hidden="1">
      <c r="A345" s="122" t="s">
        <v>1448</v>
      </c>
      <c r="B345" s="122" t="s">
        <v>1437</v>
      </c>
      <c r="C345" s="122" t="s">
        <v>1441</v>
      </c>
      <c r="D345" s="122" t="s">
        <v>1453</v>
      </c>
      <c r="E345" s="312">
        <v>41373</v>
      </c>
      <c r="F345" s="311">
        <v>0.46875</v>
      </c>
      <c r="G345" s="202">
        <v>12</v>
      </c>
      <c r="H345" s="202">
        <v>19584</v>
      </c>
    </row>
    <row r="346" spans="1:8" hidden="1">
      <c r="A346" s="122" t="s">
        <v>3138</v>
      </c>
      <c r="B346" s="122" t="s">
        <v>1460</v>
      </c>
      <c r="C346" s="122" t="s">
        <v>1441</v>
      </c>
      <c r="D346" s="122" t="s">
        <v>1450</v>
      </c>
      <c r="E346" s="312">
        <v>41082</v>
      </c>
      <c r="F346" s="311">
        <v>0.59027777777777779</v>
      </c>
      <c r="G346" s="202">
        <v>14</v>
      </c>
      <c r="H346" s="202">
        <v>10276</v>
      </c>
    </row>
    <row r="347" spans="1:8" hidden="1">
      <c r="A347" s="122" t="s">
        <v>1474</v>
      </c>
      <c r="B347" s="122" t="s">
        <v>1457</v>
      </c>
      <c r="C347" s="122" t="s">
        <v>1441</v>
      </c>
      <c r="D347" s="122" t="s">
        <v>1453</v>
      </c>
      <c r="E347" s="312">
        <v>41466</v>
      </c>
      <c r="F347" s="311">
        <v>0.44097222222222221</v>
      </c>
      <c r="G347" s="202">
        <v>12</v>
      </c>
      <c r="H347" s="202">
        <v>7152</v>
      </c>
    </row>
    <row r="348" spans="1:8">
      <c r="A348" s="122" t="s">
        <v>1454</v>
      </c>
      <c r="B348" s="122" t="s">
        <v>1458</v>
      </c>
      <c r="C348" s="122" t="s">
        <v>1441</v>
      </c>
      <c r="D348" s="122" t="s">
        <v>1453</v>
      </c>
      <c r="E348" s="312">
        <v>41409</v>
      </c>
      <c r="F348" s="311">
        <v>0.38194444444444442</v>
      </c>
      <c r="G348" s="202">
        <v>6</v>
      </c>
      <c r="H348" s="202">
        <v>1860</v>
      </c>
    </row>
    <row r="349" spans="1:8">
      <c r="A349" s="122" t="s">
        <v>1454</v>
      </c>
      <c r="B349" s="122" t="s">
        <v>1460</v>
      </c>
      <c r="C349" s="122" t="s">
        <v>1441</v>
      </c>
      <c r="D349" s="122" t="s">
        <v>1452</v>
      </c>
      <c r="E349" s="312">
        <v>41290</v>
      </c>
      <c r="F349" s="311">
        <v>0.74305555555555547</v>
      </c>
      <c r="G349" s="202">
        <v>10</v>
      </c>
      <c r="H349" s="202">
        <v>6350</v>
      </c>
    </row>
    <row r="350" spans="1:8" hidden="1">
      <c r="A350" s="122" t="s">
        <v>1448</v>
      </c>
      <c r="B350" s="122" t="s">
        <v>1437</v>
      </c>
      <c r="C350" s="122" t="s">
        <v>1441</v>
      </c>
      <c r="D350" s="122" t="s">
        <v>1435</v>
      </c>
      <c r="E350" s="312">
        <v>40991</v>
      </c>
      <c r="F350" s="311">
        <v>0.39930555555555552</v>
      </c>
      <c r="G350" s="202">
        <v>20</v>
      </c>
      <c r="H350" s="202">
        <v>34360</v>
      </c>
    </row>
    <row r="351" spans="1:8" hidden="1">
      <c r="A351" s="122" t="s">
        <v>1438</v>
      </c>
      <c r="B351" s="122" t="s">
        <v>1459</v>
      </c>
      <c r="C351" s="122" t="s">
        <v>1441</v>
      </c>
      <c r="D351" s="122" t="s">
        <v>1452</v>
      </c>
      <c r="E351" s="312">
        <v>41466</v>
      </c>
      <c r="F351" s="311">
        <v>0.53819444444444442</v>
      </c>
      <c r="G351" s="202">
        <v>2</v>
      </c>
      <c r="H351" s="202">
        <v>848</v>
      </c>
    </row>
    <row r="352" spans="1:8" hidden="1">
      <c r="A352" s="122" t="s">
        <v>1454</v>
      </c>
      <c r="B352" s="122" t="s">
        <v>1460</v>
      </c>
      <c r="C352" s="122" t="s">
        <v>1441</v>
      </c>
      <c r="D352" s="122" t="s">
        <v>1450</v>
      </c>
      <c r="E352" s="312">
        <v>41331</v>
      </c>
      <c r="F352" s="311">
        <v>0.625</v>
      </c>
      <c r="G352" s="202">
        <v>13</v>
      </c>
      <c r="H352" s="202">
        <v>6331</v>
      </c>
    </row>
    <row r="353" spans="1:8" hidden="1">
      <c r="A353" s="122" t="s">
        <v>1438</v>
      </c>
      <c r="B353" s="122" t="s">
        <v>1437</v>
      </c>
      <c r="C353" s="122" t="s">
        <v>1436</v>
      </c>
      <c r="D353" s="122" t="s">
        <v>1450</v>
      </c>
      <c r="E353" s="312">
        <v>41226</v>
      </c>
      <c r="F353" s="311">
        <v>0.53125</v>
      </c>
      <c r="G353" s="202">
        <v>3</v>
      </c>
      <c r="H353" s="202">
        <v>3615</v>
      </c>
    </row>
    <row r="354" spans="1:8" hidden="1">
      <c r="A354" s="122" t="s">
        <v>1456</v>
      </c>
      <c r="B354" s="122" t="s">
        <v>1460</v>
      </c>
      <c r="C354" s="122" t="s">
        <v>1441</v>
      </c>
      <c r="D354" s="122" t="s">
        <v>1455</v>
      </c>
      <c r="E354" s="312">
        <v>41576</v>
      </c>
      <c r="F354" s="311">
        <v>0.71875</v>
      </c>
      <c r="G354" s="202">
        <v>7</v>
      </c>
      <c r="H354" s="202">
        <v>5383</v>
      </c>
    </row>
    <row r="355" spans="1:8" hidden="1">
      <c r="A355" s="122" t="s">
        <v>1448</v>
      </c>
      <c r="B355" s="122" t="s">
        <v>1458</v>
      </c>
      <c r="C355" s="122" t="s">
        <v>1445</v>
      </c>
      <c r="D355" s="122" t="s">
        <v>1450</v>
      </c>
      <c r="E355" s="312">
        <v>41229</v>
      </c>
      <c r="F355" s="311">
        <v>0.73611111111111105</v>
      </c>
      <c r="G355" s="202">
        <v>3</v>
      </c>
      <c r="H355" s="202">
        <v>1521</v>
      </c>
    </row>
    <row r="356" spans="1:8">
      <c r="A356" s="122" t="s">
        <v>1438</v>
      </c>
      <c r="B356" s="122" t="s">
        <v>1457</v>
      </c>
      <c r="C356" s="122" t="s">
        <v>1436</v>
      </c>
      <c r="D356" s="122" t="s">
        <v>1455</v>
      </c>
      <c r="E356" s="312">
        <v>41465</v>
      </c>
      <c r="F356" s="311">
        <v>0.61805555555555547</v>
      </c>
      <c r="G356" s="202">
        <v>15</v>
      </c>
      <c r="H356" s="202">
        <v>12765</v>
      </c>
    </row>
    <row r="357" spans="1:8">
      <c r="A357" s="122" t="s">
        <v>1476</v>
      </c>
      <c r="B357" s="122" t="s">
        <v>1458</v>
      </c>
      <c r="C357" s="122" t="s">
        <v>1445</v>
      </c>
      <c r="D357" s="122" t="s">
        <v>1453</v>
      </c>
      <c r="E357" s="312">
        <v>41465</v>
      </c>
      <c r="F357" s="311">
        <v>0.70833333333333326</v>
      </c>
      <c r="G357" s="202">
        <v>4</v>
      </c>
      <c r="H357" s="202">
        <v>1360</v>
      </c>
    </row>
    <row r="358" spans="1:8" hidden="1">
      <c r="A358" s="122" t="s">
        <v>1472</v>
      </c>
      <c r="B358" s="122" t="s">
        <v>1459</v>
      </c>
      <c r="C358" s="122" t="s">
        <v>1439</v>
      </c>
      <c r="D358" s="122" t="s">
        <v>1453</v>
      </c>
      <c r="E358" s="312">
        <v>41579</v>
      </c>
      <c r="F358" s="311">
        <v>0.65972222222222221</v>
      </c>
      <c r="G358" s="202">
        <v>6</v>
      </c>
      <c r="H358" s="202">
        <v>5376</v>
      </c>
    </row>
    <row r="359" spans="1:8" hidden="1">
      <c r="A359" s="122" t="s">
        <v>3138</v>
      </c>
      <c r="B359" s="122" t="s">
        <v>1437</v>
      </c>
      <c r="C359" s="122" t="s">
        <v>1445</v>
      </c>
      <c r="D359" s="122" t="s">
        <v>1453</v>
      </c>
      <c r="E359" s="312">
        <v>40983</v>
      </c>
      <c r="F359" s="311">
        <v>0.74652777777777779</v>
      </c>
      <c r="G359" s="202">
        <v>1</v>
      </c>
      <c r="H359" s="202">
        <v>1775</v>
      </c>
    </row>
    <row r="360" spans="1:8" hidden="1">
      <c r="A360" s="122" t="s">
        <v>1438</v>
      </c>
      <c r="B360" s="122" t="s">
        <v>1457</v>
      </c>
      <c r="C360" s="122" t="s">
        <v>1445</v>
      </c>
      <c r="D360" s="122" t="s">
        <v>1452</v>
      </c>
      <c r="E360" s="312">
        <v>41058</v>
      </c>
      <c r="F360" s="311">
        <v>0.65972222222222221</v>
      </c>
      <c r="G360" s="202">
        <v>12</v>
      </c>
      <c r="H360" s="202">
        <v>7608</v>
      </c>
    </row>
    <row r="361" spans="1:8" hidden="1">
      <c r="A361" s="122" t="s">
        <v>1438</v>
      </c>
      <c r="B361" s="122" t="s">
        <v>1458</v>
      </c>
      <c r="C361" s="122" t="s">
        <v>1436</v>
      </c>
      <c r="D361" s="122" t="s">
        <v>1455</v>
      </c>
      <c r="E361" s="312">
        <v>41414</v>
      </c>
      <c r="F361" s="311">
        <v>0.72222222222222221</v>
      </c>
      <c r="G361" s="202">
        <v>14</v>
      </c>
      <c r="H361" s="202">
        <v>7490</v>
      </c>
    </row>
    <row r="362" spans="1:8" hidden="1">
      <c r="A362" s="122" t="s">
        <v>1472</v>
      </c>
      <c r="B362" s="122" t="s">
        <v>1459</v>
      </c>
      <c r="C362" s="122" t="s">
        <v>1441</v>
      </c>
      <c r="D362" s="122" t="s">
        <v>1450</v>
      </c>
      <c r="E362" s="312">
        <v>41414</v>
      </c>
      <c r="F362" s="311">
        <v>0.73263888888888884</v>
      </c>
      <c r="G362" s="202">
        <v>10</v>
      </c>
      <c r="H362" s="202">
        <v>5930</v>
      </c>
    </row>
    <row r="363" spans="1:8" hidden="1">
      <c r="A363" s="122" t="s">
        <v>1472</v>
      </c>
      <c r="B363" s="122" t="s">
        <v>1458</v>
      </c>
      <c r="C363" s="122" t="s">
        <v>1441</v>
      </c>
      <c r="D363" s="122" t="s">
        <v>1435</v>
      </c>
      <c r="E363" s="312">
        <v>41615</v>
      </c>
      <c r="F363" s="311">
        <v>0.38888888888888884</v>
      </c>
      <c r="G363" s="202">
        <v>6</v>
      </c>
      <c r="H363" s="202">
        <v>2046</v>
      </c>
    </row>
    <row r="364" spans="1:8" hidden="1">
      <c r="A364" s="122" t="s">
        <v>1456</v>
      </c>
      <c r="B364" s="122" t="s">
        <v>1457</v>
      </c>
      <c r="C364" s="122" t="s">
        <v>1436</v>
      </c>
      <c r="D364" s="122" t="s">
        <v>1455</v>
      </c>
      <c r="E364" s="312">
        <v>41051</v>
      </c>
      <c r="F364" s="311">
        <v>0.40277777777777773</v>
      </c>
      <c r="G364" s="202">
        <v>1</v>
      </c>
      <c r="H364" s="202">
        <v>1466</v>
      </c>
    </row>
    <row r="365" spans="1:8" hidden="1">
      <c r="A365" s="122" t="s">
        <v>1443</v>
      </c>
      <c r="B365" s="122" t="s">
        <v>1457</v>
      </c>
      <c r="C365" s="122" t="s">
        <v>1445</v>
      </c>
      <c r="D365" s="122" t="s">
        <v>1453</v>
      </c>
      <c r="E365" s="312">
        <v>41583</v>
      </c>
      <c r="F365" s="311">
        <v>0.34722222222222221</v>
      </c>
      <c r="G365" s="202">
        <v>1</v>
      </c>
      <c r="H365" s="202">
        <v>718</v>
      </c>
    </row>
    <row r="366" spans="1:8" hidden="1">
      <c r="A366" s="122" t="s">
        <v>1443</v>
      </c>
      <c r="B366" s="122" t="s">
        <v>1437</v>
      </c>
      <c r="C366" s="122" t="s">
        <v>1439</v>
      </c>
      <c r="D366" s="122" t="s">
        <v>1455</v>
      </c>
      <c r="E366" s="312">
        <v>41198</v>
      </c>
      <c r="F366" s="311">
        <v>0.70138888888888884</v>
      </c>
      <c r="G366" s="202">
        <v>7</v>
      </c>
      <c r="H366" s="202">
        <v>12467</v>
      </c>
    </row>
    <row r="367" spans="1:8" hidden="1">
      <c r="A367" s="122" t="s">
        <v>1448</v>
      </c>
      <c r="B367" s="122" t="s">
        <v>1437</v>
      </c>
      <c r="C367" s="122" t="s">
        <v>1441</v>
      </c>
      <c r="D367" s="122" t="s">
        <v>1450</v>
      </c>
      <c r="E367" s="312">
        <v>41330</v>
      </c>
      <c r="F367" s="311">
        <v>0.48958333333333331</v>
      </c>
      <c r="G367" s="202">
        <v>12</v>
      </c>
      <c r="H367" s="202">
        <v>18720</v>
      </c>
    </row>
    <row r="368" spans="1:8" hidden="1">
      <c r="A368" s="122" t="s">
        <v>1454</v>
      </c>
      <c r="B368" s="122" t="s">
        <v>1460</v>
      </c>
      <c r="C368" s="122" t="s">
        <v>1436</v>
      </c>
      <c r="D368" s="122" t="s">
        <v>1435</v>
      </c>
      <c r="E368" s="312">
        <v>41341</v>
      </c>
      <c r="F368" s="311">
        <v>0.72916666666666663</v>
      </c>
      <c r="G368" s="202">
        <v>9</v>
      </c>
      <c r="H368" s="202">
        <v>4644</v>
      </c>
    </row>
    <row r="369" spans="1:8" hidden="1">
      <c r="A369" s="122" t="s">
        <v>1447</v>
      </c>
      <c r="B369" s="122" t="s">
        <v>1459</v>
      </c>
      <c r="C369" s="122" t="s">
        <v>1445</v>
      </c>
      <c r="D369" s="122" t="s">
        <v>1453</v>
      </c>
      <c r="E369" s="312">
        <v>41310</v>
      </c>
      <c r="F369" s="311">
        <v>0.46527777777777773</v>
      </c>
      <c r="G369" s="202">
        <v>7</v>
      </c>
      <c r="H369" s="202">
        <v>2716</v>
      </c>
    </row>
    <row r="370" spans="1:8" hidden="1">
      <c r="A370" s="122" t="s">
        <v>1472</v>
      </c>
      <c r="B370" s="122" t="s">
        <v>1457</v>
      </c>
      <c r="C370" s="122" t="s">
        <v>1445</v>
      </c>
      <c r="D370" s="122" t="s">
        <v>1452</v>
      </c>
      <c r="E370" s="312">
        <v>41464</v>
      </c>
      <c r="F370" s="311">
        <v>0.59375</v>
      </c>
      <c r="G370" s="202">
        <v>8</v>
      </c>
      <c r="H370" s="202">
        <v>7616</v>
      </c>
    </row>
    <row r="371" spans="1:8" hidden="1">
      <c r="A371" s="122" t="s">
        <v>1449</v>
      </c>
      <c r="B371" s="122" t="s">
        <v>1458</v>
      </c>
      <c r="C371" s="122" t="s">
        <v>1441</v>
      </c>
      <c r="D371" s="122" t="s">
        <v>1435</v>
      </c>
      <c r="E371" s="312">
        <v>41051</v>
      </c>
      <c r="F371" s="311">
        <v>0.36458333333333331</v>
      </c>
      <c r="G371" s="202">
        <v>6</v>
      </c>
      <c r="H371" s="202">
        <v>3876</v>
      </c>
    </row>
    <row r="372" spans="1:8" hidden="1">
      <c r="A372" s="122" t="s">
        <v>1476</v>
      </c>
      <c r="B372" s="122" t="s">
        <v>1437</v>
      </c>
      <c r="C372" s="122" t="s">
        <v>1445</v>
      </c>
      <c r="D372" s="122" t="s">
        <v>1455</v>
      </c>
      <c r="E372" s="312">
        <v>41428</v>
      </c>
      <c r="F372" s="311">
        <v>0.68402777777777779</v>
      </c>
      <c r="G372" s="202">
        <v>7</v>
      </c>
      <c r="H372" s="202">
        <v>12033</v>
      </c>
    </row>
    <row r="373" spans="1:8">
      <c r="A373" s="122" t="s">
        <v>1472</v>
      </c>
      <c r="B373" s="122" t="s">
        <v>1459</v>
      </c>
      <c r="C373" s="122" t="s">
        <v>1445</v>
      </c>
      <c r="D373" s="122" t="s">
        <v>1453</v>
      </c>
      <c r="E373" s="312">
        <v>41360</v>
      </c>
      <c r="F373" s="311">
        <v>0.46875</v>
      </c>
      <c r="G373" s="202">
        <v>4</v>
      </c>
      <c r="H373" s="202">
        <v>2392</v>
      </c>
    </row>
    <row r="374" spans="1:8" hidden="1">
      <c r="A374" s="122" t="s">
        <v>1454</v>
      </c>
      <c r="B374" s="122" t="s">
        <v>1460</v>
      </c>
      <c r="C374" s="122" t="s">
        <v>1441</v>
      </c>
      <c r="D374" s="122" t="s">
        <v>1452</v>
      </c>
      <c r="E374" s="312">
        <v>40988</v>
      </c>
      <c r="F374" s="311">
        <v>0.41319444444444442</v>
      </c>
      <c r="G374" s="202">
        <v>8</v>
      </c>
      <c r="H374" s="202">
        <v>5616</v>
      </c>
    </row>
    <row r="375" spans="1:8" hidden="1">
      <c r="A375" s="122" t="s">
        <v>1438</v>
      </c>
      <c r="B375" s="122" t="s">
        <v>1457</v>
      </c>
      <c r="C375" s="122" t="s">
        <v>1441</v>
      </c>
      <c r="D375" s="122" t="s">
        <v>1452</v>
      </c>
      <c r="E375" s="312">
        <v>41464</v>
      </c>
      <c r="F375" s="311">
        <v>0.52430555555555558</v>
      </c>
      <c r="G375" s="202">
        <v>12</v>
      </c>
      <c r="H375" s="202">
        <v>6396</v>
      </c>
    </row>
    <row r="376" spans="1:8" hidden="1">
      <c r="A376" s="122" t="s">
        <v>1448</v>
      </c>
      <c r="B376" s="122" t="s">
        <v>1437</v>
      </c>
      <c r="C376" s="122" t="s">
        <v>1439</v>
      </c>
      <c r="D376" s="122" t="s">
        <v>1455</v>
      </c>
      <c r="E376" s="312">
        <v>41300</v>
      </c>
      <c r="F376" s="311">
        <v>0.63194444444444442</v>
      </c>
      <c r="G376" s="202">
        <v>15</v>
      </c>
      <c r="H376" s="202">
        <v>6240</v>
      </c>
    </row>
    <row r="377" spans="1:8" hidden="1">
      <c r="A377" s="122" t="s">
        <v>1443</v>
      </c>
      <c r="B377" s="122" t="s">
        <v>1460</v>
      </c>
      <c r="C377" s="122" t="s">
        <v>1439</v>
      </c>
      <c r="D377" s="122" t="s">
        <v>1453</v>
      </c>
      <c r="E377" s="312">
        <v>40953</v>
      </c>
      <c r="F377" s="311">
        <v>0.59722222222222221</v>
      </c>
      <c r="G377" s="202">
        <v>5</v>
      </c>
      <c r="H377" s="313">
        <v>2910</v>
      </c>
    </row>
    <row r="378" spans="1:8" hidden="1">
      <c r="A378" s="122" t="s">
        <v>1476</v>
      </c>
      <c r="B378" s="122" t="s">
        <v>1457</v>
      </c>
      <c r="C378" s="122" t="s">
        <v>1441</v>
      </c>
      <c r="D378" s="122" t="s">
        <v>1450</v>
      </c>
      <c r="E378" s="312">
        <v>41464</v>
      </c>
      <c r="F378" s="311">
        <v>0.65277777777777779</v>
      </c>
      <c r="G378" s="202">
        <v>3</v>
      </c>
      <c r="H378" s="202">
        <v>1767</v>
      </c>
    </row>
    <row r="379" spans="1:8" hidden="1">
      <c r="A379" s="122" t="s">
        <v>1443</v>
      </c>
      <c r="B379" s="122" t="s">
        <v>1437</v>
      </c>
      <c r="C379" s="122" t="s">
        <v>1439</v>
      </c>
      <c r="D379" s="122" t="s">
        <v>1435</v>
      </c>
      <c r="E379" s="312">
        <v>41240</v>
      </c>
      <c r="F379" s="311">
        <v>0.60763888888888884</v>
      </c>
      <c r="G379" s="202">
        <v>13</v>
      </c>
      <c r="H379" s="202">
        <v>19448</v>
      </c>
    </row>
    <row r="380" spans="1:8" hidden="1">
      <c r="A380" s="122" t="s">
        <v>1449</v>
      </c>
      <c r="B380" s="122" t="s">
        <v>1437</v>
      </c>
      <c r="C380" s="122" t="s">
        <v>1436</v>
      </c>
      <c r="D380" s="122" t="s">
        <v>1452</v>
      </c>
      <c r="E380" s="312">
        <v>41400</v>
      </c>
      <c r="F380" s="311">
        <v>0.4548611111111111</v>
      </c>
      <c r="G380" s="202">
        <v>5</v>
      </c>
      <c r="H380" s="202">
        <v>6530</v>
      </c>
    </row>
    <row r="381" spans="1:8" hidden="1">
      <c r="A381" s="122" t="s">
        <v>1454</v>
      </c>
      <c r="B381" s="122" t="s">
        <v>1458</v>
      </c>
      <c r="C381" s="122" t="s">
        <v>1441</v>
      </c>
      <c r="D381" s="122" t="s">
        <v>1435</v>
      </c>
      <c r="E381" s="312">
        <v>41461</v>
      </c>
      <c r="F381" s="311">
        <v>0.34027777777777773</v>
      </c>
      <c r="G381" s="202">
        <v>13</v>
      </c>
      <c r="H381" s="202">
        <v>4459</v>
      </c>
    </row>
    <row r="382" spans="1:8" hidden="1">
      <c r="A382" s="122" t="s">
        <v>1444</v>
      </c>
      <c r="B382" s="122" t="s">
        <v>1460</v>
      </c>
      <c r="C382" s="122" t="s">
        <v>1441</v>
      </c>
      <c r="D382" s="122" t="s">
        <v>1452</v>
      </c>
      <c r="E382" s="312">
        <v>41460</v>
      </c>
      <c r="F382" s="311">
        <v>0.45833333333333331</v>
      </c>
      <c r="G382" s="202">
        <v>7</v>
      </c>
      <c r="H382" s="202">
        <v>5040</v>
      </c>
    </row>
    <row r="383" spans="1:8" hidden="1">
      <c r="A383" s="122" t="s">
        <v>1447</v>
      </c>
      <c r="B383" s="122" t="s">
        <v>1460</v>
      </c>
      <c r="C383" s="122" t="s">
        <v>1439</v>
      </c>
      <c r="D383" s="122" t="s">
        <v>1453</v>
      </c>
      <c r="E383" s="312">
        <v>40945</v>
      </c>
      <c r="F383" s="311">
        <v>0.67708333333333326</v>
      </c>
      <c r="G383" s="202">
        <v>4</v>
      </c>
      <c r="H383" s="313">
        <v>2656</v>
      </c>
    </row>
    <row r="384" spans="1:8" hidden="1">
      <c r="A384" s="122" t="s">
        <v>1456</v>
      </c>
      <c r="B384" s="122" t="s">
        <v>1458</v>
      </c>
      <c r="C384" s="122" t="s">
        <v>1441</v>
      </c>
      <c r="D384" s="122" t="s">
        <v>1452</v>
      </c>
      <c r="E384" s="312">
        <v>41460</v>
      </c>
      <c r="F384" s="311">
        <v>0.72569444444444442</v>
      </c>
      <c r="G384" s="202">
        <v>4</v>
      </c>
      <c r="H384" s="202">
        <v>2292</v>
      </c>
    </row>
    <row r="385" spans="1:8" hidden="1">
      <c r="A385" s="122" t="s">
        <v>1448</v>
      </c>
      <c r="B385" s="122" t="s">
        <v>1458</v>
      </c>
      <c r="C385" s="122" t="s">
        <v>1445</v>
      </c>
      <c r="D385" s="122" t="s">
        <v>1452</v>
      </c>
      <c r="E385" s="312">
        <v>41566</v>
      </c>
      <c r="F385" s="311">
        <v>0.70138888888888884</v>
      </c>
      <c r="G385" s="202">
        <v>1</v>
      </c>
      <c r="H385" s="202">
        <v>569</v>
      </c>
    </row>
    <row r="386" spans="1:8" hidden="1">
      <c r="A386" s="122" t="s">
        <v>1443</v>
      </c>
      <c r="B386" s="122" t="s">
        <v>1457</v>
      </c>
      <c r="C386" s="122" t="s">
        <v>1441</v>
      </c>
      <c r="D386" s="122" t="s">
        <v>1453</v>
      </c>
      <c r="E386" s="312">
        <v>41569</v>
      </c>
      <c r="F386" s="311">
        <v>0.62152777777777779</v>
      </c>
      <c r="G386" s="202">
        <v>8</v>
      </c>
      <c r="H386" s="202">
        <v>6816</v>
      </c>
    </row>
    <row r="387" spans="1:8" hidden="1">
      <c r="A387" s="122" t="s">
        <v>1444</v>
      </c>
      <c r="B387" s="122" t="s">
        <v>1460</v>
      </c>
      <c r="C387" s="122" t="s">
        <v>1441</v>
      </c>
      <c r="D387" s="122" t="s">
        <v>1450</v>
      </c>
      <c r="E387" s="312">
        <v>41321</v>
      </c>
      <c r="F387" s="311">
        <v>0.71875</v>
      </c>
      <c r="G387" s="202">
        <v>13</v>
      </c>
      <c r="H387" s="202">
        <v>9659</v>
      </c>
    </row>
    <row r="388" spans="1:8" hidden="1">
      <c r="A388" s="122" t="s">
        <v>1449</v>
      </c>
      <c r="B388" s="122" t="s">
        <v>1437</v>
      </c>
      <c r="C388" s="122" t="s">
        <v>1439</v>
      </c>
      <c r="D388" s="122" t="s">
        <v>1435</v>
      </c>
      <c r="E388" s="312">
        <v>41566</v>
      </c>
      <c r="F388" s="311">
        <v>0.72916666666666663</v>
      </c>
      <c r="G388" s="202">
        <v>18</v>
      </c>
      <c r="H388" s="202">
        <v>26334</v>
      </c>
    </row>
    <row r="389" spans="1:8" hidden="1">
      <c r="A389" s="122" t="s">
        <v>1472</v>
      </c>
      <c r="B389" s="122" t="s">
        <v>1460</v>
      </c>
      <c r="C389" s="122" t="s">
        <v>1439</v>
      </c>
      <c r="D389" s="122" t="s">
        <v>1453</v>
      </c>
      <c r="E389" s="312">
        <v>41408</v>
      </c>
      <c r="F389" s="311">
        <v>0.53819444444444442</v>
      </c>
      <c r="G389" s="202">
        <v>13</v>
      </c>
      <c r="H389" s="202">
        <v>6370</v>
      </c>
    </row>
    <row r="390" spans="1:8" hidden="1">
      <c r="A390" s="122" t="s">
        <v>1456</v>
      </c>
      <c r="B390" s="122" t="s">
        <v>1459</v>
      </c>
      <c r="C390" s="122" t="s">
        <v>1436</v>
      </c>
      <c r="D390" s="122" t="s">
        <v>1435</v>
      </c>
      <c r="E390" s="312">
        <v>41459</v>
      </c>
      <c r="F390" s="311">
        <v>0.68402777777777779</v>
      </c>
      <c r="G390" s="202">
        <v>9</v>
      </c>
      <c r="H390" s="202">
        <v>7344</v>
      </c>
    </row>
    <row r="391" spans="1:8" hidden="1">
      <c r="A391" s="122" t="s">
        <v>1456</v>
      </c>
      <c r="B391" s="122" t="s">
        <v>1458</v>
      </c>
      <c r="C391" s="122" t="s">
        <v>1445</v>
      </c>
      <c r="D391" s="122" t="s">
        <v>1455</v>
      </c>
      <c r="E391" s="312">
        <v>41572</v>
      </c>
      <c r="F391" s="311">
        <v>0.65277777777777779</v>
      </c>
      <c r="G391" s="202">
        <v>2</v>
      </c>
      <c r="H391" s="202">
        <v>1352</v>
      </c>
    </row>
    <row r="392" spans="1:8" hidden="1">
      <c r="A392" s="122" t="s">
        <v>1476</v>
      </c>
      <c r="B392" s="122" t="s">
        <v>1457</v>
      </c>
      <c r="C392" s="122" t="s">
        <v>1441</v>
      </c>
      <c r="D392" s="122" t="s">
        <v>1435</v>
      </c>
      <c r="E392" s="312">
        <v>41226</v>
      </c>
      <c r="F392" s="311">
        <v>0.66666666666666663</v>
      </c>
      <c r="G392" s="202">
        <v>13</v>
      </c>
      <c r="H392" s="202">
        <v>6682</v>
      </c>
    </row>
    <row r="393" spans="1:8" hidden="1">
      <c r="A393" s="122" t="s">
        <v>1454</v>
      </c>
      <c r="B393" s="122" t="s">
        <v>1437</v>
      </c>
      <c r="C393" s="122" t="s">
        <v>1441</v>
      </c>
      <c r="D393" s="122" t="s">
        <v>1452</v>
      </c>
      <c r="E393" s="312">
        <v>41236</v>
      </c>
      <c r="F393" s="311">
        <v>0.39930555555555552</v>
      </c>
      <c r="G393" s="202">
        <v>12</v>
      </c>
      <c r="H393" s="202">
        <v>6780</v>
      </c>
    </row>
    <row r="394" spans="1:8">
      <c r="A394" s="122" t="s">
        <v>1438</v>
      </c>
      <c r="B394" s="122" t="s">
        <v>1437</v>
      </c>
      <c r="C394" s="122" t="s">
        <v>1445</v>
      </c>
      <c r="D394" s="122" t="s">
        <v>1452</v>
      </c>
      <c r="E394" s="312">
        <v>41227</v>
      </c>
      <c r="F394" s="311">
        <v>0.38541666666666663</v>
      </c>
      <c r="G394" s="202">
        <v>7</v>
      </c>
      <c r="H394" s="202">
        <v>8288</v>
      </c>
    </row>
    <row r="395" spans="1:8" hidden="1">
      <c r="A395" s="122" t="s">
        <v>1472</v>
      </c>
      <c r="B395" s="122" t="s">
        <v>1459</v>
      </c>
      <c r="C395" s="122" t="s">
        <v>1436</v>
      </c>
      <c r="D395" s="122" t="s">
        <v>1452</v>
      </c>
      <c r="E395" s="312">
        <v>41459</v>
      </c>
      <c r="F395" s="311">
        <v>0.69791666666666663</v>
      </c>
      <c r="G395" s="202">
        <v>6</v>
      </c>
      <c r="H395" s="202">
        <v>5388</v>
      </c>
    </row>
    <row r="396" spans="1:8">
      <c r="A396" s="122" t="s">
        <v>1444</v>
      </c>
      <c r="B396" s="122" t="s">
        <v>1458</v>
      </c>
      <c r="C396" s="122" t="s">
        <v>1439</v>
      </c>
      <c r="D396" s="122" t="s">
        <v>1453</v>
      </c>
      <c r="E396" s="312">
        <v>41395</v>
      </c>
      <c r="F396" s="311">
        <v>0.45138888888888884</v>
      </c>
      <c r="G396" s="202">
        <v>3</v>
      </c>
      <c r="H396" s="202">
        <v>1956</v>
      </c>
    </row>
    <row r="397" spans="1:8" hidden="1">
      <c r="A397" s="122" t="s">
        <v>1447</v>
      </c>
      <c r="B397" s="122" t="s">
        <v>1460</v>
      </c>
      <c r="C397" s="122" t="s">
        <v>1436</v>
      </c>
      <c r="D397" s="122" t="s">
        <v>1452</v>
      </c>
      <c r="E397" s="312">
        <v>40935</v>
      </c>
      <c r="F397" s="311">
        <v>0.68402777777777779</v>
      </c>
      <c r="G397" s="202">
        <v>7</v>
      </c>
      <c r="H397" s="313">
        <v>4984</v>
      </c>
    </row>
    <row r="398" spans="1:8" hidden="1">
      <c r="A398" s="122" t="s">
        <v>1447</v>
      </c>
      <c r="B398" s="122" t="s">
        <v>1457</v>
      </c>
      <c r="C398" s="122" t="s">
        <v>1436</v>
      </c>
      <c r="D398" s="122" t="s">
        <v>1453</v>
      </c>
      <c r="E398" s="312">
        <v>41191</v>
      </c>
      <c r="F398" s="311">
        <v>0.60069444444444442</v>
      </c>
      <c r="G398" s="202">
        <v>2</v>
      </c>
      <c r="H398" s="202">
        <v>2636</v>
      </c>
    </row>
    <row r="399" spans="1:8" hidden="1">
      <c r="A399" s="122" t="s">
        <v>1448</v>
      </c>
      <c r="B399" s="122" t="s">
        <v>1460</v>
      </c>
      <c r="C399" s="122" t="s">
        <v>1439</v>
      </c>
      <c r="D399" s="122" t="s">
        <v>1450</v>
      </c>
      <c r="E399" s="312">
        <v>41082</v>
      </c>
      <c r="F399" s="311">
        <v>0.67708333333333326</v>
      </c>
      <c r="G399" s="202">
        <v>15</v>
      </c>
      <c r="H399" s="202">
        <v>12285</v>
      </c>
    </row>
    <row r="400" spans="1:8" hidden="1">
      <c r="A400" s="122" t="s">
        <v>1476</v>
      </c>
      <c r="B400" s="122" t="s">
        <v>1437</v>
      </c>
      <c r="C400" s="122" t="s">
        <v>1439</v>
      </c>
      <c r="D400" s="122" t="s">
        <v>1453</v>
      </c>
      <c r="E400" s="312">
        <v>41050</v>
      </c>
      <c r="F400" s="311">
        <v>0.57291666666666663</v>
      </c>
      <c r="G400" s="202">
        <v>3</v>
      </c>
      <c r="H400" s="202">
        <v>4812</v>
      </c>
    </row>
    <row r="401" spans="1:8">
      <c r="A401" s="122" t="s">
        <v>3138</v>
      </c>
      <c r="B401" s="122" t="s">
        <v>1459</v>
      </c>
      <c r="C401" s="122" t="s">
        <v>1441</v>
      </c>
      <c r="D401" s="122" t="s">
        <v>1435</v>
      </c>
      <c r="E401" s="312">
        <v>41458</v>
      </c>
      <c r="F401" s="311">
        <v>0.4861111111111111</v>
      </c>
      <c r="G401" s="202">
        <v>6</v>
      </c>
      <c r="H401" s="202">
        <v>4680</v>
      </c>
    </row>
    <row r="402" spans="1:8" hidden="1">
      <c r="A402" s="122" t="s">
        <v>1449</v>
      </c>
      <c r="B402" s="122" t="s">
        <v>1457</v>
      </c>
      <c r="C402" s="122" t="s">
        <v>1445</v>
      </c>
      <c r="D402" s="122" t="s">
        <v>1453</v>
      </c>
      <c r="E402" s="312">
        <v>40942</v>
      </c>
      <c r="F402" s="311">
        <v>0.48958333333333331</v>
      </c>
      <c r="G402" s="202">
        <v>9</v>
      </c>
      <c r="H402" s="313">
        <v>7470</v>
      </c>
    </row>
    <row r="403" spans="1:8" hidden="1">
      <c r="A403" s="122" t="s">
        <v>1476</v>
      </c>
      <c r="B403" s="122" t="s">
        <v>1458</v>
      </c>
      <c r="C403" s="122" t="s">
        <v>1436</v>
      </c>
      <c r="D403" s="122" t="s">
        <v>1450</v>
      </c>
      <c r="E403" s="312">
        <v>41281</v>
      </c>
      <c r="F403" s="311">
        <v>0.47222222222222221</v>
      </c>
      <c r="G403" s="202">
        <v>1</v>
      </c>
      <c r="H403" s="202">
        <v>438</v>
      </c>
    </row>
    <row r="404" spans="1:8" hidden="1">
      <c r="A404" s="122" t="s">
        <v>1474</v>
      </c>
      <c r="B404" s="122" t="s">
        <v>1460</v>
      </c>
      <c r="C404" s="122" t="s">
        <v>1436</v>
      </c>
      <c r="D404" s="122" t="s">
        <v>1453</v>
      </c>
      <c r="E404" s="312">
        <v>41198</v>
      </c>
      <c r="F404" s="311">
        <v>0.58680555555555547</v>
      </c>
      <c r="G404" s="202">
        <v>5</v>
      </c>
      <c r="H404" s="202">
        <v>2315</v>
      </c>
    </row>
    <row r="405" spans="1:8" hidden="1">
      <c r="A405" s="122" t="s">
        <v>1472</v>
      </c>
      <c r="B405" s="122" t="s">
        <v>1459</v>
      </c>
      <c r="C405" s="122" t="s">
        <v>1439</v>
      </c>
      <c r="D405" s="122" t="s">
        <v>1452</v>
      </c>
      <c r="E405" s="312">
        <v>41370</v>
      </c>
      <c r="F405" s="311">
        <v>0.70138888888888884</v>
      </c>
      <c r="G405" s="202">
        <v>4</v>
      </c>
      <c r="H405" s="202">
        <v>1916</v>
      </c>
    </row>
    <row r="406" spans="1:8" hidden="1">
      <c r="A406" s="122" t="s">
        <v>1444</v>
      </c>
      <c r="B406" s="122" t="s">
        <v>1459</v>
      </c>
      <c r="C406" s="122" t="s">
        <v>1441</v>
      </c>
      <c r="D406" s="122" t="s">
        <v>1452</v>
      </c>
      <c r="E406" s="312">
        <v>41305</v>
      </c>
      <c r="F406" s="311">
        <v>0.4548611111111111</v>
      </c>
      <c r="G406" s="202">
        <v>14</v>
      </c>
      <c r="H406" s="202">
        <v>10528</v>
      </c>
    </row>
    <row r="407" spans="1:8" hidden="1">
      <c r="A407" s="122" t="s">
        <v>1456</v>
      </c>
      <c r="B407" s="122" t="s">
        <v>1458</v>
      </c>
      <c r="C407" s="122" t="s">
        <v>1436</v>
      </c>
      <c r="D407" s="122" t="s">
        <v>1452</v>
      </c>
      <c r="E407" s="312">
        <v>41592</v>
      </c>
      <c r="F407" s="311">
        <v>0.71180555555555547</v>
      </c>
      <c r="G407" s="202">
        <v>3</v>
      </c>
      <c r="H407" s="202">
        <v>1920</v>
      </c>
    </row>
    <row r="408" spans="1:8" hidden="1">
      <c r="A408" s="122" t="s">
        <v>1438</v>
      </c>
      <c r="B408" s="122" t="s">
        <v>1437</v>
      </c>
      <c r="C408" s="122" t="s">
        <v>1445</v>
      </c>
      <c r="D408" s="122" t="s">
        <v>1453</v>
      </c>
      <c r="E408" s="312">
        <v>40998</v>
      </c>
      <c r="F408" s="311">
        <v>0.47222222222222221</v>
      </c>
      <c r="G408" s="202">
        <v>3</v>
      </c>
      <c r="H408" s="202">
        <v>1356</v>
      </c>
    </row>
    <row r="409" spans="1:8" hidden="1">
      <c r="A409" s="122" t="s">
        <v>1438</v>
      </c>
      <c r="B409" s="122" t="s">
        <v>1460</v>
      </c>
      <c r="C409" s="122" t="s">
        <v>1436</v>
      </c>
      <c r="D409" s="122" t="s">
        <v>1455</v>
      </c>
      <c r="E409" s="312">
        <v>41278</v>
      </c>
      <c r="F409" s="311">
        <v>0.56597222222222221</v>
      </c>
      <c r="G409" s="202">
        <v>7</v>
      </c>
      <c r="H409" s="202">
        <v>2905</v>
      </c>
    </row>
    <row r="410" spans="1:8">
      <c r="A410" s="122" t="s">
        <v>1438</v>
      </c>
      <c r="B410" s="122" t="s">
        <v>1460</v>
      </c>
      <c r="C410" s="122" t="s">
        <v>1436</v>
      </c>
      <c r="D410" s="122" t="s">
        <v>1450</v>
      </c>
      <c r="E410" s="312">
        <v>41374</v>
      </c>
      <c r="F410" s="311">
        <v>0.45833333333333331</v>
      </c>
      <c r="G410" s="202">
        <v>9</v>
      </c>
      <c r="H410" s="202">
        <v>5526</v>
      </c>
    </row>
    <row r="411" spans="1:8" hidden="1">
      <c r="A411" s="122" t="s">
        <v>1444</v>
      </c>
      <c r="B411" s="122" t="s">
        <v>1459</v>
      </c>
      <c r="C411" s="122" t="s">
        <v>1445</v>
      </c>
      <c r="D411" s="122" t="s">
        <v>1435</v>
      </c>
      <c r="E411" s="312">
        <v>41578</v>
      </c>
      <c r="F411" s="311">
        <v>0.50347222222222221</v>
      </c>
      <c r="G411" s="202">
        <v>17</v>
      </c>
      <c r="H411" s="202">
        <v>13872</v>
      </c>
    </row>
    <row r="412" spans="1:8" hidden="1">
      <c r="A412" s="122" t="s">
        <v>1447</v>
      </c>
      <c r="B412" s="122" t="s">
        <v>1458</v>
      </c>
      <c r="C412" s="122" t="s">
        <v>1439</v>
      </c>
      <c r="D412" s="122" t="s">
        <v>1455</v>
      </c>
      <c r="E412" s="312">
        <v>41380</v>
      </c>
      <c r="F412" s="311">
        <v>0.4236111111111111</v>
      </c>
      <c r="G412" s="202">
        <v>1</v>
      </c>
      <c r="H412" s="202">
        <v>328</v>
      </c>
    </row>
    <row r="413" spans="1:8" hidden="1">
      <c r="A413" s="122" t="s">
        <v>1474</v>
      </c>
      <c r="B413" s="122" t="s">
        <v>1437</v>
      </c>
      <c r="C413" s="122" t="s">
        <v>1439</v>
      </c>
      <c r="D413" s="122" t="s">
        <v>1455</v>
      </c>
      <c r="E413" s="312">
        <v>41586</v>
      </c>
      <c r="F413" s="311">
        <v>0.46527777777777773</v>
      </c>
      <c r="G413" s="202">
        <v>10</v>
      </c>
      <c r="H413" s="202">
        <v>14160</v>
      </c>
    </row>
    <row r="414" spans="1:8" hidden="1">
      <c r="A414" s="122" t="s">
        <v>1454</v>
      </c>
      <c r="B414" s="122" t="s">
        <v>1458</v>
      </c>
      <c r="C414" s="122" t="s">
        <v>1445</v>
      </c>
      <c r="D414" s="122" t="s">
        <v>1453</v>
      </c>
      <c r="E414" s="312">
        <v>41422</v>
      </c>
      <c r="F414" s="311">
        <v>0.34722222222222221</v>
      </c>
      <c r="G414" s="202">
        <v>4</v>
      </c>
      <c r="H414" s="202">
        <v>2144</v>
      </c>
    </row>
    <row r="415" spans="1:8" hidden="1">
      <c r="A415" s="122" t="s">
        <v>1474</v>
      </c>
      <c r="B415" s="122" t="s">
        <v>1460</v>
      </c>
      <c r="C415" s="122" t="s">
        <v>1441</v>
      </c>
      <c r="D415" s="122" t="s">
        <v>1453</v>
      </c>
      <c r="E415" s="312">
        <v>40935</v>
      </c>
      <c r="F415" s="311">
        <v>0.69444444444444442</v>
      </c>
      <c r="G415" s="202">
        <v>5</v>
      </c>
      <c r="H415" s="313">
        <v>4475</v>
      </c>
    </row>
    <row r="416" spans="1:8" hidden="1">
      <c r="A416" s="122" t="s">
        <v>1448</v>
      </c>
      <c r="B416" s="122" t="s">
        <v>1458</v>
      </c>
      <c r="C416" s="122" t="s">
        <v>1445</v>
      </c>
      <c r="D416" s="122" t="s">
        <v>1435</v>
      </c>
      <c r="E416" s="312">
        <v>41569</v>
      </c>
      <c r="F416" s="311">
        <v>0.60069444444444442</v>
      </c>
      <c r="G416" s="202">
        <v>18</v>
      </c>
      <c r="H416" s="202">
        <v>5958</v>
      </c>
    </row>
    <row r="417" spans="1:8" hidden="1">
      <c r="A417" s="122" t="s">
        <v>1474</v>
      </c>
      <c r="B417" s="122" t="s">
        <v>1458</v>
      </c>
      <c r="C417" s="122" t="s">
        <v>1436</v>
      </c>
      <c r="D417" s="122" t="s">
        <v>1435</v>
      </c>
      <c r="E417" s="312">
        <v>41457</v>
      </c>
      <c r="F417" s="311">
        <v>0.68402777777777779</v>
      </c>
      <c r="G417" s="202">
        <v>17</v>
      </c>
      <c r="H417" s="202">
        <v>8228</v>
      </c>
    </row>
    <row r="418" spans="1:8" hidden="1">
      <c r="A418" s="122" t="s">
        <v>1443</v>
      </c>
      <c r="B418" s="122" t="s">
        <v>1457</v>
      </c>
      <c r="C418" s="122" t="s">
        <v>1439</v>
      </c>
      <c r="D418" s="122" t="s">
        <v>1455</v>
      </c>
      <c r="E418" s="312">
        <v>41457</v>
      </c>
      <c r="F418" s="311">
        <v>0.73263888888888884</v>
      </c>
      <c r="G418" s="202">
        <v>3</v>
      </c>
      <c r="H418" s="202">
        <v>2646</v>
      </c>
    </row>
    <row r="419" spans="1:8">
      <c r="A419" s="122" t="s">
        <v>1443</v>
      </c>
      <c r="B419" s="122" t="s">
        <v>1459</v>
      </c>
      <c r="C419" s="122" t="s">
        <v>1436</v>
      </c>
      <c r="D419" s="122" t="s">
        <v>1435</v>
      </c>
      <c r="E419" s="312">
        <v>40940</v>
      </c>
      <c r="F419" s="311">
        <v>0.5</v>
      </c>
      <c r="G419" s="202">
        <v>9</v>
      </c>
      <c r="H419" s="202">
        <v>8028</v>
      </c>
    </row>
    <row r="420" spans="1:8" hidden="1">
      <c r="A420" s="122" t="s">
        <v>1447</v>
      </c>
      <c r="B420" s="122" t="s">
        <v>1457</v>
      </c>
      <c r="C420" s="122" t="s">
        <v>1439</v>
      </c>
      <c r="D420" s="122" t="s">
        <v>1453</v>
      </c>
      <c r="E420" s="312">
        <v>41079</v>
      </c>
      <c r="F420" s="311">
        <v>0.6875</v>
      </c>
      <c r="G420" s="202">
        <v>10</v>
      </c>
      <c r="H420" s="202">
        <v>10770</v>
      </c>
    </row>
    <row r="421" spans="1:8" hidden="1">
      <c r="A421" s="122" t="s">
        <v>1449</v>
      </c>
      <c r="B421" s="122" t="s">
        <v>1457</v>
      </c>
      <c r="C421" s="122" t="s">
        <v>1445</v>
      </c>
      <c r="D421" s="122" t="s">
        <v>1452</v>
      </c>
      <c r="E421" s="312">
        <v>41305</v>
      </c>
      <c r="F421" s="311">
        <v>0.60069444444444442</v>
      </c>
      <c r="G421" s="202">
        <v>3</v>
      </c>
      <c r="H421" s="202">
        <v>1581</v>
      </c>
    </row>
    <row r="422" spans="1:8" hidden="1">
      <c r="A422" s="122" t="s">
        <v>1448</v>
      </c>
      <c r="B422" s="122" t="s">
        <v>1460</v>
      </c>
      <c r="C422" s="122" t="s">
        <v>1445</v>
      </c>
      <c r="D422" s="122" t="s">
        <v>1450</v>
      </c>
      <c r="E422" s="312">
        <v>41457</v>
      </c>
      <c r="F422" s="311">
        <v>0.71527777777777779</v>
      </c>
      <c r="G422" s="202">
        <v>5</v>
      </c>
      <c r="H422" s="202">
        <v>3970</v>
      </c>
    </row>
    <row r="423" spans="1:8" hidden="1">
      <c r="A423" s="122" t="s">
        <v>1454</v>
      </c>
      <c r="B423" s="122" t="s">
        <v>1437</v>
      </c>
      <c r="C423" s="122" t="s">
        <v>1439</v>
      </c>
      <c r="D423" s="122" t="s">
        <v>1455</v>
      </c>
      <c r="E423" s="312">
        <v>40925</v>
      </c>
      <c r="F423" s="311">
        <v>0.4375</v>
      </c>
      <c r="G423" s="202">
        <v>4</v>
      </c>
      <c r="H423" s="313">
        <v>4532</v>
      </c>
    </row>
    <row r="424" spans="1:8" hidden="1">
      <c r="A424" s="122" t="s">
        <v>1454</v>
      </c>
      <c r="B424" s="122" t="s">
        <v>1457</v>
      </c>
      <c r="C424" s="122" t="s">
        <v>1445</v>
      </c>
      <c r="D424" s="122" t="s">
        <v>1455</v>
      </c>
      <c r="E424" s="312">
        <v>41613</v>
      </c>
      <c r="F424" s="311">
        <v>0.52777777777777779</v>
      </c>
      <c r="G424" s="202">
        <v>15</v>
      </c>
      <c r="H424" s="202">
        <v>8520</v>
      </c>
    </row>
    <row r="425" spans="1:8" hidden="1">
      <c r="A425" s="122" t="s">
        <v>1474</v>
      </c>
      <c r="B425" s="122" t="s">
        <v>1437</v>
      </c>
      <c r="C425" s="122" t="s">
        <v>1439</v>
      </c>
      <c r="D425" s="122" t="s">
        <v>1450</v>
      </c>
      <c r="E425" s="312">
        <v>41229</v>
      </c>
      <c r="F425" s="311">
        <v>0.38541666666666663</v>
      </c>
      <c r="G425" s="202">
        <v>8</v>
      </c>
      <c r="H425" s="202">
        <v>10176</v>
      </c>
    </row>
    <row r="426" spans="1:8" hidden="1">
      <c r="A426" s="122" t="s">
        <v>1476</v>
      </c>
      <c r="B426" s="122" t="s">
        <v>1457</v>
      </c>
      <c r="C426" s="122" t="s">
        <v>1445</v>
      </c>
      <c r="D426" s="122" t="s">
        <v>1452</v>
      </c>
      <c r="E426" s="312">
        <v>41289</v>
      </c>
      <c r="F426" s="311">
        <v>0.53472222222222221</v>
      </c>
      <c r="G426" s="202">
        <v>14</v>
      </c>
      <c r="H426" s="202">
        <v>16422</v>
      </c>
    </row>
    <row r="427" spans="1:8" hidden="1">
      <c r="A427" s="122" t="s">
        <v>1443</v>
      </c>
      <c r="B427" s="122" t="s">
        <v>1457</v>
      </c>
      <c r="C427" s="122" t="s">
        <v>1441</v>
      </c>
      <c r="D427" s="122" t="s">
        <v>1453</v>
      </c>
      <c r="E427" s="312">
        <v>41394</v>
      </c>
      <c r="F427" s="311">
        <v>0.45138888888888884</v>
      </c>
      <c r="G427" s="202">
        <v>11</v>
      </c>
      <c r="H427" s="202">
        <v>8140</v>
      </c>
    </row>
    <row r="428" spans="1:8" hidden="1">
      <c r="A428" s="122" t="s">
        <v>1449</v>
      </c>
      <c r="B428" s="122" t="s">
        <v>1437</v>
      </c>
      <c r="C428" s="122" t="s">
        <v>1445</v>
      </c>
      <c r="D428" s="122" t="s">
        <v>1452</v>
      </c>
      <c r="E428" s="312">
        <v>41002</v>
      </c>
      <c r="F428" s="311">
        <v>0.73958333333333326</v>
      </c>
      <c r="G428" s="202">
        <v>11</v>
      </c>
      <c r="H428" s="202">
        <v>17193</v>
      </c>
    </row>
    <row r="429" spans="1:8" hidden="1">
      <c r="A429" s="122" t="s">
        <v>1448</v>
      </c>
      <c r="B429" s="122" t="s">
        <v>1437</v>
      </c>
      <c r="C429" s="122" t="s">
        <v>1439</v>
      </c>
      <c r="D429" s="122" t="s">
        <v>1450</v>
      </c>
      <c r="E429" s="312">
        <v>41242</v>
      </c>
      <c r="F429" s="311">
        <v>0.41666666666666663</v>
      </c>
      <c r="G429" s="202">
        <v>13</v>
      </c>
      <c r="H429" s="202">
        <v>14196</v>
      </c>
    </row>
    <row r="430" spans="1:8" hidden="1">
      <c r="A430" s="122" t="s">
        <v>1444</v>
      </c>
      <c r="B430" s="122" t="s">
        <v>1460</v>
      </c>
      <c r="C430" s="122" t="s">
        <v>1436</v>
      </c>
      <c r="D430" s="122" t="s">
        <v>1435</v>
      </c>
      <c r="E430" s="312">
        <v>40957</v>
      </c>
      <c r="F430" s="311">
        <v>0.40972222222222221</v>
      </c>
      <c r="G430" s="202">
        <v>17</v>
      </c>
      <c r="H430" s="202">
        <v>10098</v>
      </c>
    </row>
    <row r="431" spans="1:8" hidden="1">
      <c r="A431" s="122" t="s">
        <v>1476</v>
      </c>
      <c r="B431" s="122" t="s">
        <v>1457</v>
      </c>
      <c r="C431" s="122" t="s">
        <v>1436</v>
      </c>
      <c r="D431" s="122" t="s">
        <v>1453</v>
      </c>
      <c r="E431" s="312">
        <v>41457</v>
      </c>
      <c r="F431" s="311">
        <v>0.50694444444444442</v>
      </c>
      <c r="G431" s="202">
        <v>14</v>
      </c>
      <c r="H431" s="202">
        <v>20020</v>
      </c>
    </row>
    <row r="432" spans="1:8" hidden="1">
      <c r="A432" s="122" t="s">
        <v>1443</v>
      </c>
      <c r="B432" s="122" t="s">
        <v>1458</v>
      </c>
      <c r="C432" s="122" t="s">
        <v>1441</v>
      </c>
      <c r="D432" s="122" t="s">
        <v>1450</v>
      </c>
      <c r="E432" s="312">
        <v>41456</v>
      </c>
      <c r="F432" s="311">
        <v>0.70486111111111105</v>
      </c>
      <c r="G432" s="202">
        <v>3</v>
      </c>
      <c r="H432" s="202">
        <v>1473</v>
      </c>
    </row>
    <row r="433" spans="1:8" hidden="1">
      <c r="A433" s="122" t="s">
        <v>1438</v>
      </c>
      <c r="B433" s="122" t="s">
        <v>1460</v>
      </c>
      <c r="C433" s="122" t="s">
        <v>1436</v>
      </c>
      <c r="D433" s="122" t="s">
        <v>1435</v>
      </c>
      <c r="E433" s="312">
        <v>41232</v>
      </c>
      <c r="F433" s="311">
        <v>0.33680555555555552</v>
      </c>
      <c r="G433" s="202">
        <v>14</v>
      </c>
      <c r="H433" s="202">
        <v>12110</v>
      </c>
    </row>
    <row r="434" spans="1:8" hidden="1">
      <c r="A434" s="122" t="s">
        <v>1447</v>
      </c>
      <c r="B434" s="122" t="s">
        <v>1437</v>
      </c>
      <c r="C434" s="122" t="s">
        <v>1445</v>
      </c>
      <c r="D434" s="122" t="s">
        <v>1455</v>
      </c>
      <c r="E434" s="312">
        <v>41267</v>
      </c>
      <c r="F434" s="311">
        <v>0.73263888888888884</v>
      </c>
      <c r="G434" s="202">
        <v>12</v>
      </c>
      <c r="H434" s="202">
        <v>22080</v>
      </c>
    </row>
    <row r="435" spans="1:8" hidden="1">
      <c r="A435" s="122" t="s">
        <v>1449</v>
      </c>
      <c r="B435" s="122" t="s">
        <v>1460</v>
      </c>
      <c r="C435" s="122" t="s">
        <v>1445</v>
      </c>
      <c r="D435" s="122" t="s">
        <v>1453</v>
      </c>
      <c r="E435" s="312">
        <v>41310</v>
      </c>
      <c r="F435" s="311">
        <v>0.43402777777777773</v>
      </c>
      <c r="G435" s="202">
        <v>11</v>
      </c>
      <c r="H435" s="202">
        <v>8393</v>
      </c>
    </row>
    <row r="436" spans="1:8" hidden="1">
      <c r="A436" s="122" t="s">
        <v>1474</v>
      </c>
      <c r="B436" s="122" t="s">
        <v>1459</v>
      </c>
      <c r="C436" s="122" t="s">
        <v>1436</v>
      </c>
      <c r="D436" s="122" t="s">
        <v>1452</v>
      </c>
      <c r="E436" s="312">
        <v>40943</v>
      </c>
      <c r="F436" s="311">
        <v>0.44444444444444442</v>
      </c>
      <c r="G436" s="202">
        <v>3</v>
      </c>
      <c r="H436" s="313">
        <v>2448</v>
      </c>
    </row>
    <row r="437" spans="1:8" hidden="1">
      <c r="A437" s="122" t="s">
        <v>1476</v>
      </c>
      <c r="B437" s="122" t="s">
        <v>1457</v>
      </c>
      <c r="C437" s="122" t="s">
        <v>1445</v>
      </c>
      <c r="D437" s="122" t="s">
        <v>1452</v>
      </c>
      <c r="E437" s="312">
        <v>41456</v>
      </c>
      <c r="F437" s="311">
        <v>0.52430555555555558</v>
      </c>
      <c r="G437" s="202">
        <v>10</v>
      </c>
      <c r="H437" s="202">
        <v>6940</v>
      </c>
    </row>
    <row r="438" spans="1:8" hidden="1">
      <c r="A438" s="122" t="s">
        <v>1476</v>
      </c>
      <c r="B438" s="122" t="s">
        <v>1457</v>
      </c>
      <c r="C438" s="122" t="s">
        <v>1439</v>
      </c>
      <c r="D438" s="122" t="s">
        <v>1450</v>
      </c>
      <c r="E438" s="312">
        <v>41456</v>
      </c>
      <c r="F438" s="311">
        <v>0.65625</v>
      </c>
      <c r="G438" s="202">
        <v>15</v>
      </c>
      <c r="H438" s="202">
        <v>13725</v>
      </c>
    </row>
    <row r="439" spans="1:8" hidden="1">
      <c r="A439" s="122" t="s">
        <v>1447</v>
      </c>
      <c r="B439" s="122" t="s">
        <v>1457</v>
      </c>
      <c r="C439" s="122" t="s">
        <v>1439</v>
      </c>
      <c r="D439" s="122" t="s">
        <v>1455</v>
      </c>
      <c r="E439" s="312">
        <v>41625</v>
      </c>
      <c r="F439" s="311">
        <v>0.43055555555555552</v>
      </c>
      <c r="G439" s="202">
        <v>7</v>
      </c>
      <c r="H439" s="202">
        <v>7308</v>
      </c>
    </row>
    <row r="440" spans="1:8">
      <c r="A440" s="122" t="s">
        <v>1476</v>
      </c>
      <c r="B440" s="122" t="s">
        <v>1437</v>
      </c>
      <c r="C440" s="122" t="s">
        <v>1439</v>
      </c>
      <c r="D440" s="122" t="s">
        <v>1453</v>
      </c>
      <c r="E440" s="312">
        <v>41297</v>
      </c>
      <c r="F440" s="311">
        <v>0.66666666666666663</v>
      </c>
      <c r="G440" s="202">
        <v>8</v>
      </c>
      <c r="H440" s="202">
        <v>15216</v>
      </c>
    </row>
    <row r="441" spans="1:8" hidden="1">
      <c r="A441" s="122" t="s">
        <v>1447</v>
      </c>
      <c r="B441" s="122" t="s">
        <v>1437</v>
      </c>
      <c r="C441" s="122" t="s">
        <v>1441</v>
      </c>
      <c r="D441" s="122" t="s">
        <v>1455</v>
      </c>
      <c r="E441" s="312">
        <v>40992</v>
      </c>
      <c r="F441" s="311">
        <v>0.61111111111111105</v>
      </c>
      <c r="G441" s="202">
        <v>15</v>
      </c>
      <c r="H441" s="202">
        <v>28650</v>
      </c>
    </row>
    <row r="442" spans="1:8" hidden="1">
      <c r="A442" s="122" t="s">
        <v>3138</v>
      </c>
      <c r="B442" s="122" t="s">
        <v>1459</v>
      </c>
      <c r="C442" s="122" t="s">
        <v>1439</v>
      </c>
      <c r="D442" s="122" t="s">
        <v>1452</v>
      </c>
      <c r="E442" s="312">
        <v>41456</v>
      </c>
      <c r="F442" s="311">
        <v>0.67361111111111105</v>
      </c>
      <c r="G442" s="202">
        <v>7</v>
      </c>
      <c r="H442" s="202">
        <v>3101</v>
      </c>
    </row>
    <row r="443" spans="1:8" hidden="1">
      <c r="A443" s="122" t="s">
        <v>1476</v>
      </c>
      <c r="B443" s="122" t="s">
        <v>1457</v>
      </c>
      <c r="C443" s="122" t="s">
        <v>1445</v>
      </c>
      <c r="D443" s="122" t="s">
        <v>1435</v>
      </c>
      <c r="E443" s="312">
        <v>41215</v>
      </c>
      <c r="F443" s="311">
        <v>0.61805555555555547</v>
      </c>
      <c r="G443" s="202">
        <v>9</v>
      </c>
      <c r="H443" s="202">
        <v>5274</v>
      </c>
    </row>
    <row r="444" spans="1:8" hidden="1">
      <c r="A444" s="122" t="s">
        <v>1474</v>
      </c>
      <c r="B444" s="122" t="s">
        <v>1459</v>
      </c>
      <c r="C444" s="122" t="s">
        <v>1445</v>
      </c>
      <c r="D444" s="122" t="s">
        <v>1450</v>
      </c>
      <c r="E444" s="312">
        <v>41212</v>
      </c>
      <c r="F444" s="311">
        <v>0.57986111111111105</v>
      </c>
      <c r="G444" s="202">
        <v>6</v>
      </c>
      <c r="H444" s="202">
        <v>3564</v>
      </c>
    </row>
    <row r="445" spans="1:8" hidden="1">
      <c r="A445" s="122" t="s">
        <v>1449</v>
      </c>
      <c r="B445" s="122" t="s">
        <v>1458</v>
      </c>
      <c r="C445" s="122" t="s">
        <v>1441</v>
      </c>
      <c r="D445" s="122" t="s">
        <v>1435</v>
      </c>
      <c r="E445" s="312">
        <v>41454</v>
      </c>
      <c r="F445" s="311">
        <v>0.60069444444444442</v>
      </c>
      <c r="G445" s="202">
        <v>8</v>
      </c>
      <c r="H445" s="202">
        <v>4600</v>
      </c>
    </row>
    <row r="446" spans="1:8" hidden="1">
      <c r="A446" s="122" t="s">
        <v>3138</v>
      </c>
      <c r="B446" s="122" t="s">
        <v>1458</v>
      </c>
      <c r="C446" s="122" t="s">
        <v>1441</v>
      </c>
      <c r="D446" s="122" t="s">
        <v>1453</v>
      </c>
      <c r="E446" s="312">
        <v>41039</v>
      </c>
      <c r="F446" s="311">
        <v>0.39583333333333331</v>
      </c>
      <c r="G446" s="202">
        <v>15</v>
      </c>
      <c r="H446" s="202">
        <v>5880</v>
      </c>
    </row>
    <row r="447" spans="1:8" hidden="1">
      <c r="A447" s="122" t="s">
        <v>1449</v>
      </c>
      <c r="B447" s="122" t="s">
        <v>1460</v>
      </c>
      <c r="C447" s="122" t="s">
        <v>1436</v>
      </c>
      <c r="D447" s="122" t="s">
        <v>1450</v>
      </c>
      <c r="E447" s="312">
        <v>41419</v>
      </c>
      <c r="F447" s="311">
        <v>0.63194444444444442</v>
      </c>
      <c r="G447" s="202">
        <v>12</v>
      </c>
      <c r="H447" s="202">
        <v>6744</v>
      </c>
    </row>
    <row r="448" spans="1:8" hidden="1">
      <c r="A448" s="122" t="s">
        <v>1443</v>
      </c>
      <c r="B448" s="122" t="s">
        <v>1459</v>
      </c>
      <c r="C448" s="122" t="s">
        <v>1445</v>
      </c>
      <c r="D448" s="122" t="s">
        <v>1435</v>
      </c>
      <c r="E448" s="312">
        <v>41354</v>
      </c>
      <c r="F448" s="311">
        <v>0.70833333333333326</v>
      </c>
      <c r="G448" s="202">
        <v>18</v>
      </c>
      <c r="H448" s="202">
        <v>10260</v>
      </c>
    </row>
    <row r="449" spans="1:8" hidden="1">
      <c r="A449" s="122" t="s">
        <v>1444</v>
      </c>
      <c r="B449" s="122" t="s">
        <v>1437</v>
      </c>
      <c r="C449" s="122" t="s">
        <v>1445</v>
      </c>
      <c r="D449" s="122" t="s">
        <v>1435</v>
      </c>
      <c r="E449" s="312">
        <v>41179</v>
      </c>
      <c r="F449" s="311">
        <v>0.57291666666666663</v>
      </c>
      <c r="G449" s="202">
        <v>19</v>
      </c>
      <c r="H449" s="202">
        <v>34276</v>
      </c>
    </row>
    <row r="450" spans="1:8" hidden="1">
      <c r="A450" s="122" t="s">
        <v>1449</v>
      </c>
      <c r="B450" s="122" t="s">
        <v>1460</v>
      </c>
      <c r="C450" s="122" t="s">
        <v>1439</v>
      </c>
      <c r="D450" s="122" t="s">
        <v>1435</v>
      </c>
      <c r="E450" s="312">
        <v>41079</v>
      </c>
      <c r="F450" s="311">
        <v>0.72569444444444442</v>
      </c>
      <c r="G450" s="202">
        <v>19</v>
      </c>
      <c r="H450" s="202">
        <v>13224</v>
      </c>
    </row>
    <row r="451" spans="1:8" hidden="1">
      <c r="A451" s="122" t="s">
        <v>1438</v>
      </c>
      <c r="B451" s="122" t="s">
        <v>1458</v>
      </c>
      <c r="C451" s="122" t="s">
        <v>1436</v>
      </c>
      <c r="D451" s="122" t="s">
        <v>1452</v>
      </c>
      <c r="E451" s="312">
        <v>41414</v>
      </c>
      <c r="F451" s="311">
        <v>0.64930555555555547</v>
      </c>
      <c r="G451" s="202">
        <v>13</v>
      </c>
      <c r="H451" s="202">
        <v>5447</v>
      </c>
    </row>
    <row r="452" spans="1:8" hidden="1">
      <c r="A452" s="122" t="s">
        <v>1447</v>
      </c>
      <c r="B452" s="122" t="s">
        <v>1458</v>
      </c>
      <c r="C452" s="122" t="s">
        <v>1439</v>
      </c>
      <c r="D452" s="122" t="s">
        <v>1435</v>
      </c>
      <c r="E452" s="312">
        <v>41334</v>
      </c>
      <c r="F452" s="311">
        <v>0.64236111111111105</v>
      </c>
      <c r="G452" s="202">
        <v>8</v>
      </c>
      <c r="H452" s="202">
        <v>4424</v>
      </c>
    </row>
    <row r="453" spans="1:8" hidden="1">
      <c r="A453" s="122" t="s">
        <v>1438</v>
      </c>
      <c r="B453" s="122" t="s">
        <v>1457</v>
      </c>
      <c r="C453" s="122" t="s">
        <v>1439</v>
      </c>
      <c r="D453" s="122" t="s">
        <v>1435</v>
      </c>
      <c r="E453" s="312">
        <v>41179</v>
      </c>
      <c r="F453" s="311">
        <v>0.57638888888888884</v>
      </c>
      <c r="G453" s="202">
        <v>20</v>
      </c>
      <c r="H453" s="202">
        <v>11480</v>
      </c>
    </row>
    <row r="454" spans="1:8" hidden="1">
      <c r="A454" s="122" t="s">
        <v>1448</v>
      </c>
      <c r="B454" s="122" t="s">
        <v>1437</v>
      </c>
      <c r="C454" s="122" t="s">
        <v>1441</v>
      </c>
      <c r="D454" s="122" t="s">
        <v>1455</v>
      </c>
      <c r="E454" s="312">
        <v>40976</v>
      </c>
      <c r="F454" s="311">
        <v>0.52430555555555558</v>
      </c>
      <c r="G454" s="202">
        <v>5</v>
      </c>
      <c r="H454" s="313">
        <v>8155</v>
      </c>
    </row>
    <row r="455" spans="1:8" hidden="1">
      <c r="A455" s="122" t="s">
        <v>1448</v>
      </c>
      <c r="B455" s="122" t="s">
        <v>1437</v>
      </c>
      <c r="C455" s="122" t="s">
        <v>1439</v>
      </c>
      <c r="D455" s="122" t="s">
        <v>1452</v>
      </c>
      <c r="E455" s="312">
        <v>41338</v>
      </c>
      <c r="F455" s="311">
        <v>0.63541666666666663</v>
      </c>
      <c r="G455" s="202">
        <v>12</v>
      </c>
      <c r="H455" s="202">
        <v>15996</v>
      </c>
    </row>
    <row r="456" spans="1:8" hidden="1">
      <c r="A456" s="122" t="s">
        <v>1456</v>
      </c>
      <c r="B456" s="122" t="s">
        <v>1457</v>
      </c>
      <c r="C456" s="122" t="s">
        <v>1441</v>
      </c>
      <c r="D456" s="122" t="s">
        <v>1453</v>
      </c>
      <c r="E456" s="312">
        <v>41230</v>
      </c>
      <c r="F456" s="311">
        <v>0.75</v>
      </c>
      <c r="G456" s="202">
        <v>4</v>
      </c>
      <c r="H456" s="202">
        <v>3088</v>
      </c>
    </row>
    <row r="457" spans="1:8" hidden="1">
      <c r="A457" s="122" t="s">
        <v>1449</v>
      </c>
      <c r="B457" s="122" t="s">
        <v>1460</v>
      </c>
      <c r="C457" s="122" t="s">
        <v>1436</v>
      </c>
      <c r="D457" s="122" t="s">
        <v>1453</v>
      </c>
      <c r="E457" s="312">
        <v>41068</v>
      </c>
      <c r="F457" s="311">
        <v>0.6875</v>
      </c>
      <c r="G457" s="202">
        <v>10</v>
      </c>
      <c r="H457" s="202">
        <v>8090</v>
      </c>
    </row>
    <row r="458" spans="1:8" hidden="1">
      <c r="A458" s="122" t="s">
        <v>1472</v>
      </c>
      <c r="B458" s="122" t="s">
        <v>1437</v>
      </c>
      <c r="C458" s="122" t="s">
        <v>1439</v>
      </c>
      <c r="D458" s="122" t="s">
        <v>1435</v>
      </c>
      <c r="E458" s="312">
        <v>41179</v>
      </c>
      <c r="F458" s="311">
        <v>0.49652777777777773</v>
      </c>
      <c r="G458" s="202">
        <v>6</v>
      </c>
      <c r="H458" s="202">
        <v>7320</v>
      </c>
    </row>
    <row r="459" spans="1:8">
      <c r="A459" s="122" t="s">
        <v>1438</v>
      </c>
      <c r="B459" s="122" t="s">
        <v>1458</v>
      </c>
      <c r="C459" s="122" t="s">
        <v>1445</v>
      </c>
      <c r="D459" s="122" t="s">
        <v>1452</v>
      </c>
      <c r="E459" s="312">
        <v>41178</v>
      </c>
      <c r="F459" s="311">
        <v>0.3611111111111111</v>
      </c>
      <c r="G459" s="202">
        <v>1</v>
      </c>
      <c r="H459" s="202">
        <v>388</v>
      </c>
    </row>
    <row r="460" spans="1:8" hidden="1">
      <c r="A460" s="315" t="s">
        <v>1472</v>
      </c>
      <c r="B460" s="122" t="s">
        <v>1459</v>
      </c>
      <c r="C460" s="122" t="s">
        <v>1441</v>
      </c>
      <c r="D460" s="122" t="s">
        <v>1452</v>
      </c>
      <c r="E460" s="312">
        <v>41376</v>
      </c>
      <c r="F460" s="311">
        <v>0.72222222222222221</v>
      </c>
      <c r="G460" s="202">
        <v>12</v>
      </c>
      <c r="H460" s="202">
        <v>4980</v>
      </c>
    </row>
    <row r="461" spans="1:8" hidden="1">
      <c r="A461" s="122" t="s">
        <v>1447</v>
      </c>
      <c r="B461" s="122" t="s">
        <v>1437</v>
      </c>
      <c r="C461" s="122" t="s">
        <v>1445</v>
      </c>
      <c r="D461" s="122" t="s">
        <v>1435</v>
      </c>
      <c r="E461" s="312">
        <v>41568</v>
      </c>
      <c r="F461" s="311">
        <v>0.65625</v>
      </c>
      <c r="G461" s="202">
        <v>16</v>
      </c>
      <c r="H461" s="202">
        <v>15408</v>
      </c>
    </row>
    <row r="462" spans="1:8" hidden="1">
      <c r="A462" s="122" t="s">
        <v>1454</v>
      </c>
      <c r="B462" s="122" t="s">
        <v>1437</v>
      </c>
      <c r="C462" s="122" t="s">
        <v>1445</v>
      </c>
      <c r="D462" s="122" t="s">
        <v>1455</v>
      </c>
      <c r="E462" s="312">
        <v>41009</v>
      </c>
      <c r="F462" s="311">
        <v>0.52430555555555558</v>
      </c>
      <c r="G462" s="202">
        <v>6</v>
      </c>
      <c r="H462" s="202">
        <v>11286</v>
      </c>
    </row>
    <row r="463" spans="1:8" hidden="1">
      <c r="A463" s="122" t="s">
        <v>1476</v>
      </c>
      <c r="B463" s="122" t="s">
        <v>1459</v>
      </c>
      <c r="C463" s="122" t="s">
        <v>1436</v>
      </c>
      <c r="D463" s="122" t="s">
        <v>1452</v>
      </c>
      <c r="E463" s="312">
        <v>40943</v>
      </c>
      <c r="F463" s="311">
        <v>0.60763888888888884</v>
      </c>
      <c r="G463" s="202">
        <v>1</v>
      </c>
      <c r="H463" s="313">
        <v>598</v>
      </c>
    </row>
    <row r="464" spans="1:8" hidden="1">
      <c r="A464" s="122" t="s">
        <v>1476</v>
      </c>
      <c r="B464" s="122" t="s">
        <v>1437</v>
      </c>
      <c r="C464" s="122" t="s">
        <v>1439</v>
      </c>
      <c r="D464" s="122" t="s">
        <v>1450</v>
      </c>
      <c r="E464" s="312">
        <v>41230</v>
      </c>
      <c r="F464" s="311">
        <v>0.58333333333333326</v>
      </c>
      <c r="G464" s="202">
        <v>15</v>
      </c>
      <c r="H464" s="202">
        <v>26250</v>
      </c>
    </row>
    <row r="465" spans="1:8" hidden="1">
      <c r="A465" s="122" t="s">
        <v>3138</v>
      </c>
      <c r="B465" s="122" t="s">
        <v>1458</v>
      </c>
      <c r="C465" s="122" t="s">
        <v>1439</v>
      </c>
      <c r="D465" s="122" t="s">
        <v>1453</v>
      </c>
      <c r="E465" s="312">
        <v>41002</v>
      </c>
      <c r="F465" s="311">
        <v>0.42708333333333331</v>
      </c>
      <c r="G465" s="202">
        <v>13</v>
      </c>
      <c r="H465" s="202">
        <v>9048</v>
      </c>
    </row>
    <row r="466" spans="1:8" hidden="1">
      <c r="A466" s="122" t="s">
        <v>1447</v>
      </c>
      <c r="B466" s="122" t="s">
        <v>1459</v>
      </c>
      <c r="C466" s="122" t="s">
        <v>1445</v>
      </c>
      <c r="D466" s="122" t="s">
        <v>1450</v>
      </c>
      <c r="E466" s="312">
        <v>41177</v>
      </c>
      <c r="F466" s="311">
        <v>0.71180555555555547</v>
      </c>
      <c r="G466" s="202">
        <v>12</v>
      </c>
      <c r="H466" s="202">
        <v>4188</v>
      </c>
    </row>
    <row r="467" spans="1:8" hidden="1">
      <c r="A467" s="122" t="s">
        <v>1448</v>
      </c>
      <c r="B467" s="122" t="s">
        <v>1437</v>
      </c>
      <c r="C467" s="122" t="s">
        <v>1445</v>
      </c>
      <c r="D467" s="122" t="s">
        <v>1450</v>
      </c>
      <c r="E467" s="312">
        <v>41176</v>
      </c>
      <c r="F467" s="311">
        <v>0.42013888888888884</v>
      </c>
      <c r="G467" s="202">
        <v>1</v>
      </c>
      <c r="H467" s="202">
        <v>1174</v>
      </c>
    </row>
    <row r="468" spans="1:8" hidden="1">
      <c r="A468" s="122" t="s">
        <v>1447</v>
      </c>
      <c r="B468" s="122" t="s">
        <v>1460</v>
      </c>
      <c r="C468" s="122" t="s">
        <v>1436</v>
      </c>
      <c r="D468" s="122" t="s">
        <v>1435</v>
      </c>
      <c r="E468" s="312">
        <v>41284</v>
      </c>
      <c r="F468" s="311">
        <v>0.73958333333333326</v>
      </c>
      <c r="G468" s="202">
        <v>6</v>
      </c>
      <c r="H468" s="202">
        <v>4434</v>
      </c>
    </row>
    <row r="469" spans="1:8" hidden="1">
      <c r="A469" s="122" t="s">
        <v>1444</v>
      </c>
      <c r="B469" s="122" t="s">
        <v>1457</v>
      </c>
      <c r="C469" s="122" t="s">
        <v>1441</v>
      </c>
      <c r="D469" s="122" t="s">
        <v>1453</v>
      </c>
      <c r="E469" s="312">
        <v>41400</v>
      </c>
      <c r="F469" s="311">
        <v>0.65625</v>
      </c>
      <c r="G469" s="202">
        <v>10</v>
      </c>
      <c r="H469" s="202">
        <v>13930</v>
      </c>
    </row>
    <row r="470" spans="1:8" hidden="1">
      <c r="A470" s="122" t="s">
        <v>1449</v>
      </c>
      <c r="B470" s="122" t="s">
        <v>1460</v>
      </c>
      <c r="C470" s="122" t="s">
        <v>1436</v>
      </c>
      <c r="D470" s="122" t="s">
        <v>1435</v>
      </c>
      <c r="E470" s="312">
        <v>41176</v>
      </c>
      <c r="F470" s="311">
        <v>0.57638888888888884</v>
      </c>
      <c r="G470" s="202">
        <v>6</v>
      </c>
      <c r="H470" s="202">
        <v>3738</v>
      </c>
    </row>
    <row r="471" spans="1:8" hidden="1">
      <c r="A471" s="122" t="s">
        <v>3138</v>
      </c>
      <c r="B471" s="122" t="s">
        <v>1459</v>
      </c>
      <c r="C471" s="122" t="s">
        <v>1439</v>
      </c>
      <c r="D471" s="122" t="s">
        <v>1450</v>
      </c>
      <c r="E471" s="312">
        <v>41359</v>
      </c>
      <c r="F471" s="311">
        <v>0.40277777777777773</v>
      </c>
      <c r="G471" s="202">
        <v>10</v>
      </c>
      <c r="H471" s="202">
        <v>6800</v>
      </c>
    </row>
    <row r="472" spans="1:8" hidden="1">
      <c r="A472" s="122" t="s">
        <v>1474</v>
      </c>
      <c r="B472" s="122" t="s">
        <v>1458</v>
      </c>
      <c r="C472" s="122" t="s">
        <v>1436</v>
      </c>
      <c r="D472" s="122" t="s">
        <v>1450</v>
      </c>
      <c r="E472" s="312">
        <v>41174</v>
      </c>
      <c r="F472" s="311">
        <v>0.74652777777777779</v>
      </c>
      <c r="G472" s="202">
        <v>4</v>
      </c>
      <c r="H472" s="202">
        <v>1352</v>
      </c>
    </row>
    <row r="473" spans="1:8" hidden="1">
      <c r="A473" s="122" t="s">
        <v>3138</v>
      </c>
      <c r="B473" s="122" t="s">
        <v>1437</v>
      </c>
      <c r="C473" s="122" t="s">
        <v>1445</v>
      </c>
      <c r="D473" s="122" t="s">
        <v>1435</v>
      </c>
      <c r="E473" s="312">
        <v>41370</v>
      </c>
      <c r="F473" s="311">
        <v>0.54861111111111105</v>
      </c>
      <c r="G473" s="202">
        <v>15</v>
      </c>
      <c r="H473" s="202">
        <v>21165</v>
      </c>
    </row>
    <row r="474" spans="1:8" hidden="1">
      <c r="A474" s="122" t="s">
        <v>1476</v>
      </c>
      <c r="B474" s="122" t="s">
        <v>1437</v>
      </c>
      <c r="C474" s="122" t="s">
        <v>1441</v>
      </c>
      <c r="D474" s="122" t="s">
        <v>1455</v>
      </c>
      <c r="E474" s="312">
        <v>41173</v>
      </c>
      <c r="F474" s="311">
        <v>0.3576388888888889</v>
      </c>
      <c r="G474" s="202">
        <v>1</v>
      </c>
      <c r="H474" s="202">
        <v>953</v>
      </c>
    </row>
    <row r="475" spans="1:8" hidden="1">
      <c r="A475" s="122" t="s">
        <v>3138</v>
      </c>
      <c r="B475" s="122" t="s">
        <v>1460</v>
      </c>
      <c r="C475" s="122" t="s">
        <v>1439</v>
      </c>
      <c r="D475" s="122" t="s">
        <v>1452</v>
      </c>
      <c r="E475" s="312">
        <v>41624</v>
      </c>
      <c r="F475" s="311">
        <v>0.67708333333333326</v>
      </c>
      <c r="G475" s="202">
        <v>3</v>
      </c>
      <c r="H475" s="202">
        <v>1386</v>
      </c>
    </row>
    <row r="476" spans="1:8">
      <c r="A476" s="122" t="s">
        <v>1449</v>
      </c>
      <c r="B476" s="122" t="s">
        <v>1457</v>
      </c>
      <c r="C476" s="122" t="s">
        <v>1439</v>
      </c>
      <c r="D476" s="122" t="s">
        <v>1435</v>
      </c>
      <c r="E476" s="312">
        <v>41269</v>
      </c>
      <c r="F476" s="311">
        <v>0.72222222222222221</v>
      </c>
      <c r="G476" s="202">
        <v>9</v>
      </c>
      <c r="H476" s="202">
        <v>10494</v>
      </c>
    </row>
    <row r="477" spans="1:8" hidden="1">
      <c r="A477" s="122" t="s">
        <v>1476</v>
      </c>
      <c r="B477" s="122" t="s">
        <v>1460</v>
      </c>
      <c r="C477" s="122" t="s">
        <v>1445</v>
      </c>
      <c r="D477" s="122" t="s">
        <v>1453</v>
      </c>
      <c r="E477" s="312">
        <v>41023</v>
      </c>
      <c r="F477" s="311">
        <v>0.38541666666666663</v>
      </c>
      <c r="G477" s="202">
        <v>2</v>
      </c>
      <c r="H477" s="202">
        <v>1648</v>
      </c>
    </row>
    <row r="478" spans="1:8" hidden="1">
      <c r="A478" s="122" t="s">
        <v>1449</v>
      </c>
      <c r="B478" s="122" t="s">
        <v>1457</v>
      </c>
      <c r="C478" s="122" t="s">
        <v>1439</v>
      </c>
      <c r="D478" s="122" t="s">
        <v>1453</v>
      </c>
      <c r="E478" s="312">
        <v>41261</v>
      </c>
      <c r="F478" s="311">
        <v>0.33333333333333331</v>
      </c>
      <c r="G478" s="202">
        <v>3</v>
      </c>
      <c r="H478" s="202">
        <v>4452</v>
      </c>
    </row>
    <row r="479" spans="1:8" hidden="1">
      <c r="A479" s="122" t="s">
        <v>1438</v>
      </c>
      <c r="B479" s="122" t="s">
        <v>1458</v>
      </c>
      <c r="C479" s="122" t="s">
        <v>1439</v>
      </c>
      <c r="D479" s="122" t="s">
        <v>1455</v>
      </c>
      <c r="E479" s="312">
        <v>41233</v>
      </c>
      <c r="F479" s="311">
        <v>0.34375</v>
      </c>
      <c r="G479" s="202">
        <v>2</v>
      </c>
      <c r="H479" s="202">
        <v>928</v>
      </c>
    </row>
    <row r="480" spans="1:8" hidden="1">
      <c r="A480" s="122" t="s">
        <v>1438</v>
      </c>
      <c r="B480" s="122" t="s">
        <v>1437</v>
      </c>
      <c r="C480" s="122" t="s">
        <v>1439</v>
      </c>
      <c r="D480" s="122" t="s">
        <v>1450</v>
      </c>
      <c r="E480" s="312">
        <v>41282</v>
      </c>
      <c r="F480" s="311">
        <v>0.40972222222222221</v>
      </c>
      <c r="G480" s="202">
        <v>15</v>
      </c>
      <c r="H480" s="202">
        <v>15855</v>
      </c>
    </row>
    <row r="481" spans="1:8" hidden="1">
      <c r="A481" s="122" t="s">
        <v>1476</v>
      </c>
      <c r="B481" s="122" t="s">
        <v>1457</v>
      </c>
      <c r="C481" s="122" t="s">
        <v>1441</v>
      </c>
      <c r="D481" s="122" t="s">
        <v>1453</v>
      </c>
      <c r="E481" s="312">
        <v>41172</v>
      </c>
      <c r="F481" s="311">
        <v>0.37152777777777773</v>
      </c>
      <c r="G481" s="202">
        <v>3</v>
      </c>
      <c r="H481" s="202">
        <v>2760</v>
      </c>
    </row>
    <row r="482" spans="1:8" hidden="1">
      <c r="A482" s="122" t="s">
        <v>1454</v>
      </c>
      <c r="B482" s="122" t="s">
        <v>1460</v>
      </c>
      <c r="C482" s="122" t="s">
        <v>1439</v>
      </c>
      <c r="D482" s="122" t="s">
        <v>1450</v>
      </c>
      <c r="E482" s="312">
        <v>41170</v>
      </c>
      <c r="F482" s="311">
        <v>0.72569444444444442</v>
      </c>
      <c r="G482" s="202">
        <v>4</v>
      </c>
      <c r="H482" s="202">
        <v>2276</v>
      </c>
    </row>
    <row r="483" spans="1:8" hidden="1">
      <c r="A483" s="122" t="s">
        <v>1472</v>
      </c>
      <c r="B483" s="122" t="s">
        <v>1457</v>
      </c>
      <c r="C483" s="122" t="s">
        <v>1445</v>
      </c>
      <c r="D483" s="122" t="s">
        <v>1452</v>
      </c>
      <c r="E483" s="312">
        <v>40929</v>
      </c>
      <c r="F483" s="311">
        <v>0.51041666666666663</v>
      </c>
      <c r="G483" s="202">
        <v>11</v>
      </c>
      <c r="H483" s="313">
        <v>16181</v>
      </c>
    </row>
    <row r="484" spans="1:8" hidden="1">
      <c r="A484" s="122" t="s">
        <v>1448</v>
      </c>
      <c r="B484" s="122" t="s">
        <v>1437</v>
      </c>
      <c r="C484" s="122" t="s">
        <v>1445</v>
      </c>
      <c r="D484" s="122" t="s">
        <v>1435</v>
      </c>
      <c r="E484" s="312">
        <v>41617</v>
      </c>
      <c r="F484" s="311">
        <v>0.3923611111111111</v>
      </c>
      <c r="G484" s="202">
        <v>13</v>
      </c>
      <c r="H484" s="202">
        <v>25727</v>
      </c>
    </row>
    <row r="485" spans="1:8" hidden="1">
      <c r="A485" s="122" t="s">
        <v>1447</v>
      </c>
      <c r="B485" s="122" t="s">
        <v>1459</v>
      </c>
      <c r="C485" s="122" t="s">
        <v>1436</v>
      </c>
      <c r="D485" s="122" t="s">
        <v>1455</v>
      </c>
      <c r="E485" s="312">
        <v>41198</v>
      </c>
      <c r="F485" s="311">
        <v>0.69444444444444442</v>
      </c>
      <c r="G485" s="202">
        <v>6</v>
      </c>
      <c r="H485" s="202">
        <v>5310</v>
      </c>
    </row>
    <row r="486" spans="1:8" hidden="1">
      <c r="A486" s="122" t="s">
        <v>1472</v>
      </c>
      <c r="B486" s="122" t="s">
        <v>1437</v>
      </c>
      <c r="C486" s="122" t="s">
        <v>1441</v>
      </c>
      <c r="D486" s="122" t="s">
        <v>1450</v>
      </c>
      <c r="E486" s="312">
        <v>41603</v>
      </c>
      <c r="F486" s="311">
        <v>0.50347222222222221</v>
      </c>
      <c r="G486" s="202">
        <v>2</v>
      </c>
      <c r="H486" s="202">
        <v>3766</v>
      </c>
    </row>
    <row r="487" spans="1:8">
      <c r="A487" s="122" t="s">
        <v>1443</v>
      </c>
      <c r="B487" s="122" t="s">
        <v>1459</v>
      </c>
      <c r="C487" s="122" t="s">
        <v>1439</v>
      </c>
      <c r="D487" s="122" t="s">
        <v>1435</v>
      </c>
      <c r="E487" s="312">
        <v>40975</v>
      </c>
      <c r="F487" s="311">
        <v>0.64930555555555547</v>
      </c>
      <c r="G487" s="202">
        <v>17</v>
      </c>
      <c r="H487" s="202">
        <v>14195</v>
      </c>
    </row>
    <row r="488" spans="1:8" hidden="1">
      <c r="A488" s="122" t="s">
        <v>1448</v>
      </c>
      <c r="B488" s="122" t="s">
        <v>1459</v>
      </c>
      <c r="C488" s="122" t="s">
        <v>1436</v>
      </c>
      <c r="D488" s="122" t="s">
        <v>1435</v>
      </c>
      <c r="E488" s="312">
        <v>40920</v>
      </c>
      <c r="F488" s="311">
        <v>0.58680555555555547</v>
      </c>
      <c r="G488" s="202">
        <v>14</v>
      </c>
      <c r="H488" s="202">
        <v>11550</v>
      </c>
    </row>
    <row r="489" spans="1:8" hidden="1">
      <c r="A489" s="122" t="s">
        <v>1448</v>
      </c>
      <c r="B489" s="122" t="s">
        <v>1460</v>
      </c>
      <c r="C489" s="122" t="s">
        <v>1441</v>
      </c>
      <c r="D489" s="122" t="s">
        <v>1455</v>
      </c>
      <c r="E489" s="312">
        <v>41207</v>
      </c>
      <c r="F489" s="311">
        <v>0.63194444444444442</v>
      </c>
      <c r="G489" s="202">
        <v>4</v>
      </c>
      <c r="H489" s="202">
        <v>2116</v>
      </c>
    </row>
    <row r="490" spans="1:8" hidden="1">
      <c r="A490" s="122" t="s">
        <v>1438</v>
      </c>
      <c r="B490" s="122" t="s">
        <v>1457</v>
      </c>
      <c r="C490" s="122" t="s">
        <v>1439</v>
      </c>
      <c r="D490" s="122" t="s">
        <v>1452</v>
      </c>
      <c r="E490" s="312">
        <v>41170</v>
      </c>
      <c r="F490" s="311">
        <v>0.51041666666666663</v>
      </c>
      <c r="G490" s="202">
        <v>12</v>
      </c>
      <c r="H490" s="202">
        <v>6648</v>
      </c>
    </row>
    <row r="491" spans="1:8" hidden="1">
      <c r="A491" s="122" t="s">
        <v>1438</v>
      </c>
      <c r="B491" s="122" t="s">
        <v>1460</v>
      </c>
      <c r="C491" s="122" t="s">
        <v>1441</v>
      </c>
      <c r="D491" s="122" t="s">
        <v>1455</v>
      </c>
      <c r="E491" s="312">
        <v>41167</v>
      </c>
      <c r="F491" s="311">
        <v>0.71527777777777779</v>
      </c>
      <c r="G491" s="202">
        <v>10</v>
      </c>
      <c r="H491" s="202">
        <v>8470</v>
      </c>
    </row>
    <row r="492" spans="1:8" hidden="1">
      <c r="A492" s="122" t="s">
        <v>1447</v>
      </c>
      <c r="B492" s="122" t="s">
        <v>1459</v>
      </c>
      <c r="C492" s="122" t="s">
        <v>1445</v>
      </c>
      <c r="D492" s="122" t="s">
        <v>1450</v>
      </c>
      <c r="E492" s="312">
        <v>41167</v>
      </c>
      <c r="F492" s="311">
        <v>0.61805555555555547</v>
      </c>
      <c r="G492" s="202">
        <v>12</v>
      </c>
      <c r="H492" s="202">
        <v>9192</v>
      </c>
    </row>
    <row r="493" spans="1:8" hidden="1">
      <c r="A493" s="122" t="s">
        <v>1443</v>
      </c>
      <c r="B493" s="122" t="s">
        <v>1460</v>
      </c>
      <c r="C493" s="122" t="s">
        <v>1436</v>
      </c>
      <c r="D493" s="122" t="s">
        <v>1453</v>
      </c>
      <c r="E493" s="312">
        <v>40950</v>
      </c>
      <c r="F493" s="311">
        <v>0.67013888888888884</v>
      </c>
      <c r="G493" s="202">
        <v>1</v>
      </c>
      <c r="H493" s="313">
        <v>769</v>
      </c>
    </row>
    <row r="494" spans="1:8" hidden="1">
      <c r="A494" s="122" t="s">
        <v>1474</v>
      </c>
      <c r="B494" s="122" t="s">
        <v>1459</v>
      </c>
      <c r="C494" s="122" t="s">
        <v>1445</v>
      </c>
      <c r="D494" s="122" t="s">
        <v>1455</v>
      </c>
      <c r="E494" s="312">
        <v>41393</v>
      </c>
      <c r="F494" s="311">
        <v>0.4861111111111111</v>
      </c>
      <c r="G494" s="202">
        <v>10</v>
      </c>
      <c r="H494" s="202">
        <v>5650</v>
      </c>
    </row>
    <row r="495" spans="1:8" hidden="1">
      <c r="A495" s="122" t="s">
        <v>1454</v>
      </c>
      <c r="B495" s="122" t="s">
        <v>1437</v>
      </c>
      <c r="C495" s="122" t="s">
        <v>1436</v>
      </c>
      <c r="D495" s="122" t="s">
        <v>1453</v>
      </c>
      <c r="E495" s="312">
        <v>41166</v>
      </c>
      <c r="F495" s="311">
        <v>0.60763888888888884</v>
      </c>
      <c r="G495" s="202">
        <v>15</v>
      </c>
      <c r="H495" s="202">
        <v>10890</v>
      </c>
    </row>
    <row r="496" spans="1:8" hidden="1">
      <c r="A496" s="122" t="s">
        <v>1449</v>
      </c>
      <c r="B496" s="122" t="s">
        <v>1460</v>
      </c>
      <c r="C496" s="122" t="s">
        <v>1445</v>
      </c>
      <c r="D496" s="122" t="s">
        <v>1452</v>
      </c>
      <c r="E496" s="312">
        <v>41166</v>
      </c>
      <c r="F496" s="311">
        <v>0.74652777777777779</v>
      </c>
      <c r="G496" s="202">
        <v>11</v>
      </c>
      <c r="H496" s="202">
        <v>9460</v>
      </c>
    </row>
    <row r="497" spans="1:8" hidden="1">
      <c r="A497" s="122" t="s">
        <v>1448</v>
      </c>
      <c r="B497" s="122" t="s">
        <v>1460</v>
      </c>
      <c r="C497" s="122" t="s">
        <v>1436</v>
      </c>
      <c r="D497" s="122" t="s">
        <v>1450</v>
      </c>
      <c r="E497" s="312">
        <v>41279</v>
      </c>
      <c r="F497" s="311">
        <v>0.34375</v>
      </c>
      <c r="G497" s="202">
        <v>7</v>
      </c>
      <c r="H497" s="202">
        <v>4984</v>
      </c>
    </row>
    <row r="498" spans="1:8" hidden="1">
      <c r="A498" s="122" t="s">
        <v>3138</v>
      </c>
      <c r="B498" s="122" t="s">
        <v>1459</v>
      </c>
      <c r="C498" s="122" t="s">
        <v>1436</v>
      </c>
      <c r="D498" s="122" t="s">
        <v>1453</v>
      </c>
      <c r="E498" s="312">
        <v>41254</v>
      </c>
      <c r="F498" s="311">
        <v>0.73611111111111105</v>
      </c>
      <c r="G498" s="202">
        <v>2</v>
      </c>
      <c r="H498" s="202">
        <v>1540</v>
      </c>
    </row>
    <row r="499" spans="1:8" hidden="1">
      <c r="A499" s="122" t="s">
        <v>1474</v>
      </c>
      <c r="B499" s="122" t="s">
        <v>1457</v>
      </c>
      <c r="C499" s="122" t="s">
        <v>1445</v>
      </c>
      <c r="D499" s="122" t="s">
        <v>1452</v>
      </c>
      <c r="E499" s="312">
        <v>41166</v>
      </c>
      <c r="F499" s="311">
        <v>0.65972222222222221</v>
      </c>
      <c r="G499" s="202">
        <v>14</v>
      </c>
      <c r="H499" s="202">
        <v>11564</v>
      </c>
    </row>
    <row r="500" spans="1:8" hidden="1">
      <c r="A500" s="122" t="s">
        <v>1443</v>
      </c>
      <c r="B500" s="122" t="s">
        <v>1458</v>
      </c>
      <c r="C500" s="122" t="s">
        <v>1439</v>
      </c>
      <c r="D500" s="122" t="s">
        <v>1435</v>
      </c>
      <c r="E500" s="312">
        <v>41282</v>
      </c>
      <c r="F500" s="311">
        <v>0.59722222222222221</v>
      </c>
      <c r="G500" s="202">
        <v>13</v>
      </c>
      <c r="H500" s="202">
        <v>6253</v>
      </c>
    </row>
    <row r="501" spans="1:8" hidden="1">
      <c r="A501" s="122" t="s">
        <v>1456</v>
      </c>
      <c r="B501" s="122" t="s">
        <v>1460</v>
      </c>
      <c r="C501" s="122" t="s">
        <v>1445</v>
      </c>
      <c r="D501" s="122" t="s">
        <v>1452</v>
      </c>
      <c r="E501" s="312">
        <v>41596</v>
      </c>
      <c r="F501" s="311">
        <v>0.58680555555555547</v>
      </c>
      <c r="G501" s="202">
        <v>1</v>
      </c>
      <c r="H501" s="202">
        <v>572</v>
      </c>
    </row>
    <row r="502" spans="1:8" hidden="1">
      <c r="A502" s="122" t="s">
        <v>3138</v>
      </c>
      <c r="B502" s="122" t="s">
        <v>1458</v>
      </c>
      <c r="C502" s="122" t="s">
        <v>1445</v>
      </c>
      <c r="D502" s="122" t="s">
        <v>1455</v>
      </c>
      <c r="E502" s="312">
        <v>41240</v>
      </c>
      <c r="F502" s="311">
        <v>0.75</v>
      </c>
      <c r="G502" s="202">
        <v>9</v>
      </c>
      <c r="H502" s="202">
        <v>5031</v>
      </c>
    </row>
    <row r="503" spans="1:8" hidden="1">
      <c r="A503" s="122" t="s">
        <v>1472</v>
      </c>
      <c r="B503" s="122" t="s">
        <v>1459</v>
      </c>
      <c r="C503" s="122" t="s">
        <v>1445</v>
      </c>
      <c r="D503" s="122" t="s">
        <v>1435</v>
      </c>
      <c r="E503" s="312">
        <v>41229</v>
      </c>
      <c r="F503" s="311">
        <v>0.38888888888888884</v>
      </c>
      <c r="G503" s="202">
        <v>8</v>
      </c>
      <c r="H503" s="202">
        <v>3568</v>
      </c>
    </row>
    <row r="504" spans="1:8" hidden="1">
      <c r="A504" s="122" t="s">
        <v>1456</v>
      </c>
      <c r="B504" s="122" t="s">
        <v>1437</v>
      </c>
      <c r="C504" s="122" t="s">
        <v>1436</v>
      </c>
      <c r="D504" s="122" t="s">
        <v>1452</v>
      </c>
      <c r="E504" s="312">
        <v>41265</v>
      </c>
      <c r="F504" s="311">
        <v>0.45833333333333331</v>
      </c>
      <c r="G504" s="202">
        <v>9</v>
      </c>
      <c r="H504" s="202">
        <v>17784</v>
      </c>
    </row>
    <row r="505" spans="1:8" hidden="1">
      <c r="A505" s="122" t="s">
        <v>3138</v>
      </c>
      <c r="B505" s="122" t="s">
        <v>1459</v>
      </c>
      <c r="C505" s="122" t="s">
        <v>1436</v>
      </c>
      <c r="D505" s="122" t="s">
        <v>1453</v>
      </c>
      <c r="E505" s="312">
        <v>41355</v>
      </c>
      <c r="F505" s="311">
        <v>0.60069444444444442</v>
      </c>
      <c r="G505" s="202">
        <v>4</v>
      </c>
      <c r="H505" s="202">
        <v>3544</v>
      </c>
    </row>
    <row r="506" spans="1:8" hidden="1">
      <c r="A506" s="122" t="s">
        <v>1448</v>
      </c>
      <c r="B506" s="122" t="s">
        <v>1437</v>
      </c>
      <c r="C506" s="122" t="s">
        <v>1436</v>
      </c>
      <c r="D506" s="122" t="s">
        <v>1453</v>
      </c>
      <c r="E506" s="312">
        <v>41317</v>
      </c>
      <c r="F506" s="311">
        <v>0.3923611111111111</v>
      </c>
      <c r="G506" s="202">
        <v>2</v>
      </c>
      <c r="H506" s="202">
        <v>2020</v>
      </c>
    </row>
    <row r="507" spans="1:8" hidden="1">
      <c r="A507" s="122" t="s">
        <v>1438</v>
      </c>
      <c r="B507" s="122" t="s">
        <v>1457</v>
      </c>
      <c r="C507" s="122" t="s">
        <v>1439</v>
      </c>
      <c r="D507" s="122" t="s">
        <v>1453</v>
      </c>
      <c r="E507" s="312">
        <v>41338</v>
      </c>
      <c r="F507" s="311">
        <v>0.51736111111111105</v>
      </c>
      <c r="G507" s="202">
        <v>2</v>
      </c>
      <c r="H507" s="202">
        <v>2948</v>
      </c>
    </row>
    <row r="508" spans="1:8" hidden="1">
      <c r="A508" s="122" t="s">
        <v>1444</v>
      </c>
      <c r="B508" s="122" t="s">
        <v>1460</v>
      </c>
      <c r="C508" s="122" t="s">
        <v>1441</v>
      </c>
      <c r="D508" s="122" t="s">
        <v>1452</v>
      </c>
      <c r="E508" s="312">
        <v>41165</v>
      </c>
      <c r="F508" s="311">
        <v>0.56597222222222221</v>
      </c>
      <c r="G508" s="202">
        <v>13</v>
      </c>
      <c r="H508" s="202">
        <v>9581</v>
      </c>
    </row>
    <row r="509" spans="1:8" hidden="1">
      <c r="A509" s="122" t="s">
        <v>1443</v>
      </c>
      <c r="B509" s="122" t="s">
        <v>1458</v>
      </c>
      <c r="C509" s="122" t="s">
        <v>1436</v>
      </c>
      <c r="D509" s="122" t="s">
        <v>1452</v>
      </c>
      <c r="E509" s="312">
        <v>41573</v>
      </c>
      <c r="F509" s="311">
        <v>0.37847222222222221</v>
      </c>
      <c r="G509" s="202">
        <v>13</v>
      </c>
      <c r="H509" s="202">
        <v>7540</v>
      </c>
    </row>
    <row r="510" spans="1:8" hidden="1">
      <c r="A510" s="122" t="s">
        <v>1443</v>
      </c>
      <c r="B510" s="122" t="s">
        <v>1458</v>
      </c>
      <c r="C510" s="122" t="s">
        <v>1439</v>
      </c>
      <c r="D510" s="122" t="s">
        <v>1455</v>
      </c>
      <c r="E510" s="312">
        <v>41552</v>
      </c>
      <c r="F510" s="311">
        <v>0.45138888888888884</v>
      </c>
      <c r="G510" s="202">
        <v>10</v>
      </c>
      <c r="H510" s="202">
        <v>6760</v>
      </c>
    </row>
    <row r="511" spans="1:8" hidden="1">
      <c r="A511" s="122" t="s">
        <v>1447</v>
      </c>
      <c r="B511" s="122" t="s">
        <v>1458</v>
      </c>
      <c r="C511" s="122" t="s">
        <v>1439</v>
      </c>
      <c r="D511" s="122" t="s">
        <v>1455</v>
      </c>
      <c r="E511" s="312">
        <v>41282</v>
      </c>
      <c r="F511" s="311">
        <v>0.71180555555555547</v>
      </c>
      <c r="G511" s="202">
        <v>15</v>
      </c>
      <c r="H511" s="202">
        <v>9570</v>
      </c>
    </row>
    <row r="512" spans="1:8" hidden="1">
      <c r="A512" s="122" t="s">
        <v>1449</v>
      </c>
      <c r="B512" s="122" t="s">
        <v>1457</v>
      </c>
      <c r="C512" s="122" t="s">
        <v>1436</v>
      </c>
      <c r="D512" s="122" t="s">
        <v>1435</v>
      </c>
      <c r="E512" s="312">
        <v>40949</v>
      </c>
      <c r="F512" s="311">
        <v>0.35416666666666663</v>
      </c>
      <c r="G512" s="202">
        <v>17</v>
      </c>
      <c r="H512" s="202">
        <v>15011</v>
      </c>
    </row>
    <row r="513" spans="1:8" hidden="1">
      <c r="A513" s="122" t="s">
        <v>1449</v>
      </c>
      <c r="B513" s="122" t="s">
        <v>1460</v>
      </c>
      <c r="C513" s="122" t="s">
        <v>1439</v>
      </c>
      <c r="D513" s="122" t="s">
        <v>1453</v>
      </c>
      <c r="E513" s="312">
        <v>41386</v>
      </c>
      <c r="F513" s="311">
        <v>0.52777777777777779</v>
      </c>
      <c r="G513" s="202">
        <v>10</v>
      </c>
      <c r="H513" s="202">
        <v>6410</v>
      </c>
    </row>
    <row r="514" spans="1:8" hidden="1">
      <c r="A514" s="122" t="s">
        <v>1448</v>
      </c>
      <c r="B514" s="122" t="s">
        <v>1437</v>
      </c>
      <c r="C514" s="122" t="s">
        <v>1441</v>
      </c>
      <c r="D514" s="122" t="s">
        <v>1452</v>
      </c>
      <c r="E514" s="312">
        <v>40927</v>
      </c>
      <c r="F514" s="311">
        <v>0.44791666666666663</v>
      </c>
      <c r="G514" s="202">
        <v>8</v>
      </c>
      <c r="H514" s="313">
        <v>8192</v>
      </c>
    </row>
    <row r="515" spans="1:8" hidden="1">
      <c r="A515" s="122" t="s">
        <v>1449</v>
      </c>
      <c r="B515" s="122" t="s">
        <v>1460</v>
      </c>
      <c r="C515" s="122" t="s">
        <v>1445</v>
      </c>
      <c r="D515" s="122" t="s">
        <v>1455</v>
      </c>
      <c r="E515" s="312">
        <v>41278</v>
      </c>
      <c r="F515" s="311">
        <v>0.57291666666666663</v>
      </c>
      <c r="G515" s="202">
        <v>8</v>
      </c>
      <c r="H515" s="202">
        <v>4448</v>
      </c>
    </row>
    <row r="516" spans="1:8" hidden="1">
      <c r="A516" s="122" t="s">
        <v>1448</v>
      </c>
      <c r="B516" s="122" t="s">
        <v>1460</v>
      </c>
      <c r="C516" s="122" t="s">
        <v>1439</v>
      </c>
      <c r="D516" s="122" t="s">
        <v>1452</v>
      </c>
      <c r="E516" s="312">
        <v>40914</v>
      </c>
      <c r="F516" s="311">
        <v>0.71875</v>
      </c>
      <c r="G516" s="202">
        <v>2</v>
      </c>
      <c r="H516" s="313">
        <v>1316</v>
      </c>
    </row>
    <row r="517" spans="1:8" hidden="1">
      <c r="A517" s="122" t="s">
        <v>1454</v>
      </c>
      <c r="B517" s="122" t="s">
        <v>1459</v>
      </c>
      <c r="C517" s="122" t="s">
        <v>1439</v>
      </c>
      <c r="D517" s="122" t="s">
        <v>1452</v>
      </c>
      <c r="E517" s="312">
        <v>41615</v>
      </c>
      <c r="F517" s="311">
        <v>0.4375</v>
      </c>
      <c r="G517" s="202">
        <v>14</v>
      </c>
      <c r="H517" s="202">
        <v>4704</v>
      </c>
    </row>
    <row r="518" spans="1:8" hidden="1">
      <c r="A518" s="122" t="s">
        <v>1449</v>
      </c>
      <c r="B518" s="122" t="s">
        <v>1437</v>
      </c>
      <c r="C518" s="122" t="s">
        <v>1439</v>
      </c>
      <c r="D518" s="122" t="s">
        <v>1435</v>
      </c>
      <c r="E518" s="312">
        <v>41411</v>
      </c>
      <c r="F518" s="311">
        <v>0.375</v>
      </c>
      <c r="G518" s="202">
        <v>7</v>
      </c>
      <c r="H518" s="202">
        <v>6062</v>
      </c>
    </row>
    <row r="519" spans="1:8" hidden="1">
      <c r="A519" s="122" t="s">
        <v>1472</v>
      </c>
      <c r="B519" s="122" t="s">
        <v>1457</v>
      </c>
      <c r="C519" s="122" t="s">
        <v>1439</v>
      </c>
      <c r="D519" s="122" t="s">
        <v>1453</v>
      </c>
      <c r="E519" s="312">
        <v>41025</v>
      </c>
      <c r="F519" s="311">
        <v>0.56597222222222221</v>
      </c>
      <c r="G519" s="202">
        <v>1</v>
      </c>
      <c r="H519" s="202">
        <v>1372</v>
      </c>
    </row>
    <row r="520" spans="1:8" hidden="1">
      <c r="A520" s="122" t="s">
        <v>1454</v>
      </c>
      <c r="B520" s="122" t="s">
        <v>1460</v>
      </c>
      <c r="C520" s="122" t="s">
        <v>1445</v>
      </c>
      <c r="D520" s="122" t="s">
        <v>1450</v>
      </c>
      <c r="E520" s="312">
        <v>41278</v>
      </c>
      <c r="F520" s="311">
        <v>0.51388888888888884</v>
      </c>
      <c r="G520" s="202">
        <v>15</v>
      </c>
      <c r="H520" s="202">
        <v>11340</v>
      </c>
    </row>
    <row r="521" spans="1:8" hidden="1">
      <c r="A521" s="122" t="s">
        <v>1438</v>
      </c>
      <c r="B521" s="122" t="s">
        <v>1457</v>
      </c>
      <c r="C521" s="122" t="s">
        <v>1441</v>
      </c>
      <c r="D521" s="122" t="s">
        <v>1450</v>
      </c>
      <c r="E521" s="312">
        <v>41011</v>
      </c>
      <c r="F521" s="311">
        <v>0.34375</v>
      </c>
      <c r="G521" s="202">
        <v>12</v>
      </c>
      <c r="H521" s="202">
        <v>14616</v>
      </c>
    </row>
    <row r="522" spans="1:8">
      <c r="A522" s="122" t="s">
        <v>1476</v>
      </c>
      <c r="B522" s="122" t="s">
        <v>1437</v>
      </c>
      <c r="C522" s="122" t="s">
        <v>1439</v>
      </c>
      <c r="D522" s="122" t="s">
        <v>1452</v>
      </c>
      <c r="E522" s="312">
        <v>41192</v>
      </c>
      <c r="F522" s="311">
        <v>0.62847222222222221</v>
      </c>
      <c r="G522" s="202">
        <v>3</v>
      </c>
      <c r="H522" s="202">
        <v>3372</v>
      </c>
    </row>
    <row r="523" spans="1:8">
      <c r="A523" s="122" t="s">
        <v>1456</v>
      </c>
      <c r="B523" s="122" t="s">
        <v>1460</v>
      </c>
      <c r="C523" s="122" t="s">
        <v>1439</v>
      </c>
      <c r="D523" s="122" t="s">
        <v>1453</v>
      </c>
      <c r="E523" s="312">
        <v>41549</v>
      </c>
      <c r="F523" s="311">
        <v>0.5625</v>
      </c>
      <c r="G523" s="202">
        <v>15</v>
      </c>
      <c r="H523" s="202">
        <v>11700</v>
      </c>
    </row>
    <row r="524" spans="1:8" hidden="1">
      <c r="A524" s="122" t="s">
        <v>1444</v>
      </c>
      <c r="B524" s="122" t="s">
        <v>1459</v>
      </c>
      <c r="C524" s="122" t="s">
        <v>1441</v>
      </c>
      <c r="D524" s="122" t="s">
        <v>1455</v>
      </c>
      <c r="E524" s="312">
        <v>41163</v>
      </c>
      <c r="F524" s="311">
        <v>0.57291666666666663</v>
      </c>
      <c r="G524" s="202">
        <v>8</v>
      </c>
      <c r="H524" s="202">
        <v>3288</v>
      </c>
    </row>
    <row r="525" spans="1:8" hidden="1">
      <c r="A525" s="122" t="s">
        <v>1448</v>
      </c>
      <c r="B525" s="122" t="s">
        <v>1459</v>
      </c>
      <c r="C525" s="122" t="s">
        <v>1445</v>
      </c>
      <c r="D525" s="122" t="s">
        <v>1455</v>
      </c>
      <c r="E525" s="312">
        <v>41341</v>
      </c>
      <c r="F525" s="311">
        <v>0.50694444444444442</v>
      </c>
      <c r="G525" s="202">
        <v>13</v>
      </c>
      <c r="H525" s="202">
        <v>6669</v>
      </c>
    </row>
    <row r="526" spans="1:8" hidden="1">
      <c r="A526" s="122" t="s">
        <v>1447</v>
      </c>
      <c r="B526" s="122" t="s">
        <v>1460</v>
      </c>
      <c r="C526" s="122" t="s">
        <v>1441</v>
      </c>
      <c r="D526" s="122" t="s">
        <v>1435</v>
      </c>
      <c r="E526" s="312">
        <v>41575</v>
      </c>
      <c r="F526" s="311">
        <v>0.61458333333333326</v>
      </c>
      <c r="G526" s="202">
        <v>8</v>
      </c>
      <c r="H526" s="202">
        <v>3664</v>
      </c>
    </row>
    <row r="527" spans="1:8" hidden="1">
      <c r="A527" s="122" t="s">
        <v>3138</v>
      </c>
      <c r="B527" s="122" t="s">
        <v>1460</v>
      </c>
      <c r="C527" s="122" t="s">
        <v>1436</v>
      </c>
      <c r="D527" s="122" t="s">
        <v>1455</v>
      </c>
      <c r="E527" s="312">
        <v>41054</v>
      </c>
      <c r="F527" s="311">
        <v>0.37152777777777773</v>
      </c>
      <c r="G527" s="202">
        <v>5</v>
      </c>
      <c r="H527" s="202">
        <v>3130</v>
      </c>
    </row>
    <row r="528" spans="1:8" hidden="1">
      <c r="A528" s="122" t="s">
        <v>1456</v>
      </c>
      <c r="B528" s="122" t="s">
        <v>1460</v>
      </c>
      <c r="C528" s="122" t="s">
        <v>1445</v>
      </c>
      <c r="D528" s="122" t="s">
        <v>1452</v>
      </c>
      <c r="E528" s="312">
        <v>41163</v>
      </c>
      <c r="F528" s="311">
        <v>0.48263888888888884</v>
      </c>
      <c r="G528" s="202">
        <v>8</v>
      </c>
      <c r="H528" s="202">
        <v>5880</v>
      </c>
    </row>
    <row r="529" spans="1:8" hidden="1">
      <c r="A529" s="122" t="s">
        <v>1472</v>
      </c>
      <c r="B529" s="122" t="s">
        <v>1459</v>
      </c>
      <c r="C529" s="122" t="s">
        <v>1436</v>
      </c>
      <c r="D529" s="122" t="s">
        <v>1435</v>
      </c>
      <c r="E529" s="312">
        <v>41405</v>
      </c>
      <c r="F529" s="311">
        <v>0.70833333333333326</v>
      </c>
      <c r="G529" s="202">
        <v>11</v>
      </c>
      <c r="H529" s="202">
        <v>6798</v>
      </c>
    </row>
    <row r="530" spans="1:8" hidden="1">
      <c r="A530" s="122" t="s">
        <v>1454</v>
      </c>
      <c r="B530" s="122" t="s">
        <v>1457</v>
      </c>
      <c r="C530" s="122" t="s">
        <v>1441</v>
      </c>
      <c r="D530" s="122" t="s">
        <v>1455</v>
      </c>
      <c r="E530" s="312">
        <v>41190</v>
      </c>
      <c r="F530" s="311">
        <v>0.71527777777777779</v>
      </c>
      <c r="G530" s="202">
        <v>1</v>
      </c>
      <c r="H530" s="202">
        <v>1376</v>
      </c>
    </row>
    <row r="531" spans="1:8" hidden="1">
      <c r="A531" s="122" t="s">
        <v>1438</v>
      </c>
      <c r="B531" s="122" t="s">
        <v>1437</v>
      </c>
      <c r="C531" s="122" t="s">
        <v>1445</v>
      </c>
      <c r="D531" s="122" t="s">
        <v>1453</v>
      </c>
      <c r="E531" s="312">
        <v>41163</v>
      </c>
      <c r="F531" s="311">
        <v>0.71527777777777779</v>
      </c>
      <c r="G531" s="202">
        <v>9</v>
      </c>
      <c r="H531" s="202">
        <v>6300</v>
      </c>
    </row>
    <row r="532" spans="1:8" hidden="1">
      <c r="A532" s="122" t="s">
        <v>1472</v>
      </c>
      <c r="B532" s="122" t="s">
        <v>1460</v>
      </c>
      <c r="C532" s="122" t="s">
        <v>1445</v>
      </c>
      <c r="D532" s="122" t="s">
        <v>1452</v>
      </c>
      <c r="E532" s="312">
        <v>41163</v>
      </c>
      <c r="F532" s="311">
        <v>0.52777777777777779</v>
      </c>
      <c r="G532" s="202">
        <v>10</v>
      </c>
      <c r="H532" s="202">
        <v>8360</v>
      </c>
    </row>
    <row r="533" spans="1:8" hidden="1">
      <c r="A533" s="122" t="s">
        <v>1472</v>
      </c>
      <c r="B533" s="122" t="s">
        <v>1437</v>
      </c>
      <c r="C533" s="122" t="s">
        <v>1445</v>
      </c>
      <c r="D533" s="122" t="s">
        <v>1455</v>
      </c>
      <c r="E533" s="312">
        <v>41160</v>
      </c>
      <c r="F533" s="311">
        <v>0.67708333333333326</v>
      </c>
      <c r="G533" s="202">
        <v>5</v>
      </c>
      <c r="H533" s="202">
        <v>7945</v>
      </c>
    </row>
    <row r="534" spans="1:8" hidden="1">
      <c r="A534" s="122" t="s">
        <v>3138</v>
      </c>
      <c r="B534" s="122" t="s">
        <v>1457</v>
      </c>
      <c r="C534" s="122" t="s">
        <v>1441</v>
      </c>
      <c r="D534" s="122" t="s">
        <v>1435</v>
      </c>
      <c r="E534" s="312">
        <v>41258</v>
      </c>
      <c r="F534" s="311">
        <v>0.53472222222222221</v>
      </c>
      <c r="G534" s="202">
        <v>19</v>
      </c>
      <c r="H534" s="202">
        <v>15371</v>
      </c>
    </row>
    <row r="535" spans="1:8" hidden="1">
      <c r="A535" s="122" t="s">
        <v>1448</v>
      </c>
      <c r="B535" s="122" t="s">
        <v>1437</v>
      </c>
      <c r="C535" s="122" t="s">
        <v>1439</v>
      </c>
      <c r="D535" s="122" t="s">
        <v>1455</v>
      </c>
      <c r="E535" s="312">
        <v>41160</v>
      </c>
      <c r="F535" s="311">
        <v>0.66666666666666663</v>
      </c>
      <c r="G535" s="202">
        <v>8</v>
      </c>
      <c r="H535" s="202">
        <v>9648</v>
      </c>
    </row>
    <row r="536" spans="1:8" hidden="1">
      <c r="A536" s="122" t="s">
        <v>1476</v>
      </c>
      <c r="B536" s="122" t="s">
        <v>1457</v>
      </c>
      <c r="C536" s="122" t="s">
        <v>1436</v>
      </c>
      <c r="D536" s="122" t="s">
        <v>1435</v>
      </c>
      <c r="E536" s="312">
        <v>41160</v>
      </c>
      <c r="F536" s="311">
        <v>0.4236111111111111</v>
      </c>
      <c r="G536" s="202">
        <v>13</v>
      </c>
      <c r="H536" s="202">
        <v>18226</v>
      </c>
    </row>
    <row r="537" spans="1:8" hidden="1">
      <c r="A537" s="122" t="s">
        <v>1444</v>
      </c>
      <c r="B537" s="122" t="s">
        <v>1458</v>
      </c>
      <c r="C537" s="122" t="s">
        <v>1441</v>
      </c>
      <c r="D537" s="122" t="s">
        <v>1453</v>
      </c>
      <c r="E537" s="312">
        <v>41278</v>
      </c>
      <c r="F537" s="311">
        <v>0.40277777777777773</v>
      </c>
      <c r="G537" s="202">
        <v>6</v>
      </c>
      <c r="H537" s="202">
        <v>3642</v>
      </c>
    </row>
    <row r="538" spans="1:8" hidden="1">
      <c r="A538" s="122" t="s">
        <v>1438</v>
      </c>
      <c r="B538" s="122" t="s">
        <v>1460</v>
      </c>
      <c r="C538" s="122" t="s">
        <v>1436</v>
      </c>
      <c r="D538" s="122" t="s">
        <v>1435</v>
      </c>
      <c r="E538" s="312">
        <v>41160</v>
      </c>
      <c r="F538" s="311">
        <v>0.375</v>
      </c>
      <c r="G538" s="202">
        <v>13</v>
      </c>
      <c r="H538" s="202">
        <v>6071</v>
      </c>
    </row>
    <row r="539" spans="1:8" hidden="1">
      <c r="A539" s="122" t="s">
        <v>1438</v>
      </c>
      <c r="B539" s="122" t="s">
        <v>1437</v>
      </c>
      <c r="C539" s="122" t="s">
        <v>1445</v>
      </c>
      <c r="D539" s="122" t="s">
        <v>1450</v>
      </c>
      <c r="E539" s="312">
        <v>41317</v>
      </c>
      <c r="F539" s="311">
        <v>0.375</v>
      </c>
      <c r="G539" s="202">
        <v>15</v>
      </c>
      <c r="H539" s="202">
        <v>14235</v>
      </c>
    </row>
    <row r="540" spans="1:8" hidden="1">
      <c r="A540" s="122" t="s">
        <v>1447</v>
      </c>
      <c r="B540" s="122" t="s">
        <v>1459</v>
      </c>
      <c r="C540" s="122" t="s">
        <v>1445</v>
      </c>
      <c r="D540" s="122" t="s">
        <v>1450</v>
      </c>
      <c r="E540" s="312">
        <v>41051</v>
      </c>
      <c r="F540" s="311">
        <v>0.69791666666666663</v>
      </c>
      <c r="G540" s="202">
        <v>1</v>
      </c>
      <c r="H540" s="202">
        <v>824</v>
      </c>
    </row>
    <row r="541" spans="1:8" hidden="1">
      <c r="A541" s="122" t="s">
        <v>1474</v>
      </c>
      <c r="B541" s="122" t="s">
        <v>1458</v>
      </c>
      <c r="C541" s="122" t="s">
        <v>1439</v>
      </c>
      <c r="D541" s="122" t="s">
        <v>1450</v>
      </c>
      <c r="E541" s="312">
        <v>41279</v>
      </c>
      <c r="F541" s="311">
        <v>0.43402777777777773</v>
      </c>
      <c r="G541" s="202">
        <v>11</v>
      </c>
      <c r="H541" s="202">
        <v>6908</v>
      </c>
    </row>
    <row r="542" spans="1:8">
      <c r="A542" s="122" t="s">
        <v>1447</v>
      </c>
      <c r="B542" s="122" t="s">
        <v>1460</v>
      </c>
      <c r="C542" s="122" t="s">
        <v>1445</v>
      </c>
      <c r="D542" s="122" t="s">
        <v>1455</v>
      </c>
      <c r="E542" s="312">
        <v>40933</v>
      </c>
      <c r="F542" s="311">
        <v>0.74652777777777779</v>
      </c>
      <c r="G542" s="202">
        <v>10</v>
      </c>
      <c r="H542" s="313">
        <v>6720</v>
      </c>
    </row>
    <row r="543" spans="1:8" hidden="1">
      <c r="A543" s="122" t="s">
        <v>1438</v>
      </c>
      <c r="B543" s="122" t="s">
        <v>1459</v>
      </c>
      <c r="C543" s="122" t="s">
        <v>1441</v>
      </c>
      <c r="D543" s="122" t="s">
        <v>1453</v>
      </c>
      <c r="E543" s="312">
        <v>41041</v>
      </c>
      <c r="F543" s="311">
        <v>0.60416666666666663</v>
      </c>
      <c r="G543" s="202">
        <v>12</v>
      </c>
      <c r="H543" s="202">
        <v>4740</v>
      </c>
    </row>
    <row r="544" spans="1:8">
      <c r="A544" s="122" t="s">
        <v>1438</v>
      </c>
      <c r="B544" s="122" t="s">
        <v>1460</v>
      </c>
      <c r="C544" s="122" t="s">
        <v>1436</v>
      </c>
      <c r="D544" s="122" t="s">
        <v>1435</v>
      </c>
      <c r="E544" s="312">
        <v>41444</v>
      </c>
      <c r="F544" s="311">
        <v>0.4236111111111111</v>
      </c>
      <c r="G544" s="202">
        <v>17</v>
      </c>
      <c r="H544" s="202">
        <v>9112</v>
      </c>
    </row>
    <row r="545" spans="1:8" hidden="1">
      <c r="A545" s="122" t="s">
        <v>1444</v>
      </c>
      <c r="B545" s="122" t="s">
        <v>1460</v>
      </c>
      <c r="C545" s="122" t="s">
        <v>1436</v>
      </c>
      <c r="D545" s="122" t="s">
        <v>1452</v>
      </c>
      <c r="E545" s="312">
        <v>41160</v>
      </c>
      <c r="F545" s="311">
        <v>0.72569444444444442</v>
      </c>
      <c r="G545" s="202">
        <v>10</v>
      </c>
      <c r="H545" s="202">
        <v>4080</v>
      </c>
    </row>
    <row r="546" spans="1:8">
      <c r="A546" s="122" t="s">
        <v>1444</v>
      </c>
      <c r="B546" s="122" t="s">
        <v>1459</v>
      </c>
      <c r="C546" s="122" t="s">
        <v>1439</v>
      </c>
      <c r="D546" s="122" t="s">
        <v>1453</v>
      </c>
      <c r="E546" s="312">
        <v>40975</v>
      </c>
      <c r="F546" s="311">
        <v>0.57638888888888884</v>
      </c>
      <c r="G546" s="202">
        <v>2</v>
      </c>
      <c r="H546" s="313">
        <v>1384</v>
      </c>
    </row>
    <row r="547" spans="1:8" hidden="1">
      <c r="A547" s="122" t="s">
        <v>1448</v>
      </c>
      <c r="B547" s="122" t="s">
        <v>1460</v>
      </c>
      <c r="C547" s="122" t="s">
        <v>1439</v>
      </c>
      <c r="D547" s="122" t="s">
        <v>1453</v>
      </c>
      <c r="E547" s="312">
        <v>41555</v>
      </c>
      <c r="F547" s="311">
        <v>0.33680555555555552</v>
      </c>
      <c r="G547" s="202">
        <v>3</v>
      </c>
      <c r="H547" s="202">
        <v>2253</v>
      </c>
    </row>
    <row r="548" spans="1:8" hidden="1">
      <c r="A548" s="122" t="s">
        <v>1438</v>
      </c>
      <c r="B548" s="122" t="s">
        <v>1457</v>
      </c>
      <c r="C548" s="122" t="s">
        <v>1436</v>
      </c>
      <c r="D548" s="122" t="s">
        <v>1450</v>
      </c>
      <c r="E548" s="312">
        <v>40980</v>
      </c>
      <c r="F548" s="311">
        <v>0.67708333333333326</v>
      </c>
      <c r="G548" s="202">
        <v>1</v>
      </c>
      <c r="H548" s="313">
        <v>1065</v>
      </c>
    </row>
    <row r="549" spans="1:8" hidden="1">
      <c r="A549" s="122" t="s">
        <v>1474</v>
      </c>
      <c r="B549" s="122" t="s">
        <v>1459</v>
      </c>
      <c r="C549" s="122" t="s">
        <v>1445</v>
      </c>
      <c r="D549" s="122" t="s">
        <v>1455</v>
      </c>
      <c r="E549" s="312">
        <v>41158</v>
      </c>
      <c r="F549" s="311">
        <v>0.44097222222222221</v>
      </c>
      <c r="G549" s="202">
        <v>3</v>
      </c>
      <c r="H549" s="202">
        <v>1557</v>
      </c>
    </row>
    <row r="550" spans="1:8" hidden="1">
      <c r="A550" s="122" t="s">
        <v>1456</v>
      </c>
      <c r="B550" s="122" t="s">
        <v>1437</v>
      </c>
      <c r="C550" s="122" t="s">
        <v>1439</v>
      </c>
      <c r="D550" s="122" t="s">
        <v>1450</v>
      </c>
      <c r="E550" s="312">
        <v>41158</v>
      </c>
      <c r="F550" s="311">
        <v>0.56944444444444442</v>
      </c>
      <c r="G550" s="202">
        <v>10</v>
      </c>
      <c r="H550" s="202">
        <v>6650</v>
      </c>
    </row>
    <row r="551" spans="1:8" hidden="1">
      <c r="A551" s="122" t="s">
        <v>3138</v>
      </c>
      <c r="B551" s="122" t="s">
        <v>1459</v>
      </c>
      <c r="C551" s="122" t="s">
        <v>1445</v>
      </c>
      <c r="D551" s="122" t="s">
        <v>1450</v>
      </c>
      <c r="E551" s="312">
        <v>41219</v>
      </c>
      <c r="F551" s="311">
        <v>0.60069444444444442</v>
      </c>
      <c r="G551" s="202">
        <v>4</v>
      </c>
      <c r="H551" s="202">
        <v>1448</v>
      </c>
    </row>
    <row r="552" spans="1:8" hidden="1">
      <c r="A552" s="122" t="s">
        <v>1447</v>
      </c>
      <c r="B552" s="122" t="s">
        <v>1459</v>
      </c>
      <c r="C552" s="122" t="s">
        <v>1445</v>
      </c>
      <c r="D552" s="122" t="s">
        <v>1453</v>
      </c>
      <c r="E552" s="312">
        <v>41264</v>
      </c>
      <c r="F552" s="311">
        <v>0.6875</v>
      </c>
      <c r="G552" s="202">
        <v>3</v>
      </c>
      <c r="H552" s="202">
        <v>2295</v>
      </c>
    </row>
    <row r="553" spans="1:8" hidden="1">
      <c r="A553" s="122" t="s">
        <v>1444</v>
      </c>
      <c r="B553" s="122" t="s">
        <v>1458</v>
      </c>
      <c r="C553" s="122" t="s">
        <v>1436</v>
      </c>
      <c r="D553" s="122" t="s">
        <v>1450</v>
      </c>
      <c r="E553" s="312">
        <v>41158</v>
      </c>
      <c r="F553" s="311">
        <v>0.74652777777777779</v>
      </c>
      <c r="G553" s="202">
        <v>4</v>
      </c>
      <c r="H553" s="202">
        <v>1244</v>
      </c>
    </row>
    <row r="554" spans="1:8" hidden="1">
      <c r="A554" s="122" t="s">
        <v>1456</v>
      </c>
      <c r="B554" s="122" t="s">
        <v>1458</v>
      </c>
      <c r="C554" s="122" t="s">
        <v>1445</v>
      </c>
      <c r="D554" s="122" t="s">
        <v>1452</v>
      </c>
      <c r="E554" s="312">
        <v>41198</v>
      </c>
      <c r="F554" s="311">
        <v>0.64583333333333326</v>
      </c>
      <c r="G554" s="202">
        <v>2</v>
      </c>
      <c r="H554" s="202">
        <v>840</v>
      </c>
    </row>
    <row r="555" spans="1:8" hidden="1">
      <c r="A555" s="122" t="s">
        <v>1472</v>
      </c>
      <c r="B555" s="122" t="s">
        <v>1460</v>
      </c>
      <c r="C555" s="122" t="s">
        <v>1436</v>
      </c>
      <c r="D555" s="122" t="s">
        <v>1450</v>
      </c>
      <c r="E555" s="312">
        <v>41072</v>
      </c>
      <c r="F555" s="311">
        <v>0.65277777777777779</v>
      </c>
      <c r="G555" s="202">
        <v>3</v>
      </c>
      <c r="H555" s="202">
        <v>1659</v>
      </c>
    </row>
    <row r="556" spans="1:8" hidden="1">
      <c r="A556" s="122" t="s">
        <v>1476</v>
      </c>
      <c r="B556" s="122" t="s">
        <v>1437</v>
      </c>
      <c r="C556" s="122" t="s">
        <v>1441</v>
      </c>
      <c r="D556" s="122" t="s">
        <v>1435</v>
      </c>
      <c r="E556" s="312">
        <v>41450</v>
      </c>
      <c r="F556" s="311">
        <v>0.61805555555555547</v>
      </c>
      <c r="G556" s="202">
        <v>9</v>
      </c>
      <c r="H556" s="202">
        <v>4869</v>
      </c>
    </row>
    <row r="557" spans="1:8" hidden="1">
      <c r="A557" s="122" t="s">
        <v>1476</v>
      </c>
      <c r="B557" s="122" t="s">
        <v>1459</v>
      </c>
      <c r="C557" s="122" t="s">
        <v>1445</v>
      </c>
      <c r="D557" s="122" t="s">
        <v>1453</v>
      </c>
      <c r="E557" s="312">
        <v>41366</v>
      </c>
      <c r="F557" s="311">
        <v>0.64930555555555547</v>
      </c>
      <c r="G557" s="202">
        <v>10</v>
      </c>
      <c r="H557" s="202">
        <v>6580</v>
      </c>
    </row>
    <row r="558" spans="1:8" hidden="1">
      <c r="A558" s="122" t="s">
        <v>1438</v>
      </c>
      <c r="B558" s="122" t="s">
        <v>1457</v>
      </c>
      <c r="C558" s="122" t="s">
        <v>1445</v>
      </c>
      <c r="D558" s="122" t="s">
        <v>1450</v>
      </c>
      <c r="E558" s="312">
        <v>41606</v>
      </c>
      <c r="F558" s="311">
        <v>0.37847222222222221</v>
      </c>
      <c r="G558" s="202">
        <v>5</v>
      </c>
      <c r="H558" s="202">
        <v>5970</v>
      </c>
    </row>
    <row r="559" spans="1:8" hidden="1">
      <c r="A559" s="122" t="s">
        <v>1448</v>
      </c>
      <c r="B559" s="122" t="s">
        <v>1437</v>
      </c>
      <c r="C559" s="122" t="s">
        <v>1436</v>
      </c>
      <c r="D559" s="122" t="s">
        <v>1452</v>
      </c>
      <c r="E559" s="312">
        <v>41006</v>
      </c>
      <c r="F559" s="311">
        <v>0.65277777777777779</v>
      </c>
      <c r="G559" s="202">
        <v>14</v>
      </c>
      <c r="H559" s="202">
        <v>23394</v>
      </c>
    </row>
    <row r="560" spans="1:8" hidden="1">
      <c r="A560" s="122" t="s">
        <v>1454</v>
      </c>
      <c r="B560" s="122" t="s">
        <v>1460</v>
      </c>
      <c r="C560" s="122" t="s">
        <v>1439</v>
      </c>
      <c r="D560" s="122" t="s">
        <v>1435</v>
      </c>
      <c r="E560" s="312">
        <v>41443</v>
      </c>
      <c r="F560" s="311">
        <v>0.52083333333333326</v>
      </c>
      <c r="G560" s="202">
        <v>19</v>
      </c>
      <c r="H560" s="202">
        <v>9063</v>
      </c>
    </row>
    <row r="561" spans="1:8" hidden="1">
      <c r="A561" s="122" t="s">
        <v>1447</v>
      </c>
      <c r="B561" s="122" t="s">
        <v>1437</v>
      </c>
      <c r="C561" s="122" t="s">
        <v>1436</v>
      </c>
      <c r="D561" s="122" t="s">
        <v>1435</v>
      </c>
      <c r="E561" s="312">
        <v>41067</v>
      </c>
      <c r="F561" s="311">
        <v>0.73958333333333326</v>
      </c>
      <c r="G561" s="202">
        <v>18</v>
      </c>
      <c r="H561" s="202">
        <v>25794</v>
      </c>
    </row>
    <row r="562" spans="1:8">
      <c r="A562" s="122" t="s">
        <v>1448</v>
      </c>
      <c r="B562" s="122" t="s">
        <v>1458</v>
      </c>
      <c r="C562" s="122" t="s">
        <v>1445</v>
      </c>
      <c r="D562" s="122" t="s">
        <v>1450</v>
      </c>
      <c r="E562" s="312">
        <v>41304</v>
      </c>
      <c r="F562" s="311">
        <v>0.70486111111111105</v>
      </c>
      <c r="G562" s="202">
        <v>6</v>
      </c>
      <c r="H562" s="202">
        <v>2814</v>
      </c>
    </row>
    <row r="563" spans="1:8" hidden="1">
      <c r="A563" s="122" t="s">
        <v>1449</v>
      </c>
      <c r="B563" s="122" t="s">
        <v>1460</v>
      </c>
      <c r="C563" s="122" t="s">
        <v>1436</v>
      </c>
      <c r="D563" s="122" t="s">
        <v>1455</v>
      </c>
      <c r="E563" s="312">
        <v>41201</v>
      </c>
      <c r="F563" s="311">
        <v>0.3923611111111111</v>
      </c>
      <c r="G563" s="202">
        <v>2</v>
      </c>
      <c r="H563" s="202">
        <v>1570</v>
      </c>
    </row>
    <row r="564" spans="1:8" hidden="1">
      <c r="A564" s="122" t="s">
        <v>1476</v>
      </c>
      <c r="B564" s="122" t="s">
        <v>1437</v>
      </c>
      <c r="C564" s="122" t="s">
        <v>1445</v>
      </c>
      <c r="D564" s="122" t="s">
        <v>1453</v>
      </c>
      <c r="E564" s="312">
        <v>41257</v>
      </c>
      <c r="F564" s="311">
        <v>0.6875</v>
      </c>
      <c r="G564" s="202">
        <v>11</v>
      </c>
      <c r="H564" s="202">
        <v>20724</v>
      </c>
    </row>
    <row r="565" spans="1:8" hidden="1">
      <c r="A565" s="122" t="s">
        <v>1438</v>
      </c>
      <c r="B565" s="122" t="s">
        <v>1459</v>
      </c>
      <c r="C565" s="122" t="s">
        <v>1441</v>
      </c>
      <c r="D565" s="122" t="s">
        <v>1435</v>
      </c>
      <c r="E565" s="312">
        <v>41219</v>
      </c>
      <c r="F565" s="311">
        <v>0.40625</v>
      </c>
      <c r="G565" s="202">
        <v>16</v>
      </c>
      <c r="H565" s="202">
        <v>5536</v>
      </c>
    </row>
    <row r="566" spans="1:8" hidden="1">
      <c r="A566" s="122" t="s">
        <v>1454</v>
      </c>
      <c r="B566" s="122" t="s">
        <v>1459</v>
      </c>
      <c r="C566" s="122" t="s">
        <v>1445</v>
      </c>
      <c r="D566" s="122" t="s">
        <v>1435</v>
      </c>
      <c r="E566" s="312">
        <v>41310</v>
      </c>
      <c r="F566" s="311">
        <v>0.4375</v>
      </c>
      <c r="G566" s="202">
        <v>11</v>
      </c>
      <c r="H566" s="202">
        <v>7656</v>
      </c>
    </row>
    <row r="567" spans="1:8" hidden="1">
      <c r="A567" s="122" t="s">
        <v>1472</v>
      </c>
      <c r="B567" s="122" t="s">
        <v>1457</v>
      </c>
      <c r="C567" s="122" t="s">
        <v>1445</v>
      </c>
      <c r="D567" s="122" t="s">
        <v>1455</v>
      </c>
      <c r="E567" s="312">
        <v>41349</v>
      </c>
      <c r="F567" s="311">
        <v>0.71180555555555547</v>
      </c>
      <c r="G567" s="202">
        <v>1</v>
      </c>
      <c r="H567" s="202">
        <v>1169</v>
      </c>
    </row>
    <row r="568" spans="1:8" hidden="1">
      <c r="A568" s="122" t="s">
        <v>1443</v>
      </c>
      <c r="B568" s="122" t="s">
        <v>1437</v>
      </c>
      <c r="C568" s="122" t="s">
        <v>1445</v>
      </c>
      <c r="D568" s="122" t="s">
        <v>1450</v>
      </c>
      <c r="E568" s="312">
        <v>41018</v>
      </c>
      <c r="F568" s="311">
        <v>0.43055555555555552</v>
      </c>
      <c r="G568" s="202">
        <v>7</v>
      </c>
      <c r="H568" s="202">
        <v>6307</v>
      </c>
    </row>
    <row r="569" spans="1:8" hidden="1">
      <c r="A569" s="122" t="s">
        <v>3138</v>
      </c>
      <c r="B569" s="122" t="s">
        <v>1458</v>
      </c>
      <c r="C569" s="122" t="s">
        <v>1436</v>
      </c>
      <c r="D569" s="122" t="s">
        <v>1455</v>
      </c>
      <c r="E569" s="312">
        <v>41300</v>
      </c>
      <c r="F569" s="311">
        <v>0.43055555555555552</v>
      </c>
      <c r="G569" s="202">
        <v>4</v>
      </c>
      <c r="H569" s="202">
        <v>1240</v>
      </c>
    </row>
    <row r="570" spans="1:8" hidden="1">
      <c r="A570" s="122" t="s">
        <v>1472</v>
      </c>
      <c r="B570" s="122" t="s">
        <v>1460</v>
      </c>
      <c r="C570" s="122" t="s">
        <v>1441</v>
      </c>
      <c r="D570" s="122" t="s">
        <v>1455</v>
      </c>
      <c r="E570" s="312">
        <v>41156</v>
      </c>
      <c r="F570" s="311">
        <v>0.4548611111111111</v>
      </c>
      <c r="G570" s="202">
        <v>14</v>
      </c>
      <c r="H570" s="202">
        <v>8120</v>
      </c>
    </row>
    <row r="571" spans="1:8">
      <c r="A571" s="122" t="s">
        <v>1449</v>
      </c>
      <c r="B571" s="122" t="s">
        <v>1459</v>
      </c>
      <c r="C571" s="122" t="s">
        <v>1436</v>
      </c>
      <c r="D571" s="122" t="s">
        <v>1435</v>
      </c>
      <c r="E571" s="312">
        <v>40940</v>
      </c>
      <c r="F571" s="311">
        <v>0.3576388888888889</v>
      </c>
      <c r="G571" s="202">
        <v>17</v>
      </c>
      <c r="H571" s="202">
        <v>11407</v>
      </c>
    </row>
    <row r="572" spans="1:8">
      <c r="A572" s="122" t="s">
        <v>1449</v>
      </c>
      <c r="B572" s="122" t="s">
        <v>1458</v>
      </c>
      <c r="C572" s="122" t="s">
        <v>1439</v>
      </c>
      <c r="D572" s="122" t="s">
        <v>1453</v>
      </c>
      <c r="E572" s="312">
        <v>41381</v>
      </c>
      <c r="F572" s="311">
        <v>0.51388888888888884</v>
      </c>
      <c r="G572" s="202">
        <v>12</v>
      </c>
      <c r="H572" s="202">
        <v>6048</v>
      </c>
    </row>
    <row r="573" spans="1:8" hidden="1">
      <c r="A573" s="122" t="s">
        <v>1456</v>
      </c>
      <c r="B573" s="122" t="s">
        <v>1458</v>
      </c>
      <c r="C573" s="122" t="s">
        <v>1445</v>
      </c>
      <c r="D573" s="122" t="s">
        <v>1435</v>
      </c>
      <c r="E573" s="312">
        <v>41261</v>
      </c>
      <c r="F573" s="311">
        <v>0.36458333333333331</v>
      </c>
      <c r="G573" s="202">
        <v>19</v>
      </c>
      <c r="H573" s="202">
        <v>6536</v>
      </c>
    </row>
    <row r="574" spans="1:8">
      <c r="A574" s="122" t="s">
        <v>1476</v>
      </c>
      <c r="B574" s="122" t="s">
        <v>1460</v>
      </c>
      <c r="C574" s="122" t="s">
        <v>1445</v>
      </c>
      <c r="D574" s="122" t="s">
        <v>1453</v>
      </c>
      <c r="E574" s="312">
        <v>41227</v>
      </c>
      <c r="F574" s="311">
        <v>0.63888888888888884</v>
      </c>
      <c r="G574" s="202">
        <v>5</v>
      </c>
      <c r="H574" s="202">
        <v>3765</v>
      </c>
    </row>
    <row r="575" spans="1:8" hidden="1">
      <c r="A575" s="122" t="s">
        <v>1474</v>
      </c>
      <c r="B575" s="122" t="s">
        <v>1460</v>
      </c>
      <c r="C575" s="122" t="s">
        <v>1441</v>
      </c>
      <c r="D575" s="122" t="s">
        <v>1452</v>
      </c>
      <c r="E575" s="312">
        <v>41156</v>
      </c>
      <c r="F575" s="311">
        <v>0.6875</v>
      </c>
      <c r="G575" s="202">
        <v>1</v>
      </c>
      <c r="H575" s="202">
        <v>567</v>
      </c>
    </row>
    <row r="576" spans="1:8" hidden="1">
      <c r="A576" s="122" t="s">
        <v>1472</v>
      </c>
      <c r="B576" s="122" t="s">
        <v>1457</v>
      </c>
      <c r="C576" s="122" t="s">
        <v>1445</v>
      </c>
      <c r="D576" s="122" t="s">
        <v>1455</v>
      </c>
      <c r="E576" s="312">
        <v>41155</v>
      </c>
      <c r="F576" s="311">
        <v>0.3576388888888889</v>
      </c>
      <c r="G576" s="202">
        <v>13</v>
      </c>
      <c r="H576" s="202">
        <v>18304</v>
      </c>
    </row>
    <row r="577" spans="1:8" hidden="1">
      <c r="A577" s="122" t="s">
        <v>1448</v>
      </c>
      <c r="B577" s="122" t="s">
        <v>1458</v>
      </c>
      <c r="C577" s="122" t="s">
        <v>1436</v>
      </c>
      <c r="D577" s="122" t="s">
        <v>1452</v>
      </c>
      <c r="E577" s="312">
        <v>41354</v>
      </c>
      <c r="F577" s="311">
        <v>0.72222222222222221</v>
      </c>
      <c r="G577" s="202">
        <v>9</v>
      </c>
      <c r="H577" s="202">
        <v>5220</v>
      </c>
    </row>
    <row r="578" spans="1:8" hidden="1">
      <c r="A578" s="122" t="s">
        <v>1449</v>
      </c>
      <c r="B578" s="122" t="s">
        <v>1437</v>
      </c>
      <c r="C578" s="122" t="s">
        <v>1441</v>
      </c>
      <c r="D578" s="122" t="s">
        <v>1435</v>
      </c>
      <c r="E578" s="312">
        <v>40931</v>
      </c>
      <c r="F578" s="311">
        <v>0.64583333333333326</v>
      </c>
      <c r="G578" s="202">
        <v>7</v>
      </c>
      <c r="H578" s="202">
        <v>8694</v>
      </c>
    </row>
    <row r="579" spans="1:8">
      <c r="A579" s="122" t="s">
        <v>1447</v>
      </c>
      <c r="B579" s="122" t="s">
        <v>1459</v>
      </c>
      <c r="C579" s="122" t="s">
        <v>1439</v>
      </c>
      <c r="D579" s="122" t="s">
        <v>1435</v>
      </c>
      <c r="E579" s="312">
        <v>40940</v>
      </c>
      <c r="F579" s="311">
        <v>0.37152777777777773</v>
      </c>
      <c r="G579" s="202">
        <v>7</v>
      </c>
      <c r="H579" s="202">
        <v>2849</v>
      </c>
    </row>
    <row r="580" spans="1:8" hidden="1">
      <c r="A580" s="122" t="s">
        <v>1444</v>
      </c>
      <c r="B580" s="122" t="s">
        <v>1437</v>
      </c>
      <c r="C580" s="122" t="s">
        <v>1436</v>
      </c>
      <c r="D580" s="122" t="s">
        <v>1435</v>
      </c>
      <c r="E580" s="312">
        <v>41155</v>
      </c>
      <c r="F580" s="311">
        <v>0.46180555555555552</v>
      </c>
      <c r="G580" s="202">
        <v>7</v>
      </c>
      <c r="H580" s="202">
        <v>10164</v>
      </c>
    </row>
    <row r="581" spans="1:8" hidden="1">
      <c r="A581" s="122" t="s">
        <v>1476</v>
      </c>
      <c r="B581" s="122" t="s">
        <v>1458</v>
      </c>
      <c r="C581" s="122" t="s">
        <v>1436</v>
      </c>
      <c r="D581" s="122" t="s">
        <v>1453</v>
      </c>
      <c r="E581" s="312">
        <v>41417</v>
      </c>
      <c r="F581" s="311">
        <v>0.40625</v>
      </c>
      <c r="G581" s="202">
        <v>13</v>
      </c>
      <c r="H581" s="202">
        <v>3926</v>
      </c>
    </row>
    <row r="582" spans="1:8" hidden="1">
      <c r="A582" s="122" t="s">
        <v>1443</v>
      </c>
      <c r="B582" s="122" t="s">
        <v>1460</v>
      </c>
      <c r="C582" s="122" t="s">
        <v>1439</v>
      </c>
      <c r="D582" s="122" t="s">
        <v>1450</v>
      </c>
      <c r="E582" s="312">
        <v>41155</v>
      </c>
      <c r="F582" s="311">
        <v>0.66666666666666663</v>
      </c>
      <c r="G582" s="202">
        <v>4</v>
      </c>
      <c r="H582" s="202">
        <v>3420</v>
      </c>
    </row>
    <row r="583" spans="1:8">
      <c r="A583" s="122" t="s">
        <v>1443</v>
      </c>
      <c r="B583" s="122" t="s">
        <v>1460</v>
      </c>
      <c r="C583" s="122" t="s">
        <v>1441</v>
      </c>
      <c r="D583" s="122" t="s">
        <v>1450</v>
      </c>
      <c r="E583" s="312">
        <v>41591</v>
      </c>
      <c r="F583" s="311">
        <v>0.37847222222222221</v>
      </c>
      <c r="G583" s="202">
        <v>3</v>
      </c>
      <c r="H583" s="202">
        <v>2337</v>
      </c>
    </row>
    <row r="584" spans="1:8" hidden="1">
      <c r="A584" s="122" t="s">
        <v>1476</v>
      </c>
      <c r="B584" s="122" t="s">
        <v>1437</v>
      </c>
      <c r="C584" s="122" t="s">
        <v>1445</v>
      </c>
      <c r="D584" s="122" t="s">
        <v>1450</v>
      </c>
      <c r="E584" s="312">
        <v>41002</v>
      </c>
      <c r="F584" s="311">
        <v>0.46875</v>
      </c>
      <c r="G584" s="202">
        <v>2</v>
      </c>
      <c r="H584" s="202">
        <v>1020</v>
      </c>
    </row>
    <row r="585" spans="1:8" hidden="1">
      <c r="A585" s="122" t="s">
        <v>1476</v>
      </c>
      <c r="B585" s="122" t="s">
        <v>1437</v>
      </c>
      <c r="C585" s="122" t="s">
        <v>1439</v>
      </c>
      <c r="D585" s="122" t="s">
        <v>1450</v>
      </c>
      <c r="E585" s="312">
        <v>41576</v>
      </c>
      <c r="F585" s="311">
        <v>0.73263888888888884</v>
      </c>
      <c r="G585" s="202">
        <v>11</v>
      </c>
      <c r="H585" s="202">
        <v>14421</v>
      </c>
    </row>
    <row r="586" spans="1:8">
      <c r="A586" s="122" t="s">
        <v>1456</v>
      </c>
      <c r="B586" s="122" t="s">
        <v>1458</v>
      </c>
      <c r="C586" s="122" t="s">
        <v>1436</v>
      </c>
      <c r="D586" s="122" t="s">
        <v>1453</v>
      </c>
      <c r="E586" s="312">
        <v>40954</v>
      </c>
      <c r="F586" s="311">
        <v>0.67708333333333326</v>
      </c>
      <c r="G586" s="202">
        <v>8</v>
      </c>
      <c r="H586" s="313">
        <v>3904</v>
      </c>
    </row>
    <row r="587" spans="1:8" hidden="1">
      <c r="A587" s="122" t="s">
        <v>1449</v>
      </c>
      <c r="B587" s="122" t="s">
        <v>1437</v>
      </c>
      <c r="C587" s="122" t="s">
        <v>1441</v>
      </c>
      <c r="D587" s="122" t="s">
        <v>1453</v>
      </c>
      <c r="E587" s="312">
        <v>41398</v>
      </c>
      <c r="F587" s="311">
        <v>0.73958333333333326</v>
      </c>
      <c r="G587" s="202">
        <v>8</v>
      </c>
      <c r="H587" s="202">
        <v>8024</v>
      </c>
    </row>
    <row r="588" spans="1:8" hidden="1">
      <c r="A588" s="122" t="s">
        <v>1476</v>
      </c>
      <c r="B588" s="122" t="s">
        <v>1457</v>
      </c>
      <c r="C588" s="122" t="s">
        <v>1445</v>
      </c>
      <c r="D588" s="122" t="s">
        <v>1455</v>
      </c>
      <c r="E588" s="312">
        <v>41452</v>
      </c>
      <c r="F588" s="311">
        <v>0.59027777777777779</v>
      </c>
      <c r="G588" s="202">
        <v>4</v>
      </c>
      <c r="H588" s="202">
        <v>2312</v>
      </c>
    </row>
    <row r="589" spans="1:8" hidden="1">
      <c r="A589" s="122" t="s">
        <v>1476</v>
      </c>
      <c r="B589" s="122" t="s">
        <v>1457</v>
      </c>
      <c r="C589" s="122" t="s">
        <v>1439</v>
      </c>
      <c r="D589" s="122" t="s">
        <v>1450</v>
      </c>
      <c r="E589" s="312">
        <v>41155</v>
      </c>
      <c r="F589" s="311">
        <v>0.72222222222222221</v>
      </c>
      <c r="G589" s="202">
        <v>1</v>
      </c>
      <c r="H589" s="202">
        <v>1348</v>
      </c>
    </row>
    <row r="590" spans="1:8" hidden="1">
      <c r="A590" s="122" t="s">
        <v>1438</v>
      </c>
      <c r="B590" s="122" t="s">
        <v>1459</v>
      </c>
      <c r="C590" s="122" t="s">
        <v>1445</v>
      </c>
      <c r="D590" s="122" t="s">
        <v>1455</v>
      </c>
      <c r="E590" s="312">
        <v>41606</v>
      </c>
      <c r="F590" s="311">
        <v>0.54513888888888884</v>
      </c>
      <c r="G590" s="202">
        <v>9</v>
      </c>
      <c r="H590" s="202">
        <v>7461</v>
      </c>
    </row>
    <row r="591" spans="1:8" hidden="1">
      <c r="A591" s="122" t="s">
        <v>1449</v>
      </c>
      <c r="B591" s="122" t="s">
        <v>1459</v>
      </c>
      <c r="C591" s="122" t="s">
        <v>1441</v>
      </c>
      <c r="D591" s="122" t="s">
        <v>1435</v>
      </c>
      <c r="E591" s="312">
        <v>40918</v>
      </c>
      <c r="F591" s="311">
        <v>0.36805555555555552</v>
      </c>
      <c r="G591" s="202">
        <v>7</v>
      </c>
      <c r="H591" s="202">
        <v>2751</v>
      </c>
    </row>
    <row r="592" spans="1:8" hidden="1">
      <c r="A592" s="122" t="s">
        <v>1449</v>
      </c>
      <c r="B592" s="122" t="s">
        <v>1437</v>
      </c>
      <c r="C592" s="122" t="s">
        <v>1445</v>
      </c>
      <c r="D592" s="122" t="s">
        <v>1450</v>
      </c>
      <c r="E592" s="312">
        <v>41278</v>
      </c>
      <c r="F592" s="311">
        <v>0.58680555555555547</v>
      </c>
      <c r="G592" s="202">
        <v>11</v>
      </c>
      <c r="H592" s="202">
        <v>6017</v>
      </c>
    </row>
    <row r="593" spans="1:8" hidden="1">
      <c r="A593" s="122" t="s">
        <v>1474</v>
      </c>
      <c r="B593" s="122" t="s">
        <v>1459</v>
      </c>
      <c r="C593" s="122" t="s">
        <v>1436</v>
      </c>
      <c r="D593" s="122" t="s">
        <v>1450</v>
      </c>
      <c r="E593" s="312">
        <v>41187</v>
      </c>
      <c r="F593" s="311">
        <v>0.51041666666666663</v>
      </c>
      <c r="G593" s="202">
        <v>12</v>
      </c>
      <c r="H593" s="202">
        <v>4488</v>
      </c>
    </row>
    <row r="594" spans="1:8">
      <c r="A594" s="122" t="s">
        <v>1447</v>
      </c>
      <c r="B594" s="122" t="s">
        <v>1457</v>
      </c>
      <c r="C594" s="122" t="s">
        <v>1441</v>
      </c>
      <c r="D594" s="122" t="s">
        <v>1455</v>
      </c>
      <c r="E594" s="312">
        <v>41192</v>
      </c>
      <c r="F594" s="311">
        <v>0.63194444444444442</v>
      </c>
      <c r="G594" s="202">
        <v>4</v>
      </c>
      <c r="H594" s="202">
        <v>3672</v>
      </c>
    </row>
    <row r="595" spans="1:8" hidden="1">
      <c r="A595" s="122" t="s">
        <v>1448</v>
      </c>
      <c r="B595" s="122" t="s">
        <v>1458</v>
      </c>
      <c r="C595" s="122" t="s">
        <v>1445</v>
      </c>
      <c r="D595" s="122" t="s">
        <v>1435</v>
      </c>
      <c r="E595" s="312">
        <v>41152</v>
      </c>
      <c r="F595" s="311">
        <v>0.70138888888888884</v>
      </c>
      <c r="G595" s="202">
        <v>9</v>
      </c>
      <c r="H595" s="202">
        <v>5724</v>
      </c>
    </row>
    <row r="596" spans="1:8">
      <c r="A596" s="122" t="s">
        <v>1476</v>
      </c>
      <c r="B596" s="122" t="s">
        <v>1458</v>
      </c>
      <c r="C596" s="122" t="s">
        <v>1445</v>
      </c>
      <c r="D596" s="122" t="s">
        <v>1450</v>
      </c>
      <c r="E596" s="312">
        <v>41024</v>
      </c>
      <c r="F596" s="311">
        <v>0.63541666666666663</v>
      </c>
      <c r="G596" s="202">
        <v>12</v>
      </c>
      <c r="H596" s="202">
        <v>3768</v>
      </c>
    </row>
    <row r="597" spans="1:8" hidden="1">
      <c r="A597" s="122" t="s">
        <v>1448</v>
      </c>
      <c r="B597" s="122" t="s">
        <v>1459</v>
      </c>
      <c r="C597" s="122" t="s">
        <v>1441</v>
      </c>
      <c r="D597" s="122" t="s">
        <v>1455</v>
      </c>
      <c r="E597" s="312">
        <v>41425</v>
      </c>
      <c r="F597" s="311">
        <v>0.65625</v>
      </c>
      <c r="G597" s="202">
        <v>2</v>
      </c>
      <c r="H597" s="202">
        <v>1110</v>
      </c>
    </row>
    <row r="598" spans="1:8" hidden="1">
      <c r="A598" s="122" t="s">
        <v>1474</v>
      </c>
      <c r="B598" s="122" t="s">
        <v>1437</v>
      </c>
      <c r="C598" s="122" t="s">
        <v>1439</v>
      </c>
      <c r="D598" s="122" t="s">
        <v>1450</v>
      </c>
      <c r="E598" s="312">
        <v>41590</v>
      </c>
      <c r="F598" s="311">
        <v>0.38541666666666663</v>
      </c>
      <c r="G598" s="202">
        <v>3</v>
      </c>
      <c r="H598" s="202">
        <v>5571</v>
      </c>
    </row>
    <row r="599" spans="1:8" hidden="1">
      <c r="A599" s="122" t="s">
        <v>3138</v>
      </c>
      <c r="B599" s="122" t="s">
        <v>1437</v>
      </c>
      <c r="C599" s="122" t="s">
        <v>1441</v>
      </c>
      <c r="D599" s="122" t="s">
        <v>1455</v>
      </c>
      <c r="E599" s="312">
        <v>41587</v>
      </c>
      <c r="F599" s="311">
        <v>0.39930555555555552</v>
      </c>
      <c r="G599" s="202">
        <v>2</v>
      </c>
      <c r="H599" s="202">
        <v>1584</v>
      </c>
    </row>
    <row r="600" spans="1:8" hidden="1">
      <c r="A600" s="122" t="s">
        <v>1476</v>
      </c>
      <c r="B600" s="122" t="s">
        <v>1458</v>
      </c>
      <c r="C600" s="122" t="s">
        <v>1441</v>
      </c>
      <c r="D600" s="122" t="s">
        <v>1455</v>
      </c>
      <c r="E600" s="312">
        <v>41072</v>
      </c>
      <c r="F600" s="311">
        <v>0.43402777777777773</v>
      </c>
      <c r="G600" s="202">
        <v>6</v>
      </c>
      <c r="H600" s="202">
        <v>3168</v>
      </c>
    </row>
    <row r="601" spans="1:8" hidden="1">
      <c r="A601" s="122" t="s">
        <v>1438</v>
      </c>
      <c r="B601" s="122" t="s">
        <v>1460</v>
      </c>
      <c r="C601" s="122" t="s">
        <v>1436</v>
      </c>
      <c r="D601" s="122" t="s">
        <v>1452</v>
      </c>
      <c r="E601" s="312">
        <v>41383</v>
      </c>
      <c r="F601" s="311">
        <v>0.63888888888888884</v>
      </c>
      <c r="G601" s="202">
        <v>14</v>
      </c>
      <c r="H601" s="202">
        <v>10780</v>
      </c>
    </row>
    <row r="602" spans="1:8" hidden="1">
      <c r="A602" s="122" t="s">
        <v>3138</v>
      </c>
      <c r="B602" s="122" t="s">
        <v>1459</v>
      </c>
      <c r="C602" s="122" t="s">
        <v>1436</v>
      </c>
      <c r="D602" s="122" t="s">
        <v>1452</v>
      </c>
      <c r="E602" s="312">
        <v>41152</v>
      </c>
      <c r="F602" s="311">
        <v>0.43402777777777773</v>
      </c>
      <c r="G602" s="202">
        <v>1</v>
      </c>
      <c r="H602" s="202">
        <v>766</v>
      </c>
    </row>
    <row r="603" spans="1:8" hidden="1">
      <c r="A603" s="122" t="s">
        <v>1448</v>
      </c>
      <c r="B603" s="122" t="s">
        <v>1460</v>
      </c>
      <c r="C603" s="122" t="s">
        <v>1436</v>
      </c>
      <c r="D603" s="122" t="s">
        <v>1455</v>
      </c>
      <c r="E603" s="312">
        <v>41436</v>
      </c>
      <c r="F603" s="311">
        <v>0.6875</v>
      </c>
      <c r="G603" s="202">
        <v>1</v>
      </c>
      <c r="H603" s="202">
        <v>418</v>
      </c>
    </row>
    <row r="604" spans="1:8">
      <c r="A604" s="122" t="s">
        <v>1447</v>
      </c>
      <c r="B604" s="122" t="s">
        <v>1437</v>
      </c>
      <c r="C604" s="122" t="s">
        <v>1445</v>
      </c>
      <c r="D604" s="122" t="s">
        <v>1452</v>
      </c>
      <c r="E604" s="312">
        <v>41577</v>
      </c>
      <c r="F604" s="311">
        <v>0.3923611111111111</v>
      </c>
      <c r="G604" s="202">
        <v>8</v>
      </c>
      <c r="H604" s="202">
        <v>7200</v>
      </c>
    </row>
    <row r="605" spans="1:8" hidden="1">
      <c r="A605" s="122" t="s">
        <v>1438</v>
      </c>
      <c r="B605" s="122" t="s">
        <v>1457</v>
      </c>
      <c r="C605" s="122" t="s">
        <v>1436</v>
      </c>
      <c r="D605" s="122" t="s">
        <v>1452</v>
      </c>
      <c r="E605" s="312">
        <v>40997</v>
      </c>
      <c r="F605" s="311">
        <v>0.63194444444444442</v>
      </c>
      <c r="G605" s="202">
        <v>6</v>
      </c>
      <c r="H605" s="202">
        <v>7002</v>
      </c>
    </row>
    <row r="606" spans="1:8" hidden="1">
      <c r="A606" s="122" t="s">
        <v>1449</v>
      </c>
      <c r="B606" s="122" t="s">
        <v>1457</v>
      </c>
      <c r="C606" s="122" t="s">
        <v>1436</v>
      </c>
      <c r="D606" s="122" t="s">
        <v>1435</v>
      </c>
      <c r="E606" s="312">
        <v>41380</v>
      </c>
      <c r="F606" s="311">
        <v>0.40277777777777773</v>
      </c>
      <c r="G606" s="202">
        <v>7</v>
      </c>
      <c r="H606" s="202">
        <v>7532</v>
      </c>
    </row>
    <row r="607" spans="1:8" hidden="1">
      <c r="A607" s="122" t="s">
        <v>1438</v>
      </c>
      <c r="B607" s="122" t="s">
        <v>1457</v>
      </c>
      <c r="C607" s="122" t="s">
        <v>1436</v>
      </c>
      <c r="D607" s="122" t="s">
        <v>1435</v>
      </c>
      <c r="E607" s="312">
        <v>41151</v>
      </c>
      <c r="F607" s="311">
        <v>0.53819444444444442</v>
      </c>
      <c r="G607" s="202">
        <v>11</v>
      </c>
      <c r="H607" s="202">
        <v>6721</v>
      </c>
    </row>
    <row r="608" spans="1:8" hidden="1">
      <c r="A608" s="122" t="s">
        <v>1447</v>
      </c>
      <c r="B608" s="122" t="s">
        <v>1457</v>
      </c>
      <c r="C608" s="122" t="s">
        <v>1439</v>
      </c>
      <c r="D608" s="122" t="s">
        <v>1450</v>
      </c>
      <c r="E608" s="312">
        <v>41235</v>
      </c>
      <c r="F608" s="311">
        <v>0.72569444444444442</v>
      </c>
      <c r="G608" s="202">
        <v>5</v>
      </c>
      <c r="H608" s="202">
        <v>2955</v>
      </c>
    </row>
    <row r="609" spans="1:8">
      <c r="A609" s="122" t="s">
        <v>1456</v>
      </c>
      <c r="B609" s="122" t="s">
        <v>1459</v>
      </c>
      <c r="C609" s="122" t="s">
        <v>1445</v>
      </c>
      <c r="D609" s="122" t="s">
        <v>1450</v>
      </c>
      <c r="E609" s="312">
        <v>41150</v>
      </c>
      <c r="F609" s="311">
        <v>0.34027777777777773</v>
      </c>
      <c r="G609" s="202">
        <v>9</v>
      </c>
      <c r="H609" s="202">
        <v>3789</v>
      </c>
    </row>
    <row r="610" spans="1:8" hidden="1">
      <c r="A610" s="122" t="s">
        <v>1454</v>
      </c>
      <c r="B610" s="122" t="s">
        <v>1459</v>
      </c>
      <c r="C610" s="122" t="s">
        <v>1445</v>
      </c>
      <c r="D610" s="122" t="s">
        <v>1450</v>
      </c>
      <c r="E610" s="312">
        <v>41082</v>
      </c>
      <c r="F610" s="311">
        <v>0.39583333333333331</v>
      </c>
      <c r="G610" s="202">
        <v>4</v>
      </c>
      <c r="H610" s="202">
        <v>2180</v>
      </c>
    </row>
    <row r="611" spans="1:8">
      <c r="A611" s="122" t="s">
        <v>1443</v>
      </c>
      <c r="B611" s="122" t="s">
        <v>1459</v>
      </c>
      <c r="C611" s="122" t="s">
        <v>1439</v>
      </c>
      <c r="D611" s="122" t="s">
        <v>1455</v>
      </c>
      <c r="E611" s="312">
        <v>41024</v>
      </c>
      <c r="F611" s="311">
        <v>0.6875</v>
      </c>
      <c r="G611" s="202">
        <v>8</v>
      </c>
      <c r="H611" s="202">
        <v>3592</v>
      </c>
    </row>
    <row r="612" spans="1:8" hidden="1">
      <c r="A612" s="122" t="s">
        <v>1443</v>
      </c>
      <c r="B612" s="122" t="s">
        <v>1457</v>
      </c>
      <c r="C612" s="122" t="s">
        <v>1436</v>
      </c>
      <c r="D612" s="122" t="s">
        <v>1450</v>
      </c>
      <c r="E612" s="312">
        <v>41149</v>
      </c>
      <c r="F612" s="311">
        <v>0.46875</v>
      </c>
      <c r="G612" s="202">
        <v>3</v>
      </c>
      <c r="H612" s="202">
        <v>1590</v>
      </c>
    </row>
    <row r="613" spans="1:8" hidden="1">
      <c r="A613" s="122" t="s">
        <v>1476</v>
      </c>
      <c r="B613" s="122" t="s">
        <v>1457</v>
      </c>
      <c r="C613" s="122" t="s">
        <v>1436</v>
      </c>
      <c r="D613" s="122" t="s">
        <v>1453</v>
      </c>
      <c r="E613" s="312">
        <v>41326</v>
      </c>
      <c r="F613" s="311">
        <v>0.42013888888888884</v>
      </c>
      <c r="G613" s="202">
        <v>6</v>
      </c>
      <c r="H613" s="202">
        <v>6288</v>
      </c>
    </row>
    <row r="614" spans="1:8" hidden="1">
      <c r="A614" s="122" t="s">
        <v>1476</v>
      </c>
      <c r="B614" s="122" t="s">
        <v>1458</v>
      </c>
      <c r="C614" s="122" t="s">
        <v>1445</v>
      </c>
      <c r="D614" s="122" t="s">
        <v>1450</v>
      </c>
      <c r="E614" s="312">
        <v>41149</v>
      </c>
      <c r="F614" s="311">
        <v>0.47569444444444442</v>
      </c>
      <c r="G614" s="202">
        <v>12</v>
      </c>
      <c r="H614" s="202">
        <v>3624</v>
      </c>
    </row>
    <row r="615" spans="1:8" hidden="1">
      <c r="A615" s="122" t="s">
        <v>1448</v>
      </c>
      <c r="B615" s="122" t="s">
        <v>1437</v>
      </c>
      <c r="C615" s="122" t="s">
        <v>1439</v>
      </c>
      <c r="D615" s="122" t="s">
        <v>1453</v>
      </c>
      <c r="E615" s="312">
        <v>41613</v>
      </c>
      <c r="F615" s="311">
        <v>0.59722222222222221</v>
      </c>
      <c r="G615" s="202">
        <v>11</v>
      </c>
      <c r="H615" s="202">
        <v>13453</v>
      </c>
    </row>
    <row r="616" spans="1:8" hidden="1">
      <c r="A616" s="122" t="s">
        <v>1454</v>
      </c>
      <c r="B616" s="122" t="s">
        <v>1457</v>
      </c>
      <c r="C616" s="122" t="s">
        <v>1439</v>
      </c>
      <c r="D616" s="122" t="s">
        <v>1435</v>
      </c>
      <c r="E616" s="312">
        <v>41246</v>
      </c>
      <c r="F616" s="311">
        <v>0.56597222222222221</v>
      </c>
      <c r="G616" s="202">
        <v>13</v>
      </c>
      <c r="H616" s="202">
        <v>15639</v>
      </c>
    </row>
    <row r="617" spans="1:8" hidden="1">
      <c r="A617" s="122" t="s">
        <v>3138</v>
      </c>
      <c r="B617" s="122" t="s">
        <v>1457</v>
      </c>
      <c r="C617" s="122" t="s">
        <v>1445</v>
      </c>
      <c r="D617" s="122" t="s">
        <v>1452</v>
      </c>
      <c r="E617" s="312">
        <v>41149</v>
      </c>
      <c r="F617" s="311">
        <v>0.58333333333333326</v>
      </c>
      <c r="G617" s="202">
        <v>2</v>
      </c>
      <c r="H617" s="202">
        <v>1762</v>
      </c>
    </row>
    <row r="618" spans="1:8" hidden="1">
      <c r="A618" s="122" t="s">
        <v>1472</v>
      </c>
      <c r="B618" s="122" t="s">
        <v>1459</v>
      </c>
      <c r="C618" s="122" t="s">
        <v>1436</v>
      </c>
      <c r="D618" s="122" t="s">
        <v>1452</v>
      </c>
      <c r="E618" s="312">
        <v>41576</v>
      </c>
      <c r="F618" s="311">
        <v>0.57986111111111105</v>
      </c>
      <c r="G618" s="202">
        <v>11</v>
      </c>
      <c r="H618" s="202">
        <v>7348</v>
      </c>
    </row>
    <row r="619" spans="1:8" hidden="1">
      <c r="A619" s="122" t="s">
        <v>1449</v>
      </c>
      <c r="B619" s="122" t="s">
        <v>1459</v>
      </c>
      <c r="C619" s="122" t="s">
        <v>1441</v>
      </c>
      <c r="D619" s="122" t="s">
        <v>1452</v>
      </c>
      <c r="E619" s="312">
        <v>41184</v>
      </c>
      <c r="F619" s="311">
        <v>0.69097222222222221</v>
      </c>
      <c r="G619" s="202">
        <v>15</v>
      </c>
      <c r="H619" s="202">
        <v>8535</v>
      </c>
    </row>
    <row r="620" spans="1:8" hidden="1">
      <c r="A620" s="122" t="s">
        <v>3138</v>
      </c>
      <c r="B620" s="122" t="s">
        <v>1437</v>
      </c>
      <c r="C620" s="122" t="s">
        <v>1441</v>
      </c>
      <c r="D620" s="122" t="s">
        <v>1435</v>
      </c>
      <c r="E620" s="312">
        <v>41149</v>
      </c>
      <c r="F620" s="311">
        <v>0.69097222222222221</v>
      </c>
      <c r="G620" s="202">
        <v>11</v>
      </c>
      <c r="H620" s="202">
        <v>17589</v>
      </c>
    </row>
    <row r="621" spans="1:8" hidden="1">
      <c r="A621" s="122" t="s">
        <v>1456</v>
      </c>
      <c r="B621" s="122" t="s">
        <v>1457</v>
      </c>
      <c r="C621" s="122" t="s">
        <v>1445</v>
      </c>
      <c r="D621" s="122" t="s">
        <v>1453</v>
      </c>
      <c r="E621" s="312">
        <v>41145</v>
      </c>
      <c r="F621" s="311">
        <v>0.55555555555555558</v>
      </c>
      <c r="G621" s="202">
        <v>12</v>
      </c>
      <c r="H621" s="202">
        <v>17160</v>
      </c>
    </row>
    <row r="622" spans="1:8" hidden="1">
      <c r="A622" s="122" t="s">
        <v>1443</v>
      </c>
      <c r="B622" s="122" t="s">
        <v>1457</v>
      </c>
      <c r="C622" s="122" t="s">
        <v>1445</v>
      </c>
      <c r="D622" s="122" t="s">
        <v>1452</v>
      </c>
      <c r="E622" s="312">
        <v>41144</v>
      </c>
      <c r="F622" s="311">
        <v>0.72569444444444442</v>
      </c>
      <c r="G622" s="202">
        <v>5</v>
      </c>
      <c r="H622" s="202">
        <v>2520</v>
      </c>
    </row>
    <row r="623" spans="1:8">
      <c r="A623" s="122" t="s">
        <v>1449</v>
      </c>
      <c r="B623" s="122" t="s">
        <v>1437</v>
      </c>
      <c r="C623" s="122" t="s">
        <v>1445</v>
      </c>
      <c r="D623" s="122" t="s">
        <v>1452</v>
      </c>
      <c r="E623" s="312">
        <v>41241</v>
      </c>
      <c r="F623" s="311">
        <v>0.40972222222222221</v>
      </c>
      <c r="G623" s="202">
        <v>15</v>
      </c>
      <c r="H623" s="202">
        <v>11235</v>
      </c>
    </row>
    <row r="624" spans="1:8" hidden="1">
      <c r="A624" s="122" t="s">
        <v>1447</v>
      </c>
      <c r="B624" s="314" t="s">
        <v>1460</v>
      </c>
      <c r="C624" s="122" t="s">
        <v>1445</v>
      </c>
      <c r="D624" s="122" t="s">
        <v>1455</v>
      </c>
      <c r="E624" s="312">
        <v>40913</v>
      </c>
      <c r="F624" s="311">
        <v>0.66319444444444442</v>
      </c>
      <c r="G624" s="202">
        <v>13</v>
      </c>
      <c r="H624" s="313">
        <v>6461</v>
      </c>
    </row>
    <row r="625" spans="1:8" hidden="1">
      <c r="A625" s="122" t="s">
        <v>1454</v>
      </c>
      <c r="B625" s="122" t="s">
        <v>1458</v>
      </c>
      <c r="C625" s="122" t="s">
        <v>1441</v>
      </c>
      <c r="D625" s="122" t="s">
        <v>1450</v>
      </c>
      <c r="E625" s="312">
        <v>41142</v>
      </c>
      <c r="F625" s="311">
        <v>0.5</v>
      </c>
      <c r="G625" s="202">
        <v>3</v>
      </c>
      <c r="H625" s="202">
        <v>1044</v>
      </c>
    </row>
    <row r="626" spans="1:8" hidden="1">
      <c r="A626" s="122" t="s">
        <v>1449</v>
      </c>
      <c r="B626" s="122" t="s">
        <v>1457</v>
      </c>
      <c r="C626" s="122" t="s">
        <v>1436</v>
      </c>
      <c r="D626" s="122" t="s">
        <v>1450</v>
      </c>
      <c r="E626" s="312">
        <v>41421</v>
      </c>
      <c r="F626" s="311">
        <v>0.60763888888888884</v>
      </c>
      <c r="G626" s="202">
        <v>3</v>
      </c>
      <c r="H626" s="202">
        <v>3441</v>
      </c>
    </row>
    <row r="627" spans="1:8" hidden="1">
      <c r="A627" s="122" t="s">
        <v>1456</v>
      </c>
      <c r="B627" s="122" t="s">
        <v>1437</v>
      </c>
      <c r="C627" s="122" t="s">
        <v>1439</v>
      </c>
      <c r="D627" s="122" t="s">
        <v>1450</v>
      </c>
      <c r="E627" s="312">
        <v>41142</v>
      </c>
      <c r="F627" s="311">
        <v>0.4861111111111111</v>
      </c>
      <c r="G627" s="202">
        <v>15</v>
      </c>
      <c r="H627" s="202">
        <v>14220</v>
      </c>
    </row>
    <row r="628" spans="1:8" hidden="1">
      <c r="A628" s="122" t="s">
        <v>1449</v>
      </c>
      <c r="B628" s="122" t="s">
        <v>1437</v>
      </c>
      <c r="C628" s="122" t="s">
        <v>1439</v>
      </c>
      <c r="D628" s="122" t="s">
        <v>1453</v>
      </c>
      <c r="E628" s="312">
        <v>41141</v>
      </c>
      <c r="F628" s="311">
        <v>0.42708333333333331</v>
      </c>
      <c r="G628" s="202">
        <v>8</v>
      </c>
      <c r="H628" s="202">
        <v>9960</v>
      </c>
    </row>
    <row r="629" spans="1:8" hidden="1">
      <c r="A629" s="122" t="s">
        <v>1443</v>
      </c>
      <c r="B629" s="122" t="s">
        <v>1437</v>
      </c>
      <c r="C629" s="122" t="s">
        <v>1445</v>
      </c>
      <c r="D629" s="122" t="s">
        <v>1452</v>
      </c>
      <c r="E629" s="312">
        <v>41141</v>
      </c>
      <c r="F629" s="311">
        <v>0.54861111111111105</v>
      </c>
      <c r="G629" s="202">
        <v>5</v>
      </c>
      <c r="H629" s="202">
        <v>3005</v>
      </c>
    </row>
    <row r="630" spans="1:8" hidden="1">
      <c r="A630" s="122" t="s">
        <v>1448</v>
      </c>
      <c r="B630" s="122" t="s">
        <v>1437</v>
      </c>
      <c r="C630" s="122" t="s">
        <v>1441</v>
      </c>
      <c r="D630" s="122" t="s">
        <v>1450</v>
      </c>
      <c r="E630" s="312">
        <v>41184</v>
      </c>
      <c r="F630" s="311">
        <v>0.42708333333333331</v>
      </c>
      <c r="G630" s="202">
        <v>6</v>
      </c>
      <c r="H630" s="202">
        <v>4296</v>
      </c>
    </row>
    <row r="631" spans="1:8">
      <c r="A631" s="122" t="s">
        <v>1476</v>
      </c>
      <c r="B631" s="122" t="s">
        <v>1457</v>
      </c>
      <c r="C631" s="122" t="s">
        <v>1439</v>
      </c>
      <c r="D631" s="122" t="s">
        <v>1455</v>
      </c>
      <c r="E631" s="312">
        <v>41003</v>
      </c>
      <c r="F631" s="311">
        <v>0.625</v>
      </c>
      <c r="G631" s="202">
        <v>13</v>
      </c>
      <c r="H631" s="202">
        <v>15171</v>
      </c>
    </row>
    <row r="632" spans="1:8">
      <c r="A632" s="122" t="s">
        <v>1449</v>
      </c>
      <c r="B632" s="122" t="s">
        <v>1459</v>
      </c>
      <c r="C632" s="122" t="s">
        <v>1445</v>
      </c>
      <c r="D632" s="122" t="s">
        <v>1435</v>
      </c>
      <c r="E632" s="312">
        <v>41304</v>
      </c>
      <c r="F632" s="311">
        <v>0.55555555555555558</v>
      </c>
      <c r="G632" s="202">
        <v>12</v>
      </c>
      <c r="H632" s="202">
        <v>4452</v>
      </c>
    </row>
    <row r="633" spans="1:8" hidden="1">
      <c r="A633" s="122" t="s">
        <v>1443</v>
      </c>
      <c r="B633" s="122" t="s">
        <v>1459</v>
      </c>
      <c r="C633" s="122" t="s">
        <v>1441</v>
      </c>
      <c r="D633" s="122" t="s">
        <v>1452</v>
      </c>
      <c r="E633" s="312">
        <v>41041</v>
      </c>
      <c r="F633" s="311">
        <v>0.64930555555555547</v>
      </c>
      <c r="G633" s="202">
        <v>5</v>
      </c>
      <c r="H633" s="202">
        <v>3020</v>
      </c>
    </row>
    <row r="634" spans="1:8" hidden="1">
      <c r="A634" s="122" t="s">
        <v>1438</v>
      </c>
      <c r="B634" s="122" t="s">
        <v>1457</v>
      </c>
      <c r="C634" s="122" t="s">
        <v>1441</v>
      </c>
      <c r="D634" s="122" t="s">
        <v>1453</v>
      </c>
      <c r="E634" s="312">
        <v>41302</v>
      </c>
      <c r="F634" s="311">
        <v>0.57986111111111105</v>
      </c>
      <c r="G634" s="202">
        <v>1</v>
      </c>
      <c r="H634" s="202">
        <v>1220</v>
      </c>
    </row>
    <row r="635" spans="1:8" hidden="1">
      <c r="A635" s="122" t="s">
        <v>1454</v>
      </c>
      <c r="B635" s="122" t="s">
        <v>1457</v>
      </c>
      <c r="C635" s="122" t="s">
        <v>1441</v>
      </c>
      <c r="D635" s="122" t="s">
        <v>1435</v>
      </c>
      <c r="E635" s="312">
        <v>41141</v>
      </c>
      <c r="F635" s="311">
        <v>0.63194444444444442</v>
      </c>
      <c r="G635" s="202">
        <v>12</v>
      </c>
      <c r="H635" s="202">
        <v>17328</v>
      </c>
    </row>
    <row r="636" spans="1:8" hidden="1">
      <c r="A636" s="122" t="s">
        <v>1448</v>
      </c>
      <c r="B636" s="122" t="s">
        <v>1437</v>
      </c>
      <c r="C636" s="122" t="s">
        <v>1445</v>
      </c>
      <c r="D636" s="122" t="s">
        <v>1450</v>
      </c>
      <c r="E636" s="312">
        <v>41359</v>
      </c>
      <c r="F636" s="311">
        <v>0.73263888888888884</v>
      </c>
      <c r="G636" s="202">
        <v>13</v>
      </c>
      <c r="H636" s="202">
        <v>15704</v>
      </c>
    </row>
    <row r="637" spans="1:8" hidden="1">
      <c r="A637" s="122" t="s">
        <v>1447</v>
      </c>
      <c r="B637" s="122" t="s">
        <v>1457</v>
      </c>
      <c r="C637" s="122" t="s">
        <v>1445</v>
      </c>
      <c r="D637" s="122" t="s">
        <v>1450</v>
      </c>
      <c r="E637" s="312">
        <v>41275</v>
      </c>
      <c r="F637" s="311">
        <v>0.54861111111111105</v>
      </c>
      <c r="G637" s="202">
        <v>1</v>
      </c>
      <c r="H637" s="202">
        <v>962</v>
      </c>
    </row>
    <row r="638" spans="1:8" hidden="1">
      <c r="A638" s="122" t="s">
        <v>1443</v>
      </c>
      <c r="B638" s="122" t="s">
        <v>1460</v>
      </c>
      <c r="C638" s="122" t="s">
        <v>1439</v>
      </c>
      <c r="D638" s="122" t="s">
        <v>1455</v>
      </c>
      <c r="E638" s="312">
        <v>41139</v>
      </c>
      <c r="F638" s="311">
        <v>0.52777777777777779</v>
      </c>
      <c r="G638" s="202">
        <v>4</v>
      </c>
      <c r="H638" s="202">
        <v>3052</v>
      </c>
    </row>
    <row r="639" spans="1:8" hidden="1">
      <c r="A639" s="122" t="s">
        <v>1449</v>
      </c>
      <c r="B639" s="122" t="s">
        <v>1459</v>
      </c>
      <c r="C639" s="122" t="s">
        <v>1439</v>
      </c>
      <c r="D639" s="122" t="s">
        <v>1455</v>
      </c>
      <c r="E639" s="312">
        <v>41069</v>
      </c>
      <c r="F639" s="311">
        <v>0.65972222222222221</v>
      </c>
      <c r="G639" s="202">
        <v>6</v>
      </c>
      <c r="H639" s="202">
        <v>2610</v>
      </c>
    </row>
    <row r="640" spans="1:8" hidden="1">
      <c r="A640" s="122" t="s">
        <v>1456</v>
      </c>
      <c r="B640" s="122" t="s">
        <v>1458</v>
      </c>
      <c r="C640" s="122" t="s">
        <v>1441</v>
      </c>
      <c r="D640" s="122" t="s">
        <v>1455</v>
      </c>
      <c r="E640" s="312">
        <v>41236</v>
      </c>
      <c r="F640" s="311">
        <v>0.39583333333333331</v>
      </c>
      <c r="G640" s="202">
        <v>3</v>
      </c>
      <c r="H640" s="202">
        <v>1827</v>
      </c>
    </row>
    <row r="641" spans="1:8" hidden="1">
      <c r="A641" s="122" t="s">
        <v>1448</v>
      </c>
      <c r="B641" s="122" t="s">
        <v>1459</v>
      </c>
      <c r="C641" s="122" t="s">
        <v>1445</v>
      </c>
      <c r="D641" s="122" t="s">
        <v>1453</v>
      </c>
      <c r="E641" s="312">
        <v>41277</v>
      </c>
      <c r="F641" s="311">
        <v>0.59722222222222221</v>
      </c>
      <c r="G641" s="202">
        <v>7</v>
      </c>
      <c r="H641" s="202">
        <v>5999</v>
      </c>
    </row>
    <row r="642" spans="1:8" hidden="1">
      <c r="A642" s="122" t="s">
        <v>1474</v>
      </c>
      <c r="B642" s="122" t="s">
        <v>1458</v>
      </c>
      <c r="C642" s="122" t="s">
        <v>1439</v>
      </c>
      <c r="D642" s="122" t="s">
        <v>1455</v>
      </c>
      <c r="E642" s="312">
        <v>41298</v>
      </c>
      <c r="F642" s="311">
        <v>0.58333333333333326</v>
      </c>
      <c r="G642" s="202">
        <v>9</v>
      </c>
      <c r="H642" s="202">
        <v>2997</v>
      </c>
    </row>
    <row r="643" spans="1:8" hidden="1">
      <c r="A643" s="122" t="s">
        <v>1438</v>
      </c>
      <c r="B643" s="122" t="s">
        <v>1437</v>
      </c>
      <c r="C643" s="122" t="s">
        <v>1441</v>
      </c>
      <c r="D643" s="122" t="s">
        <v>1450</v>
      </c>
      <c r="E643" s="312">
        <v>40971</v>
      </c>
      <c r="F643" s="311">
        <v>0.49305555555555552</v>
      </c>
      <c r="G643" s="202">
        <v>1</v>
      </c>
      <c r="H643" s="313">
        <v>1530</v>
      </c>
    </row>
    <row r="644" spans="1:8" hidden="1">
      <c r="A644" s="122" t="s">
        <v>1443</v>
      </c>
      <c r="B644" s="122" t="s">
        <v>1457</v>
      </c>
      <c r="C644" s="122" t="s">
        <v>1441</v>
      </c>
      <c r="D644" s="122" t="s">
        <v>1453</v>
      </c>
      <c r="E644" s="312">
        <v>41138</v>
      </c>
      <c r="F644" s="311">
        <v>0.45138888888888884</v>
      </c>
      <c r="G644" s="202">
        <v>9</v>
      </c>
      <c r="H644" s="202">
        <v>4788</v>
      </c>
    </row>
    <row r="645" spans="1:8" hidden="1">
      <c r="A645" s="122" t="s">
        <v>1448</v>
      </c>
      <c r="B645" s="122" t="s">
        <v>1458</v>
      </c>
      <c r="C645" s="122" t="s">
        <v>1436</v>
      </c>
      <c r="D645" s="122" t="s">
        <v>1452</v>
      </c>
      <c r="E645" s="312">
        <v>41215</v>
      </c>
      <c r="F645" s="311">
        <v>0.58680555555555547</v>
      </c>
      <c r="G645" s="202">
        <v>11</v>
      </c>
      <c r="H645" s="202">
        <v>5599</v>
      </c>
    </row>
    <row r="646" spans="1:8" hidden="1">
      <c r="A646" s="122" t="s">
        <v>1448</v>
      </c>
      <c r="B646" s="122" t="s">
        <v>1437</v>
      </c>
      <c r="C646" s="122" t="s">
        <v>1445</v>
      </c>
      <c r="D646" s="122" t="s">
        <v>1455</v>
      </c>
      <c r="E646" s="312">
        <v>41046</v>
      </c>
      <c r="F646" s="311">
        <v>0.4236111111111111</v>
      </c>
      <c r="G646" s="202">
        <v>3</v>
      </c>
      <c r="H646" s="202">
        <v>4161</v>
      </c>
    </row>
    <row r="647" spans="1:8" hidden="1">
      <c r="A647" s="122" t="s">
        <v>1449</v>
      </c>
      <c r="B647" s="122" t="s">
        <v>1460</v>
      </c>
      <c r="C647" s="122" t="s">
        <v>1439</v>
      </c>
      <c r="D647" s="122" t="s">
        <v>1453</v>
      </c>
      <c r="E647" s="312">
        <v>41137</v>
      </c>
      <c r="F647" s="311">
        <v>0.57638888888888884</v>
      </c>
      <c r="G647" s="202">
        <v>13</v>
      </c>
      <c r="H647" s="202">
        <v>11531</v>
      </c>
    </row>
    <row r="648" spans="1:8" hidden="1">
      <c r="A648" s="122" t="s">
        <v>3138</v>
      </c>
      <c r="B648" s="122" t="s">
        <v>1437</v>
      </c>
      <c r="C648" s="122" t="s">
        <v>1441</v>
      </c>
      <c r="D648" s="122" t="s">
        <v>1435</v>
      </c>
      <c r="E648" s="312">
        <v>40917</v>
      </c>
      <c r="F648" s="311">
        <v>0.53125</v>
      </c>
      <c r="G648" s="202">
        <v>13</v>
      </c>
      <c r="H648" s="202">
        <v>11102</v>
      </c>
    </row>
    <row r="649" spans="1:8">
      <c r="A649" s="122" t="s">
        <v>1438</v>
      </c>
      <c r="B649" s="122" t="s">
        <v>1437</v>
      </c>
      <c r="C649" s="122" t="s">
        <v>1439</v>
      </c>
      <c r="D649" s="122" t="s">
        <v>1435</v>
      </c>
      <c r="E649" s="312">
        <v>41136</v>
      </c>
      <c r="F649" s="311">
        <v>0.37847222222222221</v>
      </c>
      <c r="G649" s="202">
        <v>6</v>
      </c>
      <c r="H649" s="202">
        <v>11640</v>
      </c>
    </row>
    <row r="650" spans="1:8">
      <c r="A650" s="122" t="s">
        <v>3138</v>
      </c>
      <c r="B650" s="122" t="s">
        <v>1457</v>
      </c>
      <c r="C650" s="122" t="s">
        <v>1436</v>
      </c>
      <c r="D650" s="122" t="s">
        <v>1450</v>
      </c>
      <c r="E650" s="312">
        <v>41199</v>
      </c>
      <c r="F650" s="311">
        <v>0.52430555555555558</v>
      </c>
      <c r="G650" s="202">
        <v>12</v>
      </c>
      <c r="H650" s="202">
        <v>17388</v>
      </c>
    </row>
    <row r="651" spans="1:8" hidden="1">
      <c r="A651" s="122" t="s">
        <v>1438</v>
      </c>
      <c r="B651" s="122" t="s">
        <v>1459</v>
      </c>
      <c r="C651" s="122" t="s">
        <v>1436</v>
      </c>
      <c r="D651" s="122" t="s">
        <v>1435</v>
      </c>
      <c r="E651" s="312">
        <v>41051</v>
      </c>
      <c r="F651" s="311">
        <v>0.46527777777777773</v>
      </c>
      <c r="G651" s="202">
        <v>14</v>
      </c>
      <c r="H651" s="202">
        <v>4522</v>
      </c>
    </row>
    <row r="652" spans="1:8">
      <c r="A652" s="122" t="s">
        <v>1444</v>
      </c>
      <c r="B652" s="122" t="s">
        <v>1459</v>
      </c>
      <c r="C652" s="122" t="s">
        <v>1441</v>
      </c>
      <c r="D652" s="122" t="s">
        <v>1435</v>
      </c>
      <c r="E652" s="312">
        <v>41626</v>
      </c>
      <c r="F652" s="311">
        <v>0.43055555555555552</v>
      </c>
      <c r="G652" s="202">
        <v>18</v>
      </c>
      <c r="H652" s="202">
        <v>13464</v>
      </c>
    </row>
    <row r="653" spans="1:8" hidden="1">
      <c r="A653" s="122" t="s">
        <v>1438</v>
      </c>
      <c r="B653" s="122" t="s">
        <v>1459</v>
      </c>
      <c r="C653" s="122" t="s">
        <v>1445</v>
      </c>
      <c r="D653" s="122" t="s">
        <v>1452</v>
      </c>
      <c r="E653" s="312">
        <v>40956</v>
      </c>
      <c r="F653" s="311">
        <v>0.40972222222222221</v>
      </c>
      <c r="G653" s="202">
        <v>2</v>
      </c>
      <c r="H653" s="313">
        <v>1320</v>
      </c>
    </row>
    <row r="654" spans="1:8" hidden="1">
      <c r="A654" s="122" t="s">
        <v>1454</v>
      </c>
      <c r="B654" s="122" t="s">
        <v>1460</v>
      </c>
      <c r="C654" s="122" t="s">
        <v>1439</v>
      </c>
      <c r="D654" s="122" t="s">
        <v>1450</v>
      </c>
      <c r="E654" s="312">
        <v>41022</v>
      </c>
      <c r="F654" s="311">
        <v>0.37152777777777773</v>
      </c>
      <c r="G654" s="202">
        <v>8</v>
      </c>
      <c r="H654" s="202">
        <v>5976</v>
      </c>
    </row>
    <row r="655" spans="1:8" hidden="1">
      <c r="A655" s="122" t="s">
        <v>1474</v>
      </c>
      <c r="B655" s="122" t="s">
        <v>1458</v>
      </c>
      <c r="C655" s="122" t="s">
        <v>1439</v>
      </c>
      <c r="D655" s="122" t="s">
        <v>1453</v>
      </c>
      <c r="E655" s="312">
        <v>41257</v>
      </c>
      <c r="F655" s="311">
        <v>0.35416666666666663</v>
      </c>
      <c r="G655" s="202">
        <v>11</v>
      </c>
      <c r="H655" s="202">
        <v>4631</v>
      </c>
    </row>
    <row r="656" spans="1:8">
      <c r="A656" s="122" t="s">
        <v>1448</v>
      </c>
      <c r="B656" s="122" t="s">
        <v>1458</v>
      </c>
      <c r="C656" s="122" t="s">
        <v>1445</v>
      </c>
      <c r="D656" s="122" t="s">
        <v>1453</v>
      </c>
      <c r="E656" s="312">
        <v>41136</v>
      </c>
      <c r="F656" s="311">
        <v>0.52430555555555558</v>
      </c>
      <c r="G656" s="202">
        <v>1</v>
      </c>
      <c r="H656" s="202">
        <v>563</v>
      </c>
    </row>
    <row r="657" spans="1:8" hidden="1">
      <c r="A657" s="122" t="s">
        <v>1474</v>
      </c>
      <c r="B657" s="122" t="s">
        <v>1459</v>
      </c>
      <c r="C657" s="122" t="s">
        <v>1445</v>
      </c>
      <c r="D657" s="122" t="s">
        <v>1450</v>
      </c>
      <c r="E657" s="312">
        <v>41079</v>
      </c>
      <c r="F657" s="311">
        <v>0.73263888888888884</v>
      </c>
      <c r="G657" s="202">
        <v>8</v>
      </c>
      <c r="H657" s="202">
        <v>4080</v>
      </c>
    </row>
    <row r="658" spans="1:8" hidden="1">
      <c r="A658" s="122" t="s">
        <v>1474</v>
      </c>
      <c r="B658" s="122" t="s">
        <v>1458</v>
      </c>
      <c r="C658" s="122" t="s">
        <v>1445</v>
      </c>
      <c r="D658" s="122" t="s">
        <v>1435</v>
      </c>
      <c r="E658" s="312">
        <v>41417</v>
      </c>
      <c r="F658" s="311">
        <v>0.625</v>
      </c>
      <c r="G658" s="202">
        <v>17</v>
      </c>
      <c r="H658" s="202">
        <v>6528</v>
      </c>
    </row>
    <row r="659" spans="1:8" hidden="1">
      <c r="A659" s="122" t="s">
        <v>1476</v>
      </c>
      <c r="B659" s="122" t="s">
        <v>1460</v>
      </c>
      <c r="C659" s="122" t="s">
        <v>1445</v>
      </c>
      <c r="D659" s="122" t="s">
        <v>1435</v>
      </c>
      <c r="E659" s="312">
        <v>41561</v>
      </c>
      <c r="F659" s="311">
        <v>0.55555555555555558</v>
      </c>
      <c r="G659" s="202">
        <v>11</v>
      </c>
      <c r="H659" s="202">
        <v>8041</v>
      </c>
    </row>
    <row r="660" spans="1:8">
      <c r="A660" s="122" t="s">
        <v>1443</v>
      </c>
      <c r="B660" s="122" t="s">
        <v>1460</v>
      </c>
      <c r="C660" s="122" t="s">
        <v>1441</v>
      </c>
      <c r="D660" s="122" t="s">
        <v>1450</v>
      </c>
      <c r="E660" s="312">
        <v>41444</v>
      </c>
      <c r="F660" s="311">
        <v>0.70486111111111105</v>
      </c>
      <c r="G660" s="202">
        <v>8</v>
      </c>
      <c r="H660" s="202">
        <v>3872</v>
      </c>
    </row>
    <row r="661" spans="1:8" hidden="1">
      <c r="A661" s="122" t="s">
        <v>1474</v>
      </c>
      <c r="B661" s="122" t="s">
        <v>1458</v>
      </c>
      <c r="C661" s="122" t="s">
        <v>1441</v>
      </c>
      <c r="D661" s="122" t="s">
        <v>1450</v>
      </c>
      <c r="E661" s="312">
        <v>41135</v>
      </c>
      <c r="F661" s="311">
        <v>0.40625</v>
      </c>
      <c r="G661" s="202">
        <v>8</v>
      </c>
      <c r="H661" s="202">
        <v>2832</v>
      </c>
    </row>
    <row r="662" spans="1:8" hidden="1">
      <c r="A662" s="122" t="s">
        <v>1472</v>
      </c>
      <c r="B662" s="122" t="s">
        <v>1457</v>
      </c>
      <c r="C662" s="122" t="s">
        <v>1445</v>
      </c>
      <c r="D662" s="122" t="s">
        <v>1435</v>
      </c>
      <c r="E662" s="312">
        <v>40953</v>
      </c>
      <c r="F662" s="311">
        <v>0.49652777777777773</v>
      </c>
      <c r="G662" s="202">
        <v>15</v>
      </c>
      <c r="H662" s="202">
        <v>8325</v>
      </c>
    </row>
    <row r="663" spans="1:8" hidden="1">
      <c r="A663" s="122" t="s">
        <v>3138</v>
      </c>
      <c r="B663" s="122" t="s">
        <v>1437</v>
      </c>
      <c r="C663" s="122" t="s">
        <v>1441</v>
      </c>
      <c r="D663" s="122" t="s">
        <v>1450</v>
      </c>
      <c r="E663" s="312">
        <v>41597</v>
      </c>
      <c r="F663" s="311">
        <v>0.40277777777777773</v>
      </c>
      <c r="G663" s="202">
        <v>10</v>
      </c>
      <c r="H663" s="202">
        <v>7400</v>
      </c>
    </row>
    <row r="664" spans="1:8" hidden="1">
      <c r="A664" s="122" t="s">
        <v>1456</v>
      </c>
      <c r="B664" s="122" t="s">
        <v>1437</v>
      </c>
      <c r="C664" s="122" t="s">
        <v>1439</v>
      </c>
      <c r="D664" s="122" t="s">
        <v>1435</v>
      </c>
      <c r="E664" s="312">
        <v>41270</v>
      </c>
      <c r="F664" s="311">
        <v>0.61458333333333326</v>
      </c>
      <c r="G664" s="202">
        <v>12</v>
      </c>
      <c r="H664" s="202">
        <v>11508</v>
      </c>
    </row>
    <row r="665" spans="1:8" hidden="1">
      <c r="A665" s="122" t="s">
        <v>1443</v>
      </c>
      <c r="B665" s="122" t="s">
        <v>1460</v>
      </c>
      <c r="C665" s="122" t="s">
        <v>1439</v>
      </c>
      <c r="D665" s="122" t="s">
        <v>1450</v>
      </c>
      <c r="E665" s="312">
        <v>41299</v>
      </c>
      <c r="F665" s="311">
        <v>0.42013888888888884</v>
      </c>
      <c r="G665" s="202">
        <v>15</v>
      </c>
      <c r="H665" s="202">
        <v>8055</v>
      </c>
    </row>
    <row r="666" spans="1:8" hidden="1">
      <c r="A666" s="122" t="s">
        <v>1448</v>
      </c>
      <c r="B666" s="122" t="s">
        <v>1457</v>
      </c>
      <c r="C666" s="122" t="s">
        <v>1436</v>
      </c>
      <c r="D666" s="122" t="s">
        <v>1435</v>
      </c>
      <c r="E666" s="312">
        <v>41018</v>
      </c>
      <c r="F666" s="311">
        <v>0.47222222222222221</v>
      </c>
      <c r="G666" s="202">
        <v>10</v>
      </c>
      <c r="H666" s="202">
        <v>12750</v>
      </c>
    </row>
    <row r="667" spans="1:8">
      <c r="A667" s="122" t="s">
        <v>1438</v>
      </c>
      <c r="B667" s="122" t="s">
        <v>1457</v>
      </c>
      <c r="C667" s="122" t="s">
        <v>1436</v>
      </c>
      <c r="D667" s="122" t="s">
        <v>1435</v>
      </c>
      <c r="E667" s="312">
        <v>40989</v>
      </c>
      <c r="F667" s="311">
        <v>0.55555555555555558</v>
      </c>
      <c r="G667" s="202">
        <v>20</v>
      </c>
      <c r="H667" s="202">
        <v>16620</v>
      </c>
    </row>
    <row r="668" spans="1:8" hidden="1">
      <c r="A668" s="122" t="s">
        <v>1476</v>
      </c>
      <c r="B668" s="122" t="s">
        <v>1437</v>
      </c>
      <c r="C668" s="122" t="s">
        <v>1445</v>
      </c>
      <c r="D668" s="122" t="s">
        <v>1453</v>
      </c>
      <c r="E668" s="312">
        <v>41265</v>
      </c>
      <c r="F668" s="311">
        <v>0.55208333333333326</v>
      </c>
      <c r="G668" s="202">
        <v>8</v>
      </c>
      <c r="H668" s="202">
        <v>9776</v>
      </c>
    </row>
    <row r="669" spans="1:8">
      <c r="A669" s="122" t="s">
        <v>1438</v>
      </c>
      <c r="B669" s="122" t="s">
        <v>1437</v>
      </c>
      <c r="C669" s="122" t="s">
        <v>1441</v>
      </c>
      <c r="D669" s="122" t="s">
        <v>1450</v>
      </c>
      <c r="E669" s="312">
        <v>41549</v>
      </c>
      <c r="F669" s="311">
        <v>0.49652777777777773</v>
      </c>
      <c r="G669" s="202">
        <v>1</v>
      </c>
      <c r="H669" s="202">
        <v>630</v>
      </c>
    </row>
    <row r="670" spans="1:8">
      <c r="A670" s="122" t="s">
        <v>1443</v>
      </c>
      <c r="B670" s="122" t="s">
        <v>1460</v>
      </c>
      <c r="C670" s="122" t="s">
        <v>1445</v>
      </c>
      <c r="D670" s="122" t="s">
        <v>1455</v>
      </c>
      <c r="E670" s="312">
        <v>41612</v>
      </c>
      <c r="F670" s="311">
        <v>0.66319444444444442</v>
      </c>
      <c r="G670" s="202">
        <v>5</v>
      </c>
      <c r="H670" s="202">
        <v>3315</v>
      </c>
    </row>
    <row r="671" spans="1:8" hidden="1">
      <c r="A671" s="122" t="s">
        <v>1448</v>
      </c>
      <c r="B671" s="122" t="s">
        <v>1458</v>
      </c>
      <c r="C671" s="122" t="s">
        <v>1439</v>
      </c>
      <c r="D671" s="122" t="s">
        <v>1452</v>
      </c>
      <c r="E671" s="312">
        <v>41247</v>
      </c>
      <c r="F671" s="311">
        <v>0.67708333333333326</v>
      </c>
      <c r="G671" s="202">
        <v>15</v>
      </c>
      <c r="H671" s="202">
        <v>9435</v>
      </c>
    </row>
    <row r="672" spans="1:8" hidden="1">
      <c r="A672" s="122" t="s">
        <v>1443</v>
      </c>
      <c r="B672" s="122" t="s">
        <v>1437</v>
      </c>
      <c r="C672" s="122" t="s">
        <v>1439</v>
      </c>
      <c r="D672" s="122" t="s">
        <v>1452</v>
      </c>
      <c r="E672" s="312">
        <v>41345</v>
      </c>
      <c r="F672" s="311">
        <v>0.36805555555555552</v>
      </c>
      <c r="G672" s="202">
        <v>4</v>
      </c>
      <c r="H672" s="202">
        <v>2728</v>
      </c>
    </row>
    <row r="673" spans="1:8" hidden="1">
      <c r="A673" s="122" t="s">
        <v>1444</v>
      </c>
      <c r="B673" s="122" t="s">
        <v>1437</v>
      </c>
      <c r="C673" s="122" t="s">
        <v>1441</v>
      </c>
      <c r="D673" s="122" t="s">
        <v>1453</v>
      </c>
      <c r="E673" s="312">
        <v>41341</v>
      </c>
      <c r="F673" s="311">
        <v>0.75</v>
      </c>
      <c r="G673" s="202">
        <v>11</v>
      </c>
      <c r="H673" s="202">
        <v>5192</v>
      </c>
    </row>
    <row r="674" spans="1:8" hidden="1">
      <c r="A674" s="122" t="s">
        <v>3138</v>
      </c>
      <c r="B674" s="122" t="s">
        <v>1460</v>
      </c>
      <c r="C674" s="122" t="s">
        <v>1441</v>
      </c>
      <c r="D674" s="122" t="s">
        <v>1453</v>
      </c>
      <c r="E674" s="312">
        <v>41422</v>
      </c>
      <c r="F674" s="311">
        <v>0.375</v>
      </c>
      <c r="G674" s="202">
        <v>10</v>
      </c>
      <c r="H674" s="202">
        <v>5810</v>
      </c>
    </row>
    <row r="675" spans="1:8">
      <c r="A675" s="122" t="s">
        <v>3138</v>
      </c>
      <c r="B675" s="122" t="s">
        <v>1458</v>
      </c>
      <c r="C675" s="122" t="s">
        <v>1436</v>
      </c>
      <c r="D675" s="122" t="s">
        <v>1450</v>
      </c>
      <c r="E675" s="312">
        <v>41549</v>
      </c>
      <c r="F675" s="311">
        <v>0.43055555555555552</v>
      </c>
      <c r="G675" s="202">
        <v>14</v>
      </c>
      <c r="H675" s="202">
        <v>8680</v>
      </c>
    </row>
    <row r="676" spans="1:8" hidden="1">
      <c r="A676" s="122" t="s">
        <v>1448</v>
      </c>
      <c r="B676" s="122" t="s">
        <v>1437</v>
      </c>
      <c r="C676" s="122" t="s">
        <v>1445</v>
      </c>
      <c r="D676" s="122" t="s">
        <v>1452</v>
      </c>
      <c r="E676" s="312">
        <v>41328</v>
      </c>
      <c r="F676" s="311">
        <v>0.52083333333333326</v>
      </c>
      <c r="G676" s="202">
        <v>11</v>
      </c>
      <c r="H676" s="202">
        <v>11484</v>
      </c>
    </row>
    <row r="677" spans="1:8" hidden="1">
      <c r="A677" s="122" t="s">
        <v>1448</v>
      </c>
      <c r="B677" s="122" t="s">
        <v>1460</v>
      </c>
      <c r="C677" s="122" t="s">
        <v>1445</v>
      </c>
      <c r="D677" s="122" t="s">
        <v>1435</v>
      </c>
      <c r="E677" s="312">
        <v>41419</v>
      </c>
      <c r="F677" s="311">
        <v>0.4861111111111111</v>
      </c>
      <c r="G677" s="202">
        <v>8</v>
      </c>
      <c r="H677" s="202">
        <v>5640</v>
      </c>
    </row>
    <row r="678" spans="1:8">
      <c r="A678" s="122" t="s">
        <v>1447</v>
      </c>
      <c r="B678" s="122" t="s">
        <v>1460</v>
      </c>
      <c r="C678" s="122" t="s">
        <v>1445</v>
      </c>
      <c r="D678" s="122" t="s">
        <v>1453</v>
      </c>
      <c r="E678" s="312">
        <v>40975</v>
      </c>
      <c r="F678" s="311">
        <v>0.51736111111111105</v>
      </c>
      <c r="G678" s="202">
        <v>8</v>
      </c>
      <c r="H678" s="313">
        <v>5512</v>
      </c>
    </row>
    <row r="679" spans="1:8" hidden="1">
      <c r="A679" s="122" t="s">
        <v>1448</v>
      </c>
      <c r="B679" s="122" t="s">
        <v>1458</v>
      </c>
      <c r="C679" s="122" t="s">
        <v>1441</v>
      </c>
      <c r="D679" s="122" t="s">
        <v>1455</v>
      </c>
      <c r="E679" s="312">
        <v>41081</v>
      </c>
      <c r="F679" s="311">
        <v>0.70486111111111105</v>
      </c>
      <c r="G679" s="202">
        <v>7</v>
      </c>
      <c r="H679" s="202">
        <v>3241</v>
      </c>
    </row>
    <row r="680" spans="1:8" hidden="1">
      <c r="A680" s="122" t="s">
        <v>1472</v>
      </c>
      <c r="B680" s="122" t="s">
        <v>1458</v>
      </c>
      <c r="C680" s="122" t="s">
        <v>1445</v>
      </c>
      <c r="D680" s="122" t="s">
        <v>1455</v>
      </c>
      <c r="E680" s="312">
        <v>41079</v>
      </c>
      <c r="F680" s="311">
        <v>0.53472222222222221</v>
      </c>
      <c r="G680" s="202">
        <v>5</v>
      </c>
      <c r="H680" s="202">
        <v>2505</v>
      </c>
    </row>
    <row r="681" spans="1:8" hidden="1">
      <c r="A681" s="122" t="s">
        <v>1447</v>
      </c>
      <c r="B681" s="122" t="s">
        <v>1459</v>
      </c>
      <c r="C681" s="122" t="s">
        <v>1439</v>
      </c>
      <c r="D681" s="122" t="s">
        <v>1450</v>
      </c>
      <c r="E681" s="312">
        <v>41289</v>
      </c>
      <c r="F681" s="311">
        <v>0.52083333333333326</v>
      </c>
      <c r="G681" s="202">
        <v>8</v>
      </c>
      <c r="H681" s="202">
        <v>6576</v>
      </c>
    </row>
    <row r="682" spans="1:8" hidden="1">
      <c r="A682" s="122" t="s">
        <v>1448</v>
      </c>
      <c r="B682" s="122" t="s">
        <v>1459</v>
      </c>
      <c r="C682" s="122" t="s">
        <v>1441</v>
      </c>
      <c r="D682" s="122" t="s">
        <v>1450</v>
      </c>
      <c r="E682" s="312">
        <v>41597</v>
      </c>
      <c r="F682" s="311">
        <v>0.69097222222222221</v>
      </c>
      <c r="G682" s="202">
        <v>10</v>
      </c>
      <c r="H682" s="202">
        <v>3630</v>
      </c>
    </row>
    <row r="683" spans="1:8" hidden="1">
      <c r="A683" s="122" t="s">
        <v>1443</v>
      </c>
      <c r="B683" s="122" t="s">
        <v>1460</v>
      </c>
      <c r="C683" s="122" t="s">
        <v>1436</v>
      </c>
      <c r="D683" s="122" t="s">
        <v>1450</v>
      </c>
      <c r="E683" s="312">
        <v>41256</v>
      </c>
      <c r="F683" s="311">
        <v>0.60416666666666663</v>
      </c>
      <c r="G683" s="202">
        <v>14</v>
      </c>
      <c r="H683" s="202">
        <v>10486</v>
      </c>
    </row>
    <row r="684" spans="1:8" hidden="1">
      <c r="A684" s="122" t="s">
        <v>1444</v>
      </c>
      <c r="B684" s="122" t="s">
        <v>1458</v>
      </c>
      <c r="C684" s="122" t="s">
        <v>1441</v>
      </c>
      <c r="D684" s="122" t="s">
        <v>1450</v>
      </c>
      <c r="E684" s="312">
        <v>41391</v>
      </c>
      <c r="F684" s="311">
        <v>0.46527777777777773</v>
      </c>
      <c r="G684" s="202">
        <v>1</v>
      </c>
      <c r="H684" s="202">
        <v>425</v>
      </c>
    </row>
    <row r="685" spans="1:8" hidden="1">
      <c r="A685" s="122" t="s">
        <v>1447</v>
      </c>
      <c r="B685" s="122" t="s">
        <v>1460</v>
      </c>
      <c r="C685" s="122" t="s">
        <v>1445</v>
      </c>
      <c r="D685" s="122" t="s">
        <v>1455</v>
      </c>
      <c r="E685" s="312">
        <v>41134</v>
      </c>
      <c r="F685" s="311">
        <v>0.72569444444444442</v>
      </c>
      <c r="G685" s="202">
        <v>1</v>
      </c>
      <c r="H685" s="202">
        <v>894</v>
      </c>
    </row>
    <row r="686" spans="1:8" hidden="1">
      <c r="A686" s="122" t="s">
        <v>1443</v>
      </c>
      <c r="B686" s="122" t="s">
        <v>1437</v>
      </c>
      <c r="C686" s="122" t="s">
        <v>1441</v>
      </c>
      <c r="D686" s="122" t="s">
        <v>1453</v>
      </c>
      <c r="E686" s="312">
        <v>41134</v>
      </c>
      <c r="F686" s="311">
        <v>0.4375</v>
      </c>
      <c r="G686" s="202">
        <v>10</v>
      </c>
      <c r="H686" s="202">
        <v>12740</v>
      </c>
    </row>
    <row r="687" spans="1:8">
      <c r="A687" s="122" t="s">
        <v>1448</v>
      </c>
      <c r="B687" s="122" t="s">
        <v>1459</v>
      </c>
      <c r="C687" s="122" t="s">
        <v>1436</v>
      </c>
      <c r="D687" s="122" t="s">
        <v>1435</v>
      </c>
      <c r="E687" s="312">
        <v>40940</v>
      </c>
      <c r="F687" s="311">
        <v>0.59375</v>
      </c>
      <c r="G687" s="202">
        <v>12</v>
      </c>
      <c r="H687" s="202">
        <v>4704</v>
      </c>
    </row>
    <row r="688" spans="1:8" hidden="1">
      <c r="A688" s="122" t="s">
        <v>3138</v>
      </c>
      <c r="B688" s="122" t="s">
        <v>1437</v>
      </c>
      <c r="C688" s="122" t="s">
        <v>1436</v>
      </c>
      <c r="D688" s="122" t="s">
        <v>1455</v>
      </c>
      <c r="E688" s="312">
        <v>41134</v>
      </c>
      <c r="F688" s="311">
        <v>0.52083333333333326</v>
      </c>
      <c r="G688" s="202">
        <v>3</v>
      </c>
      <c r="H688" s="202">
        <v>3030</v>
      </c>
    </row>
    <row r="689" spans="1:8" hidden="1">
      <c r="A689" s="122" t="s">
        <v>1443</v>
      </c>
      <c r="B689" s="122" t="s">
        <v>1460</v>
      </c>
      <c r="C689" s="122" t="s">
        <v>1439</v>
      </c>
      <c r="D689" s="122" t="s">
        <v>1455</v>
      </c>
      <c r="E689" s="312">
        <v>41036</v>
      </c>
      <c r="F689" s="311">
        <v>0.74652777777777779</v>
      </c>
      <c r="G689" s="202">
        <v>9</v>
      </c>
      <c r="H689" s="202">
        <v>5274</v>
      </c>
    </row>
    <row r="690" spans="1:8" hidden="1">
      <c r="A690" s="122" t="s">
        <v>1476</v>
      </c>
      <c r="B690" s="122" t="s">
        <v>1459</v>
      </c>
      <c r="C690" s="122" t="s">
        <v>1439</v>
      </c>
      <c r="D690" s="122" t="s">
        <v>1455</v>
      </c>
      <c r="E690" s="312">
        <v>41554</v>
      </c>
      <c r="F690" s="311">
        <v>0.54861111111111105</v>
      </c>
      <c r="G690" s="202">
        <v>4</v>
      </c>
      <c r="H690" s="202">
        <v>2564</v>
      </c>
    </row>
    <row r="691" spans="1:8" hidden="1">
      <c r="A691" s="122" t="s">
        <v>1456</v>
      </c>
      <c r="B691" s="122" t="s">
        <v>1458</v>
      </c>
      <c r="C691" s="122" t="s">
        <v>1441</v>
      </c>
      <c r="D691" s="122" t="s">
        <v>1453</v>
      </c>
      <c r="E691" s="312">
        <v>41134</v>
      </c>
      <c r="F691" s="311">
        <v>0.48958333333333331</v>
      </c>
      <c r="G691" s="202">
        <v>2</v>
      </c>
      <c r="H691" s="202">
        <v>986</v>
      </c>
    </row>
    <row r="692" spans="1:8" hidden="1">
      <c r="A692" s="122" t="s">
        <v>1476</v>
      </c>
      <c r="B692" s="122" t="s">
        <v>1459</v>
      </c>
      <c r="C692" s="122" t="s">
        <v>1439</v>
      </c>
      <c r="D692" s="122" t="s">
        <v>1453</v>
      </c>
      <c r="E692" s="312">
        <v>41132</v>
      </c>
      <c r="F692" s="311">
        <v>0.67013888888888884</v>
      </c>
      <c r="G692" s="202">
        <v>15</v>
      </c>
      <c r="H692" s="202">
        <v>8505</v>
      </c>
    </row>
    <row r="693" spans="1:8" hidden="1">
      <c r="A693" s="122" t="s">
        <v>1454</v>
      </c>
      <c r="B693" s="122" t="s">
        <v>1460</v>
      </c>
      <c r="C693" s="122" t="s">
        <v>1441</v>
      </c>
      <c r="D693" s="122" t="s">
        <v>1455</v>
      </c>
      <c r="E693" s="312">
        <v>41296</v>
      </c>
      <c r="F693" s="311">
        <v>0.61805555555555547</v>
      </c>
      <c r="G693" s="202">
        <v>2</v>
      </c>
      <c r="H693" s="202">
        <v>940</v>
      </c>
    </row>
    <row r="694" spans="1:8" hidden="1">
      <c r="A694" s="122" t="s">
        <v>1476</v>
      </c>
      <c r="B694" s="122" t="s">
        <v>1457</v>
      </c>
      <c r="C694" s="122" t="s">
        <v>1436</v>
      </c>
      <c r="D694" s="122" t="s">
        <v>1452</v>
      </c>
      <c r="E694" s="312">
        <v>41376</v>
      </c>
      <c r="F694" s="311">
        <v>0.33680555555555552</v>
      </c>
      <c r="G694" s="202">
        <v>7</v>
      </c>
      <c r="H694" s="202">
        <v>9835</v>
      </c>
    </row>
    <row r="695" spans="1:8" hidden="1">
      <c r="A695" s="122" t="s">
        <v>1472</v>
      </c>
      <c r="B695" s="122" t="s">
        <v>1459</v>
      </c>
      <c r="C695" s="122" t="s">
        <v>1445</v>
      </c>
      <c r="D695" s="122" t="s">
        <v>1453</v>
      </c>
      <c r="E695" s="312">
        <v>41587</v>
      </c>
      <c r="F695" s="311">
        <v>0.58333333333333326</v>
      </c>
      <c r="G695" s="202">
        <v>13</v>
      </c>
      <c r="H695" s="202">
        <v>9516</v>
      </c>
    </row>
    <row r="696" spans="1:8" hidden="1">
      <c r="A696" s="122" t="s">
        <v>1449</v>
      </c>
      <c r="B696" s="122" t="s">
        <v>1437</v>
      </c>
      <c r="C696" s="122" t="s">
        <v>1436</v>
      </c>
      <c r="D696" s="122" t="s">
        <v>1452</v>
      </c>
      <c r="E696" s="312">
        <v>41209</v>
      </c>
      <c r="F696" s="311">
        <v>0.70486111111111105</v>
      </c>
      <c r="G696" s="202">
        <v>2</v>
      </c>
      <c r="H696" s="202">
        <v>1660</v>
      </c>
    </row>
    <row r="697" spans="1:8" hidden="1">
      <c r="A697" s="122" t="s">
        <v>1449</v>
      </c>
      <c r="B697" s="122" t="s">
        <v>1457</v>
      </c>
      <c r="C697" s="122" t="s">
        <v>1445</v>
      </c>
      <c r="D697" s="122" t="s">
        <v>1450</v>
      </c>
      <c r="E697" s="312">
        <v>41293</v>
      </c>
      <c r="F697" s="311">
        <v>0.37152777777777773</v>
      </c>
      <c r="G697" s="202">
        <v>10</v>
      </c>
      <c r="H697" s="202">
        <v>6320</v>
      </c>
    </row>
    <row r="698" spans="1:8" hidden="1">
      <c r="A698" s="122" t="s">
        <v>1443</v>
      </c>
      <c r="B698" s="122" t="s">
        <v>1458</v>
      </c>
      <c r="C698" s="122" t="s">
        <v>1445</v>
      </c>
      <c r="D698" s="122" t="s">
        <v>1452</v>
      </c>
      <c r="E698" s="312">
        <v>40974</v>
      </c>
      <c r="F698" s="311">
        <v>0.42013888888888884</v>
      </c>
      <c r="G698" s="202">
        <v>15</v>
      </c>
      <c r="H698" s="313">
        <v>4815</v>
      </c>
    </row>
    <row r="699" spans="1:8">
      <c r="A699" s="122" t="s">
        <v>1443</v>
      </c>
      <c r="B699" s="122" t="s">
        <v>1460</v>
      </c>
      <c r="C699" s="122" t="s">
        <v>1436</v>
      </c>
      <c r="D699" s="122" t="s">
        <v>1450</v>
      </c>
      <c r="E699" s="312">
        <v>41381</v>
      </c>
      <c r="F699" s="311">
        <v>0.47222222222222221</v>
      </c>
      <c r="G699" s="202">
        <v>5</v>
      </c>
      <c r="H699" s="202">
        <v>3400</v>
      </c>
    </row>
    <row r="700" spans="1:8" hidden="1">
      <c r="A700" s="122" t="s">
        <v>1448</v>
      </c>
      <c r="B700" s="122" t="s">
        <v>1460</v>
      </c>
      <c r="C700" s="122" t="s">
        <v>1441</v>
      </c>
      <c r="D700" s="122" t="s">
        <v>1452</v>
      </c>
      <c r="E700" s="312">
        <v>40995</v>
      </c>
      <c r="F700" s="311">
        <v>0.63194444444444442</v>
      </c>
      <c r="G700" s="202">
        <v>7</v>
      </c>
      <c r="H700" s="202">
        <v>5866</v>
      </c>
    </row>
    <row r="701" spans="1:8">
      <c r="A701" s="122" t="s">
        <v>1438</v>
      </c>
      <c r="B701" s="122" t="s">
        <v>1457</v>
      </c>
      <c r="C701" s="122" t="s">
        <v>1436</v>
      </c>
      <c r="D701" s="122" t="s">
        <v>1450</v>
      </c>
      <c r="E701" s="312">
        <v>41444</v>
      </c>
      <c r="F701" s="311">
        <v>0.5</v>
      </c>
      <c r="G701" s="202">
        <v>3</v>
      </c>
      <c r="H701" s="202">
        <v>1614</v>
      </c>
    </row>
    <row r="702" spans="1:8" hidden="1">
      <c r="A702" s="122" t="s">
        <v>1476</v>
      </c>
      <c r="B702" s="122" t="s">
        <v>1459</v>
      </c>
      <c r="C702" s="122" t="s">
        <v>1445</v>
      </c>
      <c r="D702" s="122" t="s">
        <v>1435</v>
      </c>
      <c r="E702" s="312">
        <v>41431</v>
      </c>
      <c r="F702" s="311">
        <v>0.60069444444444442</v>
      </c>
      <c r="G702" s="202">
        <v>8</v>
      </c>
      <c r="H702" s="202">
        <v>7120</v>
      </c>
    </row>
    <row r="703" spans="1:8" hidden="1">
      <c r="A703" s="122" t="s">
        <v>1454</v>
      </c>
      <c r="B703" s="122" t="s">
        <v>1437</v>
      </c>
      <c r="C703" s="122" t="s">
        <v>1445</v>
      </c>
      <c r="D703" s="122" t="s">
        <v>1455</v>
      </c>
      <c r="E703" s="312">
        <v>41264</v>
      </c>
      <c r="F703" s="311">
        <v>0.74305555555555547</v>
      </c>
      <c r="G703" s="202">
        <v>3</v>
      </c>
      <c r="H703" s="202">
        <v>1953</v>
      </c>
    </row>
    <row r="704" spans="1:8" hidden="1">
      <c r="A704" s="122" t="s">
        <v>1447</v>
      </c>
      <c r="B704" s="122" t="s">
        <v>1458</v>
      </c>
      <c r="C704" s="122" t="s">
        <v>1445</v>
      </c>
      <c r="D704" s="122" t="s">
        <v>1452</v>
      </c>
      <c r="E704" s="312">
        <v>41211</v>
      </c>
      <c r="F704" s="311">
        <v>0.38888888888888884</v>
      </c>
      <c r="G704" s="202">
        <v>2</v>
      </c>
      <c r="H704" s="202">
        <v>674</v>
      </c>
    </row>
    <row r="705" spans="1:8" hidden="1">
      <c r="A705" s="122" t="s">
        <v>1456</v>
      </c>
      <c r="B705" s="122" t="s">
        <v>1458</v>
      </c>
      <c r="C705" s="122" t="s">
        <v>1439</v>
      </c>
      <c r="D705" s="122" t="s">
        <v>1435</v>
      </c>
      <c r="E705" s="312">
        <v>40946</v>
      </c>
      <c r="F705" s="311">
        <v>0.75</v>
      </c>
      <c r="G705" s="202">
        <v>13</v>
      </c>
      <c r="H705" s="202">
        <v>4589</v>
      </c>
    </row>
    <row r="706" spans="1:8" hidden="1">
      <c r="A706" s="122" t="s">
        <v>1456</v>
      </c>
      <c r="B706" s="122" t="s">
        <v>1457</v>
      </c>
      <c r="C706" s="122" t="s">
        <v>1441</v>
      </c>
      <c r="D706" s="122" t="s">
        <v>1453</v>
      </c>
      <c r="E706" s="312">
        <v>41548</v>
      </c>
      <c r="F706" s="311">
        <v>0.40972222222222221</v>
      </c>
      <c r="G706" s="202">
        <v>15</v>
      </c>
      <c r="H706" s="202">
        <v>20790</v>
      </c>
    </row>
    <row r="707" spans="1:8">
      <c r="A707" s="122" t="s">
        <v>1454</v>
      </c>
      <c r="B707" s="122" t="s">
        <v>1457</v>
      </c>
      <c r="C707" s="122" t="s">
        <v>1439</v>
      </c>
      <c r="D707" s="122" t="s">
        <v>1452</v>
      </c>
      <c r="E707" s="312">
        <v>41388</v>
      </c>
      <c r="F707" s="311">
        <v>0.71180555555555547</v>
      </c>
      <c r="G707" s="202">
        <v>6</v>
      </c>
      <c r="H707" s="202">
        <v>7272</v>
      </c>
    </row>
    <row r="708" spans="1:8" hidden="1">
      <c r="A708" s="122" t="s">
        <v>1456</v>
      </c>
      <c r="B708" s="122" t="s">
        <v>1458</v>
      </c>
      <c r="C708" s="122" t="s">
        <v>1445</v>
      </c>
      <c r="D708" s="122" t="s">
        <v>1435</v>
      </c>
      <c r="E708" s="312">
        <v>41302</v>
      </c>
      <c r="F708" s="311">
        <v>0.63888888888888884</v>
      </c>
      <c r="G708" s="202">
        <v>13</v>
      </c>
      <c r="H708" s="202">
        <v>5785</v>
      </c>
    </row>
    <row r="709" spans="1:8" hidden="1">
      <c r="A709" s="122" t="s">
        <v>3138</v>
      </c>
      <c r="B709" s="122" t="s">
        <v>1460</v>
      </c>
      <c r="C709" s="122" t="s">
        <v>1439</v>
      </c>
      <c r="D709" s="122" t="s">
        <v>1453</v>
      </c>
      <c r="E709" s="312">
        <v>41131</v>
      </c>
      <c r="F709" s="311">
        <v>0.36805555555555552</v>
      </c>
      <c r="G709" s="202">
        <v>9</v>
      </c>
      <c r="H709" s="202">
        <v>3744</v>
      </c>
    </row>
    <row r="710" spans="1:8">
      <c r="A710" s="122" t="s">
        <v>1476</v>
      </c>
      <c r="B710" s="122" t="s">
        <v>1458</v>
      </c>
      <c r="C710" s="122" t="s">
        <v>1436</v>
      </c>
      <c r="D710" s="122" t="s">
        <v>1435</v>
      </c>
      <c r="E710" s="312">
        <v>41549</v>
      </c>
      <c r="F710" s="311">
        <v>0.375</v>
      </c>
      <c r="G710" s="202">
        <v>6</v>
      </c>
      <c r="H710" s="202">
        <v>1842</v>
      </c>
    </row>
    <row r="711" spans="1:8">
      <c r="A711" s="122" t="s">
        <v>1448</v>
      </c>
      <c r="B711" s="122" t="s">
        <v>1437</v>
      </c>
      <c r="C711" s="122" t="s">
        <v>1439</v>
      </c>
      <c r="D711" s="122" t="s">
        <v>1435</v>
      </c>
      <c r="E711" s="312">
        <v>41129</v>
      </c>
      <c r="F711" s="311">
        <v>0.5</v>
      </c>
      <c r="G711" s="202">
        <v>20</v>
      </c>
      <c r="H711" s="202">
        <v>39780</v>
      </c>
    </row>
    <row r="712" spans="1:8" hidden="1">
      <c r="A712" s="122" t="s">
        <v>1443</v>
      </c>
      <c r="B712" s="122" t="s">
        <v>1457</v>
      </c>
      <c r="C712" s="122" t="s">
        <v>1439</v>
      </c>
      <c r="D712" s="122" t="s">
        <v>1453</v>
      </c>
      <c r="E712" s="312">
        <v>41128</v>
      </c>
      <c r="F712" s="311">
        <v>0.61111111111111105</v>
      </c>
      <c r="G712" s="202">
        <v>3</v>
      </c>
      <c r="H712" s="202">
        <v>2202</v>
      </c>
    </row>
    <row r="713" spans="1:8" hidden="1">
      <c r="A713" s="122" t="s">
        <v>1438</v>
      </c>
      <c r="B713" s="122" t="s">
        <v>1437</v>
      </c>
      <c r="C713" s="122" t="s">
        <v>1445</v>
      </c>
      <c r="D713" s="122" t="s">
        <v>1452</v>
      </c>
      <c r="E713" s="312">
        <v>40914</v>
      </c>
      <c r="F713" s="311">
        <v>0.48958333333333331</v>
      </c>
      <c r="G713" s="202">
        <v>6</v>
      </c>
      <c r="H713" s="313">
        <v>4692</v>
      </c>
    </row>
    <row r="714" spans="1:8" hidden="1">
      <c r="A714" s="122" t="s">
        <v>1474</v>
      </c>
      <c r="B714" s="122" t="s">
        <v>1457</v>
      </c>
      <c r="C714" s="122" t="s">
        <v>1439</v>
      </c>
      <c r="D714" s="122" t="s">
        <v>1452</v>
      </c>
      <c r="E714" s="312">
        <v>41450</v>
      </c>
      <c r="F714" s="311">
        <v>0.73611111111111105</v>
      </c>
      <c r="G714" s="202">
        <v>8</v>
      </c>
      <c r="H714" s="202">
        <v>7800</v>
      </c>
    </row>
    <row r="715" spans="1:8" hidden="1">
      <c r="A715" s="122" t="s">
        <v>1474</v>
      </c>
      <c r="B715" s="122" t="s">
        <v>1437</v>
      </c>
      <c r="C715" s="122" t="s">
        <v>1436</v>
      </c>
      <c r="D715" s="122" t="s">
        <v>1455</v>
      </c>
      <c r="E715" s="312">
        <v>41030</v>
      </c>
      <c r="F715" s="311">
        <v>0.46527777777777773</v>
      </c>
      <c r="G715" s="202">
        <v>2</v>
      </c>
      <c r="H715" s="202">
        <v>2064</v>
      </c>
    </row>
    <row r="716" spans="1:8" hidden="1">
      <c r="A716" s="122" t="s">
        <v>1474</v>
      </c>
      <c r="B716" s="122" t="s">
        <v>1458</v>
      </c>
      <c r="C716" s="122" t="s">
        <v>1439</v>
      </c>
      <c r="D716" s="122" t="s">
        <v>1452</v>
      </c>
      <c r="E716" s="312">
        <v>41127</v>
      </c>
      <c r="F716" s="311">
        <v>0.43402777777777773</v>
      </c>
      <c r="G716" s="202">
        <v>13</v>
      </c>
      <c r="H716" s="202">
        <v>8476</v>
      </c>
    </row>
    <row r="717" spans="1:8" hidden="1">
      <c r="A717" s="122" t="s">
        <v>3138</v>
      </c>
      <c r="B717" s="122" t="s">
        <v>1460</v>
      </c>
      <c r="C717" s="122" t="s">
        <v>1439</v>
      </c>
      <c r="D717" s="122" t="s">
        <v>1452</v>
      </c>
      <c r="E717" s="312">
        <v>41319</v>
      </c>
      <c r="F717" s="311">
        <v>0.69444444444444442</v>
      </c>
      <c r="G717" s="202">
        <v>4</v>
      </c>
      <c r="H717" s="202">
        <v>2092</v>
      </c>
    </row>
    <row r="718" spans="1:8">
      <c r="A718" s="122" t="s">
        <v>1474</v>
      </c>
      <c r="B718" s="122" t="s">
        <v>1460</v>
      </c>
      <c r="C718" s="122" t="s">
        <v>1436</v>
      </c>
      <c r="D718" s="122" t="s">
        <v>1435</v>
      </c>
      <c r="E718" s="312">
        <v>41360</v>
      </c>
      <c r="F718" s="311">
        <v>0.58333333333333326</v>
      </c>
      <c r="G718" s="202">
        <v>12</v>
      </c>
      <c r="H718" s="202">
        <v>6888</v>
      </c>
    </row>
    <row r="719" spans="1:8" hidden="1">
      <c r="A719" s="122" t="s">
        <v>1449</v>
      </c>
      <c r="B719" s="122" t="s">
        <v>1458</v>
      </c>
      <c r="C719" s="122" t="s">
        <v>1436</v>
      </c>
      <c r="D719" s="122" t="s">
        <v>1455</v>
      </c>
      <c r="E719" s="312">
        <v>41197</v>
      </c>
      <c r="F719" s="311">
        <v>0.34027777777777773</v>
      </c>
      <c r="G719" s="202">
        <v>7</v>
      </c>
      <c r="H719" s="202">
        <v>3248</v>
      </c>
    </row>
    <row r="720" spans="1:8" hidden="1">
      <c r="A720" s="122" t="s">
        <v>1449</v>
      </c>
      <c r="B720" s="122" t="s">
        <v>1460</v>
      </c>
      <c r="C720" s="122" t="s">
        <v>1441</v>
      </c>
      <c r="D720" s="122" t="s">
        <v>1450</v>
      </c>
      <c r="E720" s="312">
        <v>41075</v>
      </c>
      <c r="F720" s="311">
        <v>0.71180555555555547</v>
      </c>
      <c r="G720" s="202">
        <v>6</v>
      </c>
      <c r="H720" s="202">
        <v>4002</v>
      </c>
    </row>
    <row r="721" spans="1:8" hidden="1">
      <c r="A721" s="122" t="s">
        <v>1444</v>
      </c>
      <c r="B721" s="122" t="s">
        <v>1458</v>
      </c>
      <c r="C721" s="122" t="s">
        <v>1441</v>
      </c>
      <c r="D721" s="122" t="s">
        <v>1455</v>
      </c>
      <c r="E721" s="312">
        <v>41261</v>
      </c>
      <c r="F721" s="311">
        <v>0.4861111111111111</v>
      </c>
      <c r="G721" s="202">
        <v>9</v>
      </c>
      <c r="H721" s="202">
        <v>5085</v>
      </c>
    </row>
    <row r="722" spans="1:8">
      <c r="A722" s="122" t="s">
        <v>1443</v>
      </c>
      <c r="B722" s="122" t="s">
        <v>1458</v>
      </c>
      <c r="C722" s="122" t="s">
        <v>1441</v>
      </c>
      <c r="D722" s="122" t="s">
        <v>1452</v>
      </c>
      <c r="E722" s="312">
        <v>41276</v>
      </c>
      <c r="F722" s="311">
        <v>0.47222222222222221</v>
      </c>
      <c r="G722" s="202">
        <v>4</v>
      </c>
      <c r="H722" s="202">
        <v>2348</v>
      </c>
    </row>
    <row r="723" spans="1:8" hidden="1">
      <c r="A723" s="122" t="s">
        <v>1454</v>
      </c>
      <c r="B723" s="122" t="s">
        <v>1437</v>
      </c>
      <c r="C723" s="122" t="s">
        <v>1445</v>
      </c>
      <c r="D723" s="122" t="s">
        <v>1453</v>
      </c>
      <c r="E723" s="312">
        <v>41606</v>
      </c>
      <c r="F723" s="311">
        <v>0.65972222222222221</v>
      </c>
      <c r="G723" s="202">
        <v>13</v>
      </c>
      <c r="H723" s="202">
        <v>15717</v>
      </c>
    </row>
    <row r="724" spans="1:8" hidden="1">
      <c r="A724" s="122" t="s">
        <v>1449</v>
      </c>
      <c r="B724" s="122" t="s">
        <v>1437</v>
      </c>
      <c r="C724" s="122" t="s">
        <v>1445</v>
      </c>
      <c r="D724" s="122" t="s">
        <v>1455</v>
      </c>
      <c r="E724" s="312">
        <v>41277</v>
      </c>
      <c r="F724" s="311">
        <v>0.50347222222222221</v>
      </c>
      <c r="G724" s="202">
        <v>11</v>
      </c>
      <c r="H724" s="202">
        <v>16522</v>
      </c>
    </row>
    <row r="725" spans="1:8" hidden="1">
      <c r="A725" s="122" t="s">
        <v>1449</v>
      </c>
      <c r="B725" s="122" t="s">
        <v>1459</v>
      </c>
      <c r="C725" s="122" t="s">
        <v>1445</v>
      </c>
      <c r="D725" s="122" t="s">
        <v>1435</v>
      </c>
      <c r="E725" s="312">
        <v>41065</v>
      </c>
      <c r="F725" s="311">
        <v>0.57986111111111105</v>
      </c>
      <c r="G725" s="202">
        <v>13</v>
      </c>
      <c r="H725" s="202">
        <v>6994</v>
      </c>
    </row>
    <row r="726" spans="1:8" hidden="1">
      <c r="A726" s="122" t="s">
        <v>1456</v>
      </c>
      <c r="B726" s="122" t="s">
        <v>1437</v>
      </c>
      <c r="C726" s="122" t="s">
        <v>1445</v>
      </c>
      <c r="D726" s="122" t="s">
        <v>1455</v>
      </c>
      <c r="E726" s="312">
        <v>41124</v>
      </c>
      <c r="F726" s="311">
        <v>0.60069444444444442</v>
      </c>
      <c r="G726" s="202">
        <v>14</v>
      </c>
      <c r="H726" s="202">
        <v>13244</v>
      </c>
    </row>
    <row r="727" spans="1:8">
      <c r="A727" s="122" t="s">
        <v>1474</v>
      </c>
      <c r="B727" s="122" t="s">
        <v>1457</v>
      </c>
      <c r="C727" s="122" t="s">
        <v>1441</v>
      </c>
      <c r="D727" s="122" t="s">
        <v>1452</v>
      </c>
      <c r="E727" s="312">
        <v>41346</v>
      </c>
      <c r="F727" s="311">
        <v>0.62152777777777779</v>
      </c>
      <c r="G727" s="202">
        <v>9</v>
      </c>
      <c r="H727" s="202">
        <v>10422</v>
      </c>
    </row>
    <row r="728" spans="1:8" hidden="1">
      <c r="A728" s="122" t="s">
        <v>1456</v>
      </c>
      <c r="B728" s="122" t="s">
        <v>1437</v>
      </c>
      <c r="C728" s="122" t="s">
        <v>1441</v>
      </c>
      <c r="D728" s="122" t="s">
        <v>1450</v>
      </c>
      <c r="E728" s="312">
        <v>41124</v>
      </c>
      <c r="F728" s="311">
        <v>0.72569444444444442</v>
      </c>
      <c r="G728" s="202">
        <v>2</v>
      </c>
      <c r="H728" s="202">
        <v>1644</v>
      </c>
    </row>
    <row r="729" spans="1:8">
      <c r="A729" s="122" t="s">
        <v>1448</v>
      </c>
      <c r="B729" s="122" t="s">
        <v>1460</v>
      </c>
      <c r="C729" s="122" t="s">
        <v>1436</v>
      </c>
      <c r="D729" s="122" t="s">
        <v>1455</v>
      </c>
      <c r="E729" s="312">
        <v>41122</v>
      </c>
      <c r="F729" s="311">
        <v>0.62847222222222221</v>
      </c>
      <c r="G729" s="202">
        <v>8</v>
      </c>
      <c r="H729" s="202">
        <v>6520</v>
      </c>
    </row>
    <row r="730" spans="1:8" hidden="1">
      <c r="A730" s="122" t="s">
        <v>1474</v>
      </c>
      <c r="B730" s="122" t="s">
        <v>1459</v>
      </c>
      <c r="C730" s="122" t="s">
        <v>1436</v>
      </c>
      <c r="D730" s="122" t="s">
        <v>1452</v>
      </c>
      <c r="E730" s="312">
        <v>41285</v>
      </c>
      <c r="F730" s="311">
        <v>0.55555555555555558</v>
      </c>
      <c r="G730" s="202">
        <v>12</v>
      </c>
      <c r="H730" s="202">
        <v>6984</v>
      </c>
    </row>
    <row r="731" spans="1:8" hidden="1">
      <c r="A731" s="122" t="s">
        <v>1472</v>
      </c>
      <c r="B731" s="122" t="s">
        <v>1459</v>
      </c>
      <c r="C731" s="122" t="s">
        <v>1441</v>
      </c>
      <c r="D731" s="122" t="s">
        <v>1435</v>
      </c>
      <c r="E731" s="312">
        <v>40956</v>
      </c>
      <c r="F731" s="311">
        <v>0.50694444444444442</v>
      </c>
      <c r="G731" s="202">
        <v>18</v>
      </c>
      <c r="H731" s="202">
        <v>15858</v>
      </c>
    </row>
    <row r="732" spans="1:8" hidden="1">
      <c r="A732" s="122" t="s">
        <v>1474</v>
      </c>
      <c r="B732" s="122" t="s">
        <v>1437</v>
      </c>
      <c r="C732" s="122" t="s">
        <v>1441</v>
      </c>
      <c r="D732" s="122" t="s">
        <v>1452</v>
      </c>
      <c r="E732" s="312">
        <v>41219</v>
      </c>
      <c r="F732" s="311">
        <v>0.53819444444444442</v>
      </c>
      <c r="G732" s="202">
        <v>2</v>
      </c>
      <c r="H732" s="202">
        <v>3698</v>
      </c>
    </row>
    <row r="733" spans="1:8" hidden="1">
      <c r="A733" s="122" t="s">
        <v>1449</v>
      </c>
      <c r="B733" s="122" t="s">
        <v>1460</v>
      </c>
      <c r="C733" s="122" t="s">
        <v>1436</v>
      </c>
      <c r="D733" s="122" t="s">
        <v>1450</v>
      </c>
      <c r="E733" s="312">
        <v>41079</v>
      </c>
      <c r="F733" s="311">
        <v>0.58333333333333326</v>
      </c>
      <c r="G733" s="202">
        <v>9</v>
      </c>
      <c r="H733" s="202">
        <v>3690</v>
      </c>
    </row>
    <row r="734" spans="1:8">
      <c r="A734" s="122" t="s">
        <v>1449</v>
      </c>
      <c r="B734" s="122" t="s">
        <v>1460</v>
      </c>
      <c r="C734" s="122" t="s">
        <v>1441</v>
      </c>
      <c r="D734" s="122" t="s">
        <v>1452</v>
      </c>
      <c r="E734" s="312">
        <v>41122</v>
      </c>
      <c r="F734" s="311">
        <v>0.50347222222222221</v>
      </c>
      <c r="G734" s="202">
        <v>5</v>
      </c>
      <c r="H734" s="202">
        <v>3110</v>
      </c>
    </row>
    <row r="735" spans="1:8" hidden="1">
      <c r="A735" s="122" t="s">
        <v>1449</v>
      </c>
      <c r="B735" s="122" t="s">
        <v>1437</v>
      </c>
      <c r="C735" s="122" t="s">
        <v>1445</v>
      </c>
      <c r="D735" s="122" t="s">
        <v>1452</v>
      </c>
      <c r="E735" s="312">
        <v>41390</v>
      </c>
      <c r="F735" s="311">
        <v>0.41319444444444442</v>
      </c>
      <c r="G735" s="202">
        <v>4</v>
      </c>
      <c r="H735" s="202">
        <v>5520</v>
      </c>
    </row>
    <row r="736" spans="1:8" hidden="1">
      <c r="A736" s="122" t="s">
        <v>1444</v>
      </c>
      <c r="B736" s="122" t="s">
        <v>1460</v>
      </c>
      <c r="C736" s="122" t="s">
        <v>1436</v>
      </c>
      <c r="D736" s="122" t="s">
        <v>1453</v>
      </c>
      <c r="E736" s="312">
        <v>41306</v>
      </c>
      <c r="F736" s="311">
        <v>0.48958333333333331</v>
      </c>
      <c r="G736" s="202">
        <v>6</v>
      </c>
      <c r="H736" s="202">
        <v>4992</v>
      </c>
    </row>
    <row r="737" spans="1:8" hidden="1">
      <c r="A737" s="122" t="s">
        <v>1443</v>
      </c>
      <c r="B737" s="122" t="s">
        <v>1460</v>
      </c>
      <c r="C737" s="122" t="s">
        <v>1441</v>
      </c>
      <c r="D737" s="122" t="s">
        <v>1455</v>
      </c>
      <c r="E737" s="312">
        <v>41596</v>
      </c>
      <c r="F737" s="311">
        <v>0.72222222222222221</v>
      </c>
      <c r="G737" s="202">
        <v>10</v>
      </c>
      <c r="H737" s="202">
        <v>8420</v>
      </c>
    </row>
    <row r="738" spans="1:8" hidden="1">
      <c r="A738" s="122" t="s">
        <v>1476</v>
      </c>
      <c r="B738" s="122" t="s">
        <v>1437</v>
      </c>
      <c r="C738" s="122" t="s">
        <v>1445</v>
      </c>
      <c r="D738" s="122" t="s">
        <v>1452</v>
      </c>
      <c r="E738" s="312">
        <v>41008</v>
      </c>
      <c r="F738" s="311">
        <v>0.54166666666666663</v>
      </c>
      <c r="G738" s="202">
        <v>4</v>
      </c>
      <c r="H738" s="202">
        <v>3640</v>
      </c>
    </row>
    <row r="739" spans="1:8">
      <c r="A739" s="122" t="s">
        <v>1474</v>
      </c>
      <c r="B739" s="122" t="s">
        <v>1459</v>
      </c>
      <c r="C739" s="122" t="s">
        <v>1439</v>
      </c>
      <c r="D739" s="122" t="s">
        <v>1435</v>
      </c>
      <c r="E739" s="312">
        <v>40940</v>
      </c>
      <c r="F739" s="311">
        <v>0.42708333333333331</v>
      </c>
      <c r="G739" s="202">
        <v>11</v>
      </c>
      <c r="H739" s="202">
        <v>8811</v>
      </c>
    </row>
    <row r="740" spans="1:8">
      <c r="A740" s="122" t="s">
        <v>1438</v>
      </c>
      <c r="B740" s="122" t="s">
        <v>1458</v>
      </c>
      <c r="C740" s="122" t="s">
        <v>1441</v>
      </c>
      <c r="D740" s="122" t="s">
        <v>1453</v>
      </c>
      <c r="E740" s="312">
        <v>41598</v>
      </c>
      <c r="F740" s="311">
        <v>0.72916666666666663</v>
      </c>
      <c r="G740" s="202">
        <v>1</v>
      </c>
      <c r="H740" s="202">
        <v>558</v>
      </c>
    </row>
    <row r="741" spans="1:8" hidden="1">
      <c r="A741" s="122" t="s">
        <v>1456</v>
      </c>
      <c r="B741" s="122" t="s">
        <v>1458</v>
      </c>
      <c r="C741" s="122" t="s">
        <v>1439</v>
      </c>
      <c r="D741" s="122" t="s">
        <v>1453</v>
      </c>
      <c r="E741" s="312">
        <v>41237</v>
      </c>
      <c r="F741" s="311">
        <v>0.625</v>
      </c>
      <c r="G741" s="202">
        <v>14</v>
      </c>
      <c r="H741" s="202">
        <v>6146</v>
      </c>
    </row>
    <row r="742" spans="1:8" hidden="1">
      <c r="A742" s="122" t="s">
        <v>1472</v>
      </c>
      <c r="B742" s="122" t="s">
        <v>1458</v>
      </c>
      <c r="C742" s="122" t="s">
        <v>1445</v>
      </c>
      <c r="D742" s="122" t="s">
        <v>1435</v>
      </c>
      <c r="E742" s="312">
        <v>41370</v>
      </c>
      <c r="F742" s="311">
        <v>0.60069444444444442</v>
      </c>
      <c r="G742" s="202">
        <v>8</v>
      </c>
      <c r="H742" s="202">
        <v>4928</v>
      </c>
    </row>
    <row r="743" spans="1:8" hidden="1">
      <c r="A743" s="122" t="s">
        <v>1447</v>
      </c>
      <c r="B743" s="122" t="s">
        <v>1459</v>
      </c>
      <c r="C743" s="122" t="s">
        <v>1436</v>
      </c>
      <c r="D743" s="122" t="s">
        <v>1453</v>
      </c>
      <c r="E743" s="312">
        <v>41201</v>
      </c>
      <c r="F743" s="311">
        <v>0.44791666666666663</v>
      </c>
      <c r="G743" s="202">
        <v>5</v>
      </c>
      <c r="H743" s="202">
        <v>2265</v>
      </c>
    </row>
    <row r="744" spans="1:8" hidden="1">
      <c r="A744" s="122" t="s">
        <v>1444</v>
      </c>
      <c r="B744" s="122" t="s">
        <v>1458</v>
      </c>
      <c r="C744" s="122" t="s">
        <v>1441</v>
      </c>
      <c r="D744" s="122" t="s">
        <v>1450</v>
      </c>
      <c r="E744" s="312">
        <v>41121</v>
      </c>
      <c r="F744" s="311">
        <v>0.68402777777777779</v>
      </c>
      <c r="G744" s="202">
        <v>15</v>
      </c>
      <c r="H744" s="202">
        <v>7230</v>
      </c>
    </row>
    <row r="745" spans="1:8" hidden="1">
      <c r="A745" s="122" t="s">
        <v>1449</v>
      </c>
      <c r="B745" s="122" t="s">
        <v>1457</v>
      </c>
      <c r="C745" s="122" t="s">
        <v>1439</v>
      </c>
      <c r="D745" s="122" t="s">
        <v>1450</v>
      </c>
      <c r="E745" s="312">
        <v>41226</v>
      </c>
      <c r="F745" s="311">
        <v>0.50694444444444442</v>
      </c>
      <c r="G745" s="202">
        <v>10</v>
      </c>
      <c r="H745" s="202">
        <v>9360</v>
      </c>
    </row>
    <row r="746" spans="1:8" hidden="1">
      <c r="A746" s="122" t="s">
        <v>1449</v>
      </c>
      <c r="B746" s="122" t="s">
        <v>1437</v>
      </c>
      <c r="C746" s="122" t="s">
        <v>1441</v>
      </c>
      <c r="D746" s="122" t="s">
        <v>1450</v>
      </c>
      <c r="E746" s="312">
        <v>41554</v>
      </c>
      <c r="F746" s="311">
        <v>0.66319444444444442</v>
      </c>
      <c r="G746" s="202">
        <v>1</v>
      </c>
      <c r="H746" s="202">
        <v>1939</v>
      </c>
    </row>
    <row r="747" spans="1:8">
      <c r="A747" s="122" t="s">
        <v>1438</v>
      </c>
      <c r="B747" s="122" t="s">
        <v>1459</v>
      </c>
      <c r="C747" s="122" t="s">
        <v>1436</v>
      </c>
      <c r="D747" s="122" t="s">
        <v>1435</v>
      </c>
      <c r="E747" s="312">
        <v>40940</v>
      </c>
      <c r="F747" s="311">
        <v>0.61458333333333326</v>
      </c>
      <c r="G747" s="202">
        <v>15</v>
      </c>
      <c r="H747" s="202">
        <v>7770</v>
      </c>
    </row>
    <row r="748" spans="1:8" hidden="1">
      <c r="A748" s="122" t="s">
        <v>1476</v>
      </c>
      <c r="B748" s="122" t="s">
        <v>1457</v>
      </c>
      <c r="C748" s="122" t="s">
        <v>1439</v>
      </c>
      <c r="D748" s="122" t="s">
        <v>1450</v>
      </c>
      <c r="E748" s="312">
        <v>41067</v>
      </c>
      <c r="F748" s="311">
        <v>0.36458333333333331</v>
      </c>
      <c r="G748" s="202">
        <v>9</v>
      </c>
      <c r="H748" s="202">
        <v>12501</v>
      </c>
    </row>
    <row r="749" spans="1:8" hidden="1">
      <c r="A749" s="122" t="s">
        <v>1448</v>
      </c>
      <c r="B749" s="122" t="s">
        <v>1437</v>
      </c>
      <c r="C749" s="122" t="s">
        <v>1439</v>
      </c>
      <c r="D749" s="122" t="s">
        <v>1453</v>
      </c>
      <c r="E749" s="312">
        <v>41121</v>
      </c>
      <c r="F749" s="311">
        <v>0.49305555555555552</v>
      </c>
      <c r="G749" s="202">
        <v>4</v>
      </c>
      <c r="H749" s="202">
        <v>4672</v>
      </c>
    </row>
    <row r="750" spans="1:8" hidden="1">
      <c r="A750" s="122" t="s">
        <v>1448</v>
      </c>
      <c r="B750" s="122" t="s">
        <v>1437</v>
      </c>
      <c r="C750" s="122" t="s">
        <v>1445</v>
      </c>
      <c r="D750" s="122" t="s">
        <v>1435</v>
      </c>
      <c r="E750" s="312">
        <v>41121</v>
      </c>
      <c r="F750" s="311">
        <v>0.56944444444444442</v>
      </c>
      <c r="G750" s="202">
        <v>7</v>
      </c>
      <c r="H750" s="202">
        <v>12467</v>
      </c>
    </row>
    <row r="751" spans="1:8">
      <c r="A751" s="122" t="s">
        <v>1449</v>
      </c>
      <c r="B751" s="122" t="s">
        <v>1457</v>
      </c>
      <c r="C751" s="122" t="s">
        <v>1441</v>
      </c>
      <c r="D751" s="122" t="s">
        <v>1453</v>
      </c>
      <c r="E751" s="312">
        <v>41066</v>
      </c>
      <c r="F751" s="311">
        <v>0.3576388888888889</v>
      </c>
      <c r="G751" s="202">
        <v>14</v>
      </c>
      <c r="H751" s="202">
        <v>16086</v>
      </c>
    </row>
    <row r="752" spans="1:8" hidden="1">
      <c r="A752" s="122" t="s">
        <v>1476</v>
      </c>
      <c r="B752" s="122" t="s">
        <v>1459</v>
      </c>
      <c r="C752" s="122" t="s">
        <v>1439</v>
      </c>
      <c r="D752" s="122" t="s">
        <v>1435</v>
      </c>
      <c r="E752" s="312">
        <v>41120</v>
      </c>
      <c r="F752" s="311">
        <v>0.34722222222222221</v>
      </c>
      <c r="G752" s="202">
        <v>15</v>
      </c>
      <c r="H752" s="202">
        <v>12285</v>
      </c>
    </row>
    <row r="753" spans="1:8" hidden="1">
      <c r="A753" s="122" t="s">
        <v>1449</v>
      </c>
      <c r="B753" s="122" t="s">
        <v>1458</v>
      </c>
      <c r="C753" s="122" t="s">
        <v>1445</v>
      </c>
      <c r="D753" s="122" t="s">
        <v>1435</v>
      </c>
      <c r="E753" s="312">
        <v>41120</v>
      </c>
      <c r="F753" s="311">
        <v>0.35069444444444442</v>
      </c>
      <c r="G753" s="202">
        <v>20</v>
      </c>
      <c r="H753" s="202">
        <v>8580</v>
      </c>
    </row>
    <row r="754" spans="1:8" hidden="1">
      <c r="A754" s="122" t="s">
        <v>1444</v>
      </c>
      <c r="B754" s="122" t="s">
        <v>1437</v>
      </c>
      <c r="C754" s="122" t="s">
        <v>1445</v>
      </c>
      <c r="D754" s="122" t="s">
        <v>1453</v>
      </c>
      <c r="E754" s="312">
        <v>41235</v>
      </c>
      <c r="F754" s="311">
        <v>0.74305555555555547</v>
      </c>
      <c r="G754" s="202">
        <v>9</v>
      </c>
      <c r="H754" s="202">
        <v>17010</v>
      </c>
    </row>
    <row r="755" spans="1:8">
      <c r="A755" s="122" t="s">
        <v>1474</v>
      </c>
      <c r="B755" s="122" t="s">
        <v>1457</v>
      </c>
      <c r="C755" s="122" t="s">
        <v>1445</v>
      </c>
      <c r="D755" s="122" t="s">
        <v>1452</v>
      </c>
      <c r="E755" s="312">
        <v>41192</v>
      </c>
      <c r="F755" s="311">
        <v>0.41666666666666663</v>
      </c>
      <c r="G755" s="202">
        <v>1</v>
      </c>
      <c r="H755" s="202">
        <v>986</v>
      </c>
    </row>
    <row r="756" spans="1:8" hidden="1">
      <c r="A756" s="122" t="s">
        <v>1476</v>
      </c>
      <c r="B756" s="122" t="s">
        <v>1459</v>
      </c>
      <c r="C756" s="122" t="s">
        <v>1445</v>
      </c>
      <c r="D756" s="122" t="s">
        <v>1455</v>
      </c>
      <c r="E756" s="312">
        <v>41117</v>
      </c>
      <c r="F756" s="311">
        <v>0.4375</v>
      </c>
      <c r="G756" s="202">
        <v>10</v>
      </c>
      <c r="H756" s="202">
        <v>8540</v>
      </c>
    </row>
    <row r="757" spans="1:8" hidden="1">
      <c r="A757" s="122" t="s">
        <v>1447</v>
      </c>
      <c r="B757" s="122" t="s">
        <v>1459</v>
      </c>
      <c r="C757" s="122" t="s">
        <v>1439</v>
      </c>
      <c r="D757" s="122" t="s">
        <v>1450</v>
      </c>
      <c r="E757" s="312">
        <v>41229</v>
      </c>
      <c r="F757" s="311">
        <v>0.49305555555555552</v>
      </c>
      <c r="G757" s="202">
        <v>15</v>
      </c>
      <c r="H757" s="202">
        <v>7695</v>
      </c>
    </row>
    <row r="758" spans="1:8" hidden="1">
      <c r="A758" s="122" t="s">
        <v>1449</v>
      </c>
      <c r="B758" s="122" t="s">
        <v>1457</v>
      </c>
      <c r="C758" s="122" t="s">
        <v>1439</v>
      </c>
      <c r="D758" s="122" t="s">
        <v>1455</v>
      </c>
      <c r="E758" s="312">
        <v>41201</v>
      </c>
      <c r="F758" s="311">
        <v>0.55902777777777779</v>
      </c>
      <c r="G758" s="202">
        <v>12</v>
      </c>
      <c r="H758" s="202">
        <v>15144</v>
      </c>
    </row>
    <row r="759" spans="1:8" hidden="1">
      <c r="A759" s="122" t="s">
        <v>1449</v>
      </c>
      <c r="B759" s="122" t="s">
        <v>1437</v>
      </c>
      <c r="C759" s="122" t="s">
        <v>1441</v>
      </c>
      <c r="D759" s="122" t="s">
        <v>1455</v>
      </c>
      <c r="E759" s="312">
        <v>41016</v>
      </c>
      <c r="F759" s="311">
        <v>0.50694444444444442</v>
      </c>
      <c r="G759" s="202">
        <v>2</v>
      </c>
      <c r="H759" s="202">
        <v>3694</v>
      </c>
    </row>
    <row r="760" spans="1:8" hidden="1">
      <c r="A760" s="122" t="s">
        <v>1449</v>
      </c>
      <c r="B760" s="122" t="s">
        <v>1437</v>
      </c>
      <c r="C760" s="122" t="s">
        <v>1439</v>
      </c>
      <c r="D760" s="122" t="s">
        <v>1435</v>
      </c>
      <c r="E760" s="312">
        <v>41116</v>
      </c>
      <c r="F760" s="311">
        <v>0.49652777777777773</v>
      </c>
      <c r="G760" s="202">
        <v>11</v>
      </c>
      <c r="H760" s="202">
        <v>12144</v>
      </c>
    </row>
    <row r="761" spans="1:8" hidden="1">
      <c r="A761" s="122" t="s">
        <v>1443</v>
      </c>
      <c r="B761" s="122" t="s">
        <v>1459</v>
      </c>
      <c r="C761" s="122" t="s">
        <v>1441</v>
      </c>
      <c r="D761" s="122" t="s">
        <v>1452</v>
      </c>
      <c r="E761" s="312">
        <v>41204</v>
      </c>
      <c r="F761" s="311">
        <v>0.47569444444444442</v>
      </c>
      <c r="G761" s="202">
        <v>2</v>
      </c>
      <c r="H761" s="202">
        <v>1474</v>
      </c>
    </row>
    <row r="762" spans="1:8" hidden="1">
      <c r="A762" s="122" t="s">
        <v>1476</v>
      </c>
      <c r="B762" s="122" t="s">
        <v>1457</v>
      </c>
      <c r="C762" s="122" t="s">
        <v>1436</v>
      </c>
      <c r="D762" s="122" t="s">
        <v>1453</v>
      </c>
      <c r="E762" s="312">
        <v>41302</v>
      </c>
      <c r="F762" s="311">
        <v>0.3576388888888889</v>
      </c>
      <c r="G762" s="202">
        <v>8</v>
      </c>
      <c r="H762" s="202">
        <v>6424</v>
      </c>
    </row>
    <row r="763" spans="1:8" hidden="1">
      <c r="A763" s="122" t="s">
        <v>1454</v>
      </c>
      <c r="B763" s="122" t="s">
        <v>1460</v>
      </c>
      <c r="C763" s="122" t="s">
        <v>1441</v>
      </c>
      <c r="D763" s="122" t="s">
        <v>1435</v>
      </c>
      <c r="E763" s="312">
        <v>41405</v>
      </c>
      <c r="F763" s="311">
        <v>0.37152777777777773</v>
      </c>
      <c r="G763" s="202">
        <v>14</v>
      </c>
      <c r="H763" s="202">
        <v>10808</v>
      </c>
    </row>
    <row r="764" spans="1:8" hidden="1">
      <c r="A764" s="122" t="s">
        <v>1449</v>
      </c>
      <c r="B764" s="122" t="s">
        <v>1437</v>
      </c>
      <c r="C764" s="122" t="s">
        <v>1439</v>
      </c>
      <c r="D764" s="122" t="s">
        <v>1435</v>
      </c>
      <c r="E764" s="312">
        <v>41043</v>
      </c>
      <c r="F764" s="311">
        <v>0.57291666666666663</v>
      </c>
      <c r="G764" s="202">
        <v>15</v>
      </c>
      <c r="H764" s="202">
        <v>16830</v>
      </c>
    </row>
    <row r="765" spans="1:8" hidden="1">
      <c r="A765" s="122" t="s">
        <v>1449</v>
      </c>
      <c r="B765" s="122" t="s">
        <v>1457</v>
      </c>
      <c r="C765" s="122" t="s">
        <v>1436</v>
      </c>
      <c r="D765" s="122" t="s">
        <v>1452</v>
      </c>
      <c r="E765" s="312">
        <v>40914</v>
      </c>
      <c r="F765" s="311">
        <v>0.73611111111111105</v>
      </c>
      <c r="G765" s="202">
        <v>10</v>
      </c>
      <c r="H765" s="313">
        <v>6290</v>
      </c>
    </row>
    <row r="766" spans="1:8" hidden="1">
      <c r="A766" s="122" t="s">
        <v>1454</v>
      </c>
      <c r="B766" s="122" t="s">
        <v>1457</v>
      </c>
      <c r="C766" s="122" t="s">
        <v>1436</v>
      </c>
      <c r="D766" s="122" t="s">
        <v>1455</v>
      </c>
      <c r="E766" s="312">
        <v>41250</v>
      </c>
      <c r="F766" s="311">
        <v>0.52777777777777779</v>
      </c>
      <c r="G766" s="202">
        <v>6</v>
      </c>
      <c r="H766" s="202">
        <v>3012</v>
      </c>
    </row>
    <row r="767" spans="1:8">
      <c r="A767" s="122" t="s">
        <v>1438</v>
      </c>
      <c r="B767" s="122" t="s">
        <v>1437</v>
      </c>
      <c r="C767" s="122" t="s">
        <v>1439</v>
      </c>
      <c r="D767" s="122" t="s">
        <v>1450</v>
      </c>
      <c r="E767" s="312">
        <v>40989</v>
      </c>
      <c r="F767" s="311">
        <v>0.38541666666666663</v>
      </c>
      <c r="G767" s="202">
        <v>6</v>
      </c>
      <c r="H767" s="202">
        <v>5616</v>
      </c>
    </row>
    <row r="768" spans="1:8" hidden="1">
      <c r="A768" s="122" t="s">
        <v>1449</v>
      </c>
      <c r="B768" s="122" t="s">
        <v>1458</v>
      </c>
      <c r="C768" s="122" t="s">
        <v>1439</v>
      </c>
      <c r="D768" s="122" t="s">
        <v>1435</v>
      </c>
      <c r="E768" s="312">
        <v>40946</v>
      </c>
      <c r="F768" s="311">
        <v>0.55555555555555558</v>
      </c>
      <c r="G768" s="202">
        <v>8</v>
      </c>
      <c r="H768" s="202">
        <v>5280</v>
      </c>
    </row>
    <row r="769" spans="1:8">
      <c r="A769" s="122" t="s">
        <v>1443</v>
      </c>
      <c r="B769" s="122" t="s">
        <v>1460</v>
      </c>
      <c r="C769" s="122" t="s">
        <v>1441</v>
      </c>
      <c r="D769" s="122" t="s">
        <v>1435</v>
      </c>
      <c r="E769" s="312">
        <v>41241</v>
      </c>
      <c r="F769" s="311">
        <v>0.49652777777777773</v>
      </c>
      <c r="G769" s="202">
        <v>12</v>
      </c>
      <c r="H769" s="202">
        <v>7968</v>
      </c>
    </row>
    <row r="770" spans="1:8" hidden="1">
      <c r="A770" s="122" t="s">
        <v>1472</v>
      </c>
      <c r="B770" s="122" t="s">
        <v>1437</v>
      </c>
      <c r="C770" s="122" t="s">
        <v>1439</v>
      </c>
      <c r="D770" s="122" t="s">
        <v>1455</v>
      </c>
      <c r="E770" s="312">
        <v>41366</v>
      </c>
      <c r="F770" s="311">
        <v>0.55208333333333326</v>
      </c>
      <c r="G770" s="202">
        <v>4</v>
      </c>
      <c r="H770" s="202">
        <v>2420</v>
      </c>
    </row>
    <row r="771" spans="1:8" hidden="1">
      <c r="A771" s="122" t="s">
        <v>1443</v>
      </c>
      <c r="B771" s="122" t="s">
        <v>1437</v>
      </c>
      <c r="C771" s="122" t="s">
        <v>1445</v>
      </c>
      <c r="D771" s="122" t="s">
        <v>1455</v>
      </c>
      <c r="E771" s="312">
        <v>41611</v>
      </c>
      <c r="F771" s="311">
        <v>0.5</v>
      </c>
      <c r="G771" s="202">
        <v>7</v>
      </c>
      <c r="H771" s="202">
        <v>10493</v>
      </c>
    </row>
    <row r="772" spans="1:8" hidden="1">
      <c r="A772" s="122" t="s">
        <v>1438</v>
      </c>
      <c r="B772" s="122" t="s">
        <v>1437</v>
      </c>
      <c r="C772" s="122" t="s">
        <v>1439</v>
      </c>
      <c r="D772" s="122" t="s">
        <v>1435</v>
      </c>
      <c r="E772" s="312">
        <v>41607</v>
      </c>
      <c r="F772" s="311">
        <v>0.40277777777777773</v>
      </c>
      <c r="G772" s="202">
        <v>13</v>
      </c>
      <c r="H772" s="202">
        <v>5278</v>
      </c>
    </row>
    <row r="773" spans="1:8">
      <c r="A773" s="122" t="s">
        <v>1449</v>
      </c>
      <c r="B773" s="122" t="s">
        <v>1437</v>
      </c>
      <c r="C773" s="122" t="s">
        <v>1445</v>
      </c>
      <c r="D773" s="122" t="s">
        <v>1452</v>
      </c>
      <c r="E773" s="312">
        <v>41073</v>
      </c>
      <c r="F773" s="311">
        <v>0.65625</v>
      </c>
      <c r="G773" s="202">
        <v>14</v>
      </c>
      <c r="H773" s="202">
        <v>17192</v>
      </c>
    </row>
    <row r="774" spans="1:8" hidden="1">
      <c r="A774" s="122" t="s">
        <v>1476</v>
      </c>
      <c r="B774" s="122" t="s">
        <v>1437</v>
      </c>
      <c r="C774" s="122" t="s">
        <v>1439</v>
      </c>
      <c r="D774" s="122" t="s">
        <v>1450</v>
      </c>
      <c r="E774" s="312">
        <v>41345</v>
      </c>
      <c r="F774" s="311">
        <v>0.61805555555555547</v>
      </c>
      <c r="G774" s="202">
        <v>8</v>
      </c>
      <c r="H774" s="202">
        <v>14984</v>
      </c>
    </row>
    <row r="775" spans="1:8">
      <c r="A775" s="122" t="s">
        <v>1476</v>
      </c>
      <c r="B775" s="122" t="s">
        <v>1457</v>
      </c>
      <c r="C775" s="122" t="s">
        <v>1445</v>
      </c>
      <c r="D775" s="122" t="s">
        <v>1452</v>
      </c>
      <c r="E775" s="312">
        <v>41115</v>
      </c>
      <c r="F775" s="311">
        <v>0.35069444444444442</v>
      </c>
      <c r="G775" s="202">
        <v>10</v>
      </c>
      <c r="H775" s="202">
        <v>12130</v>
      </c>
    </row>
    <row r="776" spans="1:8" hidden="1">
      <c r="A776" s="122" t="s">
        <v>1448</v>
      </c>
      <c r="B776" s="122" t="s">
        <v>1457</v>
      </c>
      <c r="C776" s="122" t="s">
        <v>1445</v>
      </c>
      <c r="D776" s="122" t="s">
        <v>1435</v>
      </c>
      <c r="E776" s="312">
        <v>41286</v>
      </c>
      <c r="F776" s="311">
        <v>0.34375</v>
      </c>
      <c r="G776" s="202">
        <v>8</v>
      </c>
      <c r="H776" s="202">
        <v>9600</v>
      </c>
    </row>
    <row r="777" spans="1:8">
      <c r="A777" s="122" t="s">
        <v>1454</v>
      </c>
      <c r="B777" s="122" t="s">
        <v>1437</v>
      </c>
      <c r="C777" s="122" t="s">
        <v>1445</v>
      </c>
      <c r="D777" s="122" t="s">
        <v>1435</v>
      </c>
      <c r="E777" s="312">
        <v>41115</v>
      </c>
      <c r="F777" s="311">
        <v>0.70833333333333326</v>
      </c>
      <c r="G777" s="202">
        <v>12</v>
      </c>
      <c r="H777" s="202">
        <v>18876</v>
      </c>
    </row>
    <row r="778" spans="1:8" hidden="1">
      <c r="A778" s="122" t="s">
        <v>1444</v>
      </c>
      <c r="B778" s="122" t="s">
        <v>1458</v>
      </c>
      <c r="C778" s="122" t="s">
        <v>1436</v>
      </c>
      <c r="D778" s="122" t="s">
        <v>1453</v>
      </c>
      <c r="E778" s="312">
        <v>41114</v>
      </c>
      <c r="F778" s="311">
        <v>0.47916666666666663</v>
      </c>
      <c r="G778" s="202">
        <v>8</v>
      </c>
      <c r="H778" s="202">
        <v>5552</v>
      </c>
    </row>
    <row r="779" spans="1:8" hidden="1">
      <c r="A779" s="122" t="s">
        <v>1472</v>
      </c>
      <c r="B779" s="122" t="s">
        <v>1437</v>
      </c>
      <c r="C779" s="122" t="s">
        <v>1439</v>
      </c>
      <c r="D779" s="122" t="s">
        <v>1455</v>
      </c>
      <c r="E779" s="312">
        <v>41275</v>
      </c>
      <c r="F779" s="311">
        <v>0.64583333333333326</v>
      </c>
      <c r="G779" s="202">
        <v>2</v>
      </c>
      <c r="H779" s="202">
        <v>3768</v>
      </c>
    </row>
    <row r="780" spans="1:8" hidden="1">
      <c r="A780" s="122" t="s">
        <v>1472</v>
      </c>
      <c r="B780" s="122" t="s">
        <v>1458</v>
      </c>
      <c r="C780" s="122" t="s">
        <v>1445</v>
      </c>
      <c r="D780" s="122" t="s">
        <v>1435</v>
      </c>
      <c r="E780" s="312">
        <v>41114</v>
      </c>
      <c r="F780" s="311">
        <v>0.52083333333333326</v>
      </c>
      <c r="G780" s="202">
        <v>12</v>
      </c>
      <c r="H780" s="202">
        <v>4104</v>
      </c>
    </row>
    <row r="781" spans="1:8" hidden="1">
      <c r="A781" s="122" t="s">
        <v>1474</v>
      </c>
      <c r="B781" s="122" t="s">
        <v>1437</v>
      </c>
      <c r="C781" s="122" t="s">
        <v>1441</v>
      </c>
      <c r="D781" s="122" t="s">
        <v>1455</v>
      </c>
      <c r="E781" s="312">
        <v>41321</v>
      </c>
      <c r="F781" s="311">
        <v>0.72569444444444442</v>
      </c>
      <c r="G781" s="202">
        <v>6</v>
      </c>
      <c r="H781" s="202">
        <v>2736</v>
      </c>
    </row>
    <row r="782" spans="1:8" hidden="1">
      <c r="A782" s="122" t="s">
        <v>1443</v>
      </c>
      <c r="B782" s="122" t="s">
        <v>1460</v>
      </c>
      <c r="C782" s="122" t="s">
        <v>1441</v>
      </c>
      <c r="D782" s="122" t="s">
        <v>1450</v>
      </c>
      <c r="E782" s="312">
        <v>41212</v>
      </c>
      <c r="F782" s="311">
        <v>0.55902777777777779</v>
      </c>
      <c r="G782" s="202">
        <v>7</v>
      </c>
      <c r="H782" s="202">
        <v>3388</v>
      </c>
    </row>
    <row r="783" spans="1:8" hidden="1">
      <c r="A783" s="122" t="s">
        <v>1449</v>
      </c>
      <c r="B783" s="122" t="s">
        <v>1458</v>
      </c>
      <c r="C783" s="122" t="s">
        <v>1441</v>
      </c>
      <c r="D783" s="122" t="s">
        <v>1435</v>
      </c>
      <c r="E783" s="312">
        <v>41223</v>
      </c>
      <c r="F783" s="311">
        <v>0.4375</v>
      </c>
      <c r="G783" s="202">
        <v>15</v>
      </c>
      <c r="H783" s="202">
        <v>8610</v>
      </c>
    </row>
    <row r="784" spans="1:8" hidden="1">
      <c r="A784" s="122" t="s">
        <v>1448</v>
      </c>
      <c r="B784" s="122" t="s">
        <v>1460</v>
      </c>
      <c r="C784" s="122" t="s">
        <v>1445</v>
      </c>
      <c r="D784" s="122" t="s">
        <v>1450</v>
      </c>
      <c r="E784" s="312">
        <v>41113</v>
      </c>
      <c r="F784" s="311">
        <v>0.57638888888888884</v>
      </c>
      <c r="G784" s="202">
        <v>9</v>
      </c>
      <c r="H784" s="202">
        <v>5391</v>
      </c>
    </row>
    <row r="785" spans="1:8">
      <c r="A785" s="122" t="s">
        <v>1448</v>
      </c>
      <c r="B785" s="122" t="s">
        <v>1458</v>
      </c>
      <c r="C785" s="122" t="s">
        <v>1436</v>
      </c>
      <c r="D785" s="122" t="s">
        <v>1450</v>
      </c>
      <c r="E785" s="312">
        <v>41017</v>
      </c>
      <c r="F785" s="311">
        <v>0.375</v>
      </c>
      <c r="G785" s="202">
        <v>12</v>
      </c>
      <c r="H785" s="202">
        <v>3912</v>
      </c>
    </row>
    <row r="786" spans="1:8" hidden="1">
      <c r="A786" s="122" t="s">
        <v>1456</v>
      </c>
      <c r="B786" s="122" t="s">
        <v>1437</v>
      </c>
      <c r="C786" s="122" t="s">
        <v>1445</v>
      </c>
      <c r="D786" s="122" t="s">
        <v>1455</v>
      </c>
      <c r="E786" s="312">
        <v>41113</v>
      </c>
      <c r="F786" s="311">
        <v>0.33680555555555552</v>
      </c>
      <c r="G786" s="202">
        <v>3</v>
      </c>
      <c r="H786" s="202">
        <v>4566</v>
      </c>
    </row>
    <row r="787" spans="1:8" hidden="1">
      <c r="A787" s="122" t="s">
        <v>1438</v>
      </c>
      <c r="B787" s="122" t="s">
        <v>1459</v>
      </c>
      <c r="C787" s="122" t="s">
        <v>1436</v>
      </c>
      <c r="D787" s="122" t="s">
        <v>1453</v>
      </c>
      <c r="E787" s="312">
        <v>41401</v>
      </c>
      <c r="F787" s="311">
        <v>0.4548611111111111</v>
      </c>
      <c r="G787" s="202">
        <v>12</v>
      </c>
      <c r="H787" s="202">
        <v>8424</v>
      </c>
    </row>
    <row r="788" spans="1:8" hidden="1">
      <c r="A788" s="122" t="s">
        <v>1449</v>
      </c>
      <c r="B788" s="122" t="s">
        <v>1437</v>
      </c>
      <c r="C788" s="122" t="s">
        <v>1436</v>
      </c>
      <c r="D788" s="122" t="s">
        <v>1450</v>
      </c>
      <c r="E788" s="312">
        <v>41418</v>
      </c>
      <c r="F788" s="311">
        <v>0.72222222222222221</v>
      </c>
      <c r="G788" s="202">
        <v>9</v>
      </c>
      <c r="H788" s="202">
        <v>4293</v>
      </c>
    </row>
    <row r="789" spans="1:8" hidden="1">
      <c r="A789" s="122" t="s">
        <v>1444</v>
      </c>
      <c r="B789" s="122" t="s">
        <v>1460</v>
      </c>
      <c r="C789" s="122" t="s">
        <v>1445</v>
      </c>
      <c r="D789" s="122" t="s">
        <v>1452</v>
      </c>
      <c r="E789" s="312">
        <v>41111</v>
      </c>
      <c r="F789" s="311">
        <v>0.55555555555555558</v>
      </c>
      <c r="G789" s="202">
        <v>2</v>
      </c>
      <c r="H789" s="202">
        <v>1242</v>
      </c>
    </row>
    <row r="790" spans="1:8" hidden="1">
      <c r="A790" s="122" t="s">
        <v>1449</v>
      </c>
      <c r="B790" s="122" t="s">
        <v>1459</v>
      </c>
      <c r="C790" s="122" t="s">
        <v>1445</v>
      </c>
      <c r="D790" s="122" t="s">
        <v>1435</v>
      </c>
      <c r="E790" s="312">
        <v>40909</v>
      </c>
      <c r="F790" s="311">
        <v>0.4375</v>
      </c>
      <c r="G790" s="202">
        <v>9</v>
      </c>
      <c r="H790" s="202">
        <v>5301</v>
      </c>
    </row>
    <row r="791" spans="1:8" hidden="1">
      <c r="A791" s="122" t="s">
        <v>1443</v>
      </c>
      <c r="B791" s="122" t="s">
        <v>1460</v>
      </c>
      <c r="C791" s="122" t="s">
        <v>1445</v>
      </c>
      <c r="D791" s="122" t="s">
        <v>1435</v>
      </c>
      <c r="E791" s="312">
        <v>41432</v>
      </c>
      <c r="F791" s="311">
        <v>0.54166666666666663</v>
      </c>
      <c r="G791" s="202">
        <v>11</v>
      </c>
      <c r="H791" s="202">
        <v>4466</v>
      </c>
    </row>
    <row r="792" spans="1:8" hidden="1">
      <c r="A792" s="122" t="s">
        <v>1456</v>
      </c>
      <c r="B792" s="122" t="s">
        <v>1437</v>
      </c>
      <c r="C792" s="122" t="s">
        <v>1436</v>
      </c>
      <c r="D792" s="122" t="s">
        <v>1435</v>
      </c>
      <c r="E792" s="312">
        <v>41618</v>
      </c>
      <c r="F792" s="311">
        <v>0.55902777777777779</v>
      </c>
      <c r="G792" s="202">
        <v>11</v>
      </c>
      <c r="H792" s="202">
        <v>21373</v>
      </c>
    </row>
    <row r="793" spans="1:8" hidden="1">
      <c r="A793" s="122" t="s">
        <v>1438</v>
      </c>
      <c r="B793" s="122" t="s">
        <v>1459</v>
      </c>
      <c r="C793" s="122" t="s">
        <v>1445</v>
      </c>
      <c r="D793" s="122" t="s">
        <v>1435</v>
      </c>
      <c r="E793" s="312">
        <v>41110</v>
      </c>
      <c r="F793" s="311">
        <v>0.55208333333333326</v>
      </c>
      <c r="G793" s="202">
        <v>12</v>
      </c>
      <c r="H793" s="202">
        <v>6132</v>
      </c>
    </row>
    <row r="794" spans="1:8" hidden="1">
      <c r="A794" s="122" t="s">
        <v>1448</v>
      </c>
      <c r="B794" s="122" t="s">
        <v>1457</v>
      </c>
      <c r="C794" s="122" t="s">
        <v>1439</v>
      </c>
      <c r="D794" s="122" t="s">
        <v>1435</v>
      </c>
      <c r="E794" s="312">
        <v>40946</v>
      </c>
      <c r="F794" s="311">
        <v>0.5625</v>
      </c>
      <c r="G794" s="202">
        <v>8</v>
      </c>
      <c r="H794" s="202">
        <v>5360</v>
      </c>
    </row>
    <row r="795" spans="1:8" hidden="1">
      <c r="A795" s="122" t="s">
        <v>1449</v>
      </c>
      <c r="B795" s="122" t="s">
        <v>1458</v>
      </c>
      <c r="C795" s="122" t="s">
        <v>1441</v>
      </c>
      <c r="D795" s="122" t="s">
        <v>1450</v>
      </c>
      <c r="E795" s="312">
        <v>41403</v>
      </c>
      <c r="F795" s="311">
        <v>0.60416666666666663</v>
      </c>
      <c r="G795" s="202">
        <v>2</v>
      </c>
      <c r="H795" s="202">
        <v>1398</v>
      </c>
    </row>
    <row r="796" spans="1:8" hidden="1">
      <c r="A796" s="122" t="s">
        <v>1476</v>
      </c>
      <c r="B796" s="122" t="s">
        <v>1457</v>
      </c>
      <c r="C796" s="122" t="s">
        <v>1436</v>
      </c>
      <c r="D796" s="122" t="s">
        <v>1455</v>
      </c>
      <c r="E796" s="312">
        <v>41110</v>
      </c>
      <c r="F796" s="311">
        <v>0.35069444444444442</v>
      </c>
      <c r="G796" s="202">
        <v>9</v>
      </c>
      <c r="H796" s="202">
        <v>6678</v>
      </c>
    </row>
    <row r="797" spans="1:8" hidden="1">
      <c r="A797" s="122" t="s">
        <v>1476</v>
      </c>
      <c r="B797" s="122" t="s">
        <v>1460</v>
      </c>
      <c r="C797" s="122" t="s">
        <v>1441</v>
      </c>
      <c r="D797" s="122" t="s">
        <v>1455</v>
      </c>
      <c r="E797" s="312">
        <v>41251</v>
      </c>
      <c r="F797" s="311">
        <v>0.71527777777777779</v>
      </c>
      <c r="G797" s="202">
        <v>7</v>
      </c>
      <c r="H797" s="202">
        <v>5362</v>
      </c>
    </row>
    <row r="798" spans="1:8" hidden="1">
      <c r="A798" s="122" t="s">
        <v>1438</v>
      </c>
      <c r="B798" s="122" t="s">
        <v>1437</v>
      </c>
      <c r="C798" s="122" t="s">
        <v>1445</v>
      </c>
      <c r="D798" s="122" t="s">
        <v>1455</v>
      </c>
      <c r="E798" s="312">
        <v>41109</v>
      </c>
      <c r="F798" s="311">
        <v>0.33680555555555552</v>
      </c>
      <c r="G798" s="202">
        <v>14</v>
      </c>
      <c r="H798" s="202">
        <v>26194</v>
      </c>
    </row>
    <row r="799" spans="1:8">
      <c r="A799" s="122" t="s">
        <v>1449</v>
      </c>
      <c r="B799" s="122" t="s">
        <v>1459</v>
      </c>
      <c r="C799" s="122" t="s">
        <v>1441</v>
      </c>
      <c r="D799" s="122" t="s">
        <v>1453</v>
      </c>
      <c r="E799" s="312">
        <v>41108</v>
      </c>
      <c r="F799" s="311">
        <v>0.73958333333333326</v>
      </c>
      <c r="G799" s="202">
        <v>9</v>
      </c>
      <c r="H799" s="202">
        <v>4959</v>
      </c>
    </row>
    <row r="800" spans="1:8" hidden="1">
      <c r="A800" s="122" t="s">
        <v>1438</v>
      </c>
      <c r="B800" s="122" t="s">
        <v>1460</v>
      </c>
      <c r="C800" s="122" t="s">
        <v>1439</v>
      </c>
      <c r="D800" s="122" t="s">
        <v>1435</v>
      </c>
      <c r="E800" s="312">
        <v>41415</v>
      </c>
      <c r="F800" s="311">
        <v>0.51388888888888884</v>
      </c>
      <c r="G800" s="202">
        <v>20</v>
      </c>
      <c r="H800" s="202">
        <v>16960</v>
      </c>
    </row>
    <row r="801" spans="1:8">
      <c r="A801" s="122" t="s">
        <v>3138</v>
      </c>
      <c r="B801" s="122" t="s">
        <v>1437</v>
      </c>
      <c r="C801" s="122" t="s">
        <v>1445</v>
      </c>
      <c r="D801" s="122" t="s">
        <v>1450</v>
      </c>
      <c r="E801" s="312">
        <v>41108</v>
      </c>
      <c r="F801" s="311">
        <v>0.52083333333333326</v>
      </c>
      <c r="G801" s="202">
        <v>7</v>
      </c>
      <c r="H801" s="202">
        <v>13265</v>
      </c>
    </row>
    <row r="802" spans="1:8">
      <c r="A802" s="122" t="s">
        <v>3138</v>
      </c>
      <c r="B802" s="122" t="s">
        <v>1437</v>
      </c>
      <c r="C802" s="122" t="s">
        <v>1439</v>
      </c>
      <c r="D802" s="122" t="s">
        <v>1435</v>
      </c>
      <c r="E802" s="312">
        <v>41297</v>
      </c>
      <c r="F802" s="311">
        <v>0.50694444444444442</v>
      </c>
      <c r="G802" s="202">
        <v>17</v>
      </c>
      <c r="H802" s="202">
        <v>6987</v>
      </c>
    </row>
    <row r="803" spans="1:8" hidden="1">
      <c r="A803" s="122" t="s">
        <v>1456</v>
      </c>
      <c r="B803" s="122" t="s">
        <v>1437</v>
      </c>
      <c r="C803" s="122" t="s">
        <v>1441</v>
      </c>
      <c r="D803" s="122" t="s">
        <v>1435</v>
      </c>
      <c r="E803" s="312">
        <v>40932</v>
      </c>
      <c r="F803" s="311">
        <v>0.48958333333333331</v>
      </c>
      <c r="G803" s="202">
        <v>8</v>
      </c>
      <c r="H803" s="202">
        <v>8128</v>
      </c>
    </row>
    <row r="804" spans="1:8">
      <c r="A804" s="122" t="s">
        <v>1448</v>
      </c>
      <c r="B804" s="122" t="s">
        <v>1460</v>
      </c>
      <c r="C804" s="122" t="s">
        <v>1436</v>
      </c>
      <c r="D804" s="122" t="s">
        <v>1435</v>
      </c>
      <c r="E804" s="312">
        <v>41444</v>
      </c>
      <c r="F804" s="311">
        <v>0.57638888888888884</v>
      </c>
      <c r="G804" s="202">
        <v>16</v>
      </c>
      <c r="H804" s="202">
        <v>14208</v>
      </c>
    </row>
    <row r="805" spans="1:8" hidden="1">
      <c r="A805" s="122" t="s">
        <v>1447</v>
      </c>
      <c r="B805" s="122" t="s">
        <v>1437</v>
      </c>
      <c r="C805" s="122" t="s">
        <v>1439</v>
      </c>
      <c r="D805" s="122" t="s">
        <v>1452</v>
      </c>
      <c r="E805" s="312">
        <v>41449</v>
      </c>
      <c r="F805" s="311">
        <v>0.72222222222222221</v>
      </c>
      <c r="G805" s="202">
        <v>15</v>
      </c>
      <c r="H805" s="202">
        <v>25515</v>
      </c>
    </row>
    <row r="806" spans="1:8" hidden="1">
      <c r="A806" s="122" t="s">
        <v>1474</v>
      </c>
      <c r="B806" s="122" t="s">
        <v>1460</v>
      </c>
      <c r="C806" s="122" t="s">
        <v>1441</v>
      </c>
      <c r="D806" s="122" t="s">
        <v>1450</v>
      </c>
      <c r="E806" s="312">
        <v>41389</v>
      </c>
      <c r="F806" s="311">
        <v>0.55555555555555558</v>
      </c>
      <c r="G806" s="202">
        <v>9</v>
      </c>
      <c r="H806" s="202">
        <v>5940</v>
      </c>
    </row>
    <row r="807" spans="1:8" hidden="1">
      <c r="A807" s="122" t="s">
        <v>1476</v>
      </c>
      <c r="B807" s="122" t="s">
        <v>1458</v>
      </c>
      <c r="C807" s="122" t="s">
        <v>1441</v>
      </c>
      <c r="D807" s="122" t="s">
        <v>1455</v>
      </c>
      <c r="E807" s="312">
        <v>41614</v>
      </c>
      <c r="F807" s="311">
        <v>0.72569444444444442</v>
      </c>
      <c r="G807" s="202">
        <v>12</v>
      </c>
      <c r="H807" s="202">
        <v>8304</v>
      </c>
    </row>
    <row r="808" spans="1:8">
      <c r="A808" s="122" t="s">
        <v>1443</v>
      </c>
      <c r="B808" s="122" t="s">
        <v>1458</v>
      </c>
      <c r="C808" s="122" t="s">
        <v>1441</v>
      </c>
      <c r="D808" s="122" t="s">
        <v>1435</v>
      </c>
      <c r="E808" s="312">
        <v>41276</v>
      </c>
      <c r="F808" s="311">
        <v>0.37152777777777773</v>
      </c>
      <c r="G808" s="202">
        <v>20</v>
      </c>
      <c r="H808" s="202">
        <v>6920</v>
      </c>
    </row>
    <row r="809" spans="1:8">
      <c r="A809" s="122" t="s">
        <v>1447</v>
      </c>
      <c r="B809" s="122" t="s">
        <v>1458</v>
      </c>
      <c r="C809" s="122" t="s">
        <v>1436</v>
      </c>
      <c r="D809" s="122" t="s">
        <v>1435</v>
      </c>
      <c r="E809" s="312">
        <v>41108</v>
      </c>
      <c r="F809" s="311">
        <v>0.60763888888888884</v>
      </c>
      <c r="G809" s="202">
        <v>7</v>
      </c>
      <c r="H809" s="202">
        <v>2856</v>
      </c>
    </row>
    <row r="810" spans="1:8" hidden="1">
      <c r="A810" s="122" t="s">
        <v>1449</v>
      </c>
      <c r="B810" s="122" t="s">
        <v>1460</v>
      </c>
      <c r="C810" s="122" t="s">
        <v>1445</v>
      </c>
      <c r="D810" s="122" t="s">
        <v>1453</v>
      </c>
      <c r="E810" s="312">
        <v>41107</v>
      </c>
      <c r="F810" s="311">
        <v>0.71875</v>
      </c>
      <c r="G810" s="202">
        <v>15</v>
      </c>
      <c r="H810" s="202">
        <v>6615</v>
      </c>
    </row>
    <row r="811" spans="1:8" hidden="1">
      <c r="A811" s="122" t="s">
        <v>1472</v>
      </c>
      <c r="B811" s="122" t="s">
        <v>1460</v>
      </c>
      <c r="C811" s="122" t="s">
        <v>1445</v>
      </c>
      <c r="D811" s="122" t="s">
        <v>1435</v>
      </c>
      <c r="E811" s="312">
        <v>41342</v>
      </c>
      <c r="F811" s="311">
        <v>0.74652777777777779</v>
      </c>
      <c r="G811" s="202">
        <v>8</v>
      </c>
      <c r="H811" s="202">
        <v>4128</v>
      </c>
    </row>
    <row r="812" spans="1:8" hidden="1">
      <c r="A812" s="122" t="s">
        <v>1472</v>
      </c>
      <c r="B812" s="122" t="s">
        <v>1457</v>
      </c>
      <c r="C812" s="122" t="s">
        <v>1436</v>
      </c>
      <c r="D812" s="122" t="s">
        <v>1435</v>
      </c>
      <c r="E812" s="312">
        <v>40953</v>
      </c>
      <c r="F812" s="311">
        <v>0.67013888888888884</v>
      </c>
      <c r="G812" s="202">
        <v>20</v>
      </c>
      <c r="H812" s="202">
        <v>26840</v>
      </c>
    </row>
    <row r="813" spans="1:8" hidden="1">
      <c r="A813" s="122" t="s">
        <v>1449</v>
      </c>
      <c r="B813" s="122" t="s">
        <v>1457</v>
      </c>
      <c r="C813" s="122" t="s">
        <v>1445</v>
      </c>
      <c r="D813" s="122" t="s">
        <v>1450</v>
      </c>
      <c r="E813" s="312">
        <v>41436</v>
      </c>
      <c r="F813" s="311">
        <v>0.54513888888888884</v>
      </c>
      <c r="G813" s="202">
        <v>11</v>
      </c>
      <c r="H813" s="202">
        <v>10835</v>
      </c>
    </row>
    <row r="814" spans="1:8" hidden="1">
      <c r="A814" s="122" t="s">
        <v>1456</v>
      </c>
      <c r="B814" s="122" t="s">
        <v>1459</v>
      </c>
      <c r="C814" s="122" t="s">
        <v>1439</v>
      </c>
      <c r="D814" s="122" t="s">
        <v>1450</v>
      </c>
      <c r="E814" s="312">
        <v>40980</v>
      </c>
      <c r="F814" s="311">
        <v>0.63888888888888884</v>
      </c>
      <c r="G814" s="202">
        <v>11</v>
      </c>
      <c r="H814" s="313">
        <v>7953</v>
      </c>
    </row>
    <row r="815" spans="1:8" hidden="1">
      <c r="A815" s="122" t="s">
        <v>1447</v>
      </c>
      <c r="B815" s="122" t="s">
        <v>1459</v>
      </c>
      <c r="C815" s="122" t="s">
        <v>1445</v>
      </c>
      <c r="D815" s="122" t="s">
        <v>1453</v>
      </c>
      <c r="E815" s="312">
        <v>41107</v>
      </c>
      <c r="F815" s="311">
        <v>0.65625</v>
      </c>
      <c r="G815" s="202">
        <v>13</v>
      </c>
      <c r="H815" s="202">
        <v>11648</v>
      </c>
    </row>
    <row r="816" spans="1:8" hidden="1">
      <c r="A816" s="122" t="s">
        <v>1449</v>
      </c>
      <c r="B816" s="122" t="s">
        <v>1460</v>
      </c>
      <c r="C816" s="122" t="s">
        <v>1436</v>
      </c>
      <c r="D816" s="122" t="s">
        <v>1453</v>
      </c>
      <c r="E816" s="312">
        <v>40983</v>
      </c>
      <c r="F816" s="311">
        <v>0.55555555555555558</v>
      </c>
      <c r="G816" s="202">
        <v>9</v>
      </c>
      <c r="H816" s="202">
        <v>4662</v>
      </c>
    </row>
    <row r="817" spans="1:8" hidden="1">
      <c r="A817" s="122" t="s">
        <v>1443</v>
      </c>
      <c r="B817" s="122" t="s">
        <v>1460</v>
      </c>
      <c r="C817" s="122" t="s">
        <v>1445</v>
      </c>
      <c r="D817" s="122" t="s">
        <v>1455</v>
      </c>
      <c r="E817" s="312">
        <v>41107</v>
      </c>
      <c r="F817" s="311">
        <v>0.35069444444444442</v>
      </c>
      <c r="G817" s="202">
        <v>2</v>
      </c>
      <c r="H817" s="202">
        <v>972</v>
      </c>
    </row>
    <row r="818" spans="1:8" hidden="1">
      <c r="A818" s="122" t="s">
        <v>1447</v>
      </c>
      <c r="B818" s="122" t="s">
        <v>1459</v>
      </c>
      <c r="C818" s="122" t="s">
        <v>1445</v>
      </c>
      <c r="D818" s="122" t="s">
        <v>1435</v>
      </c>
      <c r="E818" s="312">
        <v>41303</v>
      </c>
      <c r="F818" s="311">
        <v>0.59027777777777779</v>
      </c>
      <c r="G818" s="202">
        <v>13</v>
      </c>
      <c r="H818" s="202">
        <v>8125</v>
      </c>
    </row>
    <row r="819" spans="1:8" hidden="1">
      <c r="A819" s="122" t="s">
        <v>1438</v>
      </c>
      <c r="B819" s="122" t="s">
        <v>1437</v>
      </c>
      <c r="C819" s="122" t="s">
        <v>1445</v>
      </c>
      <c r="D819" s="122" t="s">
        <v>1450</v>
      </c>
      <c r="E819" s="312">
        <v>41002</v>
      </c>
      <c r="F819" s="311">
        <v>0.49652777777777773</v>
      </c>
      <c r="G819" s="202">
        <v>6</v>
      </c>
      <c r="H819" s="202">
        <v>4878</v>
      </c>
    </row>
    <row r="820" spans="1:8">
      <c r="A820" s="122" t="s">
        <v>1456</v>
      </c>
      <c r="B820" s="122" t="s">
        <v>1437</v>
      </c>
      <c r="C820" s="122" t="s">
        <v>1445</v>
      </c>
      <c r="D820" s="122" t="s">
        <v>1452</v>
      </c>
      <c r="E820" s="312">
        <v>40961</v>
      </c>
      <c r="F820" s="311">
        <v>0.4548611111111111</v>
      </c>
      <c r="G820" s="202">
        <v>14</v>
      </c>
      <c r="H820" s="313">
        <v>23814</v>
      </c>
    </row>
    <row r="821" spans="1:8" hidden="1">
      <c r="A821" s="122" t="s">
        <v>1443</v>
      </c>
      <c r="B821" s="122" t="s">
        <v>1457</v>
      </c>
      <c r="C821" s="122" t="s">
        <v>1439</v>
      </c>
      <c r="D821" s="122" t="s">
        <v>1452</v>
      </c>
      <c r="E821" s="312">
        <v>41267</v>
      </c>
      <c r="F821" s="311">
        <v>0.49305555555555552</v>
      </c>
      <c r="G821" s="202">
        <v>1</v>
      </c>
      <c r="H821" s="202">
        <v>885</v>
      </c>
    </row>
    <row r="822" spans="1:8" hidden="1">
      <c r="A822" s="122" t="s">
        <v>1448</v>
      </c>
      <c r="B822" s="122" t="s">
        <v>1457</v>
      </c>
      <c r="C822" s="122" t="s">
        <v>1439</v>
      </c>
      <c r="D822" s="122" t="s">
        <v>1452</v>
      </c>
      <c r="E822" s="312">
        <v>41107</v>
      </c>
      <c r="F822" s="311">
        <v>0.71875</v>
      </c>
      <c r="G822" s="202">
        <v>13</v>
      </c>
      <c r="H822" s="202">
        <v>15015</v>
      </c>
    </row>
    <row r="823" spans="1:8" hidden="1">
      <c r="A823" s="122" t="s">
        <v>1476</v>
      </c>
      <c r="B823" s="122" t="s">
        <v>1459</v>
      </c>
      <c r="C823" s="122" t="s">
        <v>1441</v>
      </c>
      <c r="D823" s="122" t="s">
        <v>1452</v>
      </c>
      <c r="E823" s="312">
        <v>41104</v>
      </c>
      <c r="F823" s="311">
        <v>0.69791666666666663</v>
      </c>
      <c r="G823" s="202">
        <v>13</v>
      </c>
      <c r="H823" s="202">
        <v>5915</v>
      </c>
    </row>
    <row r="824" spans="1:8" hidden="1">
      <c r="A824" s="122" t="s">
        <v>3138</v>
      </c>
      <c r="B824" s="122" t="s">
        <v>1460</v>
      </c>
      <c r="C824" s="122" t="s">
        <v>1441</v>
      </c>
      <c r="D824" s="122" t="s">
        <v>1455</v>
      </c>
      <c r="E824" s="312">
        <v>41104</v>
      </c>
      <c r="F824" s="311">
        <v>0.60763888888888884</v>
      </c>
      <c r="G824" s="202">
        <v>14</v>
      </c>
      <c r="H824" s="202">
        <v>9408</v>
      </c>
    </row>
    <row r="825" spans="1:8" hidden="1">
      <c r="A825" s="122" t="s">
        <v>1438</v>
      </c>
      <c r="B825" s="122" t="s">
        <v>1437</v>
      </c>
      <c r="C825" s="122" t="s">
        <v>1436</v>
      </c>
      <c r="D825" s="122" t="s">
        <v>1453</v>
      </c>
      <c r="E825" s="312">
        <v>41286</v>
      </c>
      <c r="F825" s="311">
        <v>0.66666666666666663</v>
      </c>
      <c r="G825" s="202">
        <v>10</v>
      </c>
      <c r="H825" s="202">
        <v>5020</v>
      </c>
    </row>
    <row r="826" spans="1:8" hidden="1">
      <c r="A826" s="122" t="s">
        <v>1474</v>
      </c>
      <c r="B826" s="122" t="s">
        <v>1437</v>
      </c>
      <c r="C826" s="122" t="s">
        <v>1436</v>
      </c>
      <c r="D826" s="122" t="s">
        <v>1450</v>
      </c>
      <c r="E826" s="312">
        <v>41207</v>
      </c>
      <c r="F826" s="311">
        <v>0.5625</v>
      </c>
      <c r="G826" s="202">
        <v>15</v>
      </c>
      <c r="H826" s="202">
        <v>20160</v>
      </c>
    </row>
    <row r="827" spans="1:8" hidden="1">
      <c r="A827" s="122" t="s">
        <v>1476</v>
      </c>
      <c r="B827" s="122" t="s">
        <v>1457</v>
      </c>
      <c r="C827" s="122" t="s">
        <v>1441</v>
      </c>
      <c r="D827" s="122" t="s">
        <v>1450</v>
      </c>
      <c r="E827" s="312">
        <v>41415</v>
      </c>
      <c r="F827" s="311">
        <v>0.57986111111111105</v>
      </c>
      <c r="G827" s="202">
        <v>2</v>
      </c>
      <c r="H827" s="202">
        <v>1152</v>
      </c>
    </row>
    <row r="828" spans="1:8" hidden="1">
      <c r="A828" s="122" t="s">
        <v>1456</v>
      </c>
      <c r="B828" s="122" t="s">
        <v>1459</v>
      </c>
      <c r="C828" s="122" t="s">
        <v>1436</v>
      </c>
      <c r="D828" s="122" t="s">
        <v>1453</v>
      </c>
      <c r="E828" s="312">
        <v>41103</v>
      </c>
      <c r="F828" s="311">
        <v>0.41319444444444442</v>
      </c>
      <c r="G828" s="202">
        <v>2</v>
      </c>
      <c r="H828" s="202">
        <v>974</v>
      </c>
    </row>
    <row r="829" spans="1:8" hidden="1">
      <c r="A829" s="122" t="s">
        <v>1474</v>
      </c>
      <c r="B829" s="122" t="s">
        <v>1437</v>
      </c>
      <c r="C829" s="122" t="s">
        <v>1436</v>
      </c>
      <c r="D829" s="122" t="s">
        <v>1453</v>
      </c>
      <c r="E829" s="312">
        <v>41452</v>
      </c>
      <c r="F829" s="311">
        <v>0.54513888888888884</v>
      </c>
      <c r="G829" s="202">
        <v>13</v>
      </c>
      <c r="H829" s="202">
        <v>5681</v>
      </c>
    </row>
    <row r="830" spans="1:8" hidden="1">
      <c r="A830" s="122" t="s">
        <v>1476</v>
      </c>
      <c r="B830" s="122" t="s">
        <v>1459</v>
      </c>
      <c r="C830" s="122" t="s">
        <v>1445</v>
      </c>
      <c r="D830" s="122" t="s">
        <v>1435</v>
      </c>
      <c r="E830" s="312">
        <v>41624</v>
      </c>
      <c r="F830" s="311">
        <v>0.51388888888888884</v>
      </c>
      <c r="G830" s="202">
        <v>12</v>
      </c>
      <c r="H830" s="202">
        <v>8880</v>
      </c>
    </row>
    <row r="831" spans="1:8">
      <c r="A831" s="122" t="s">
        <v>1448</v>
      </c>
      <c r="B831" s="122" t="s">
        <v>1459</v>
      </c>
      <c r="C831" s="122" t="s">
        <v>1439</v>
      </c>
      <c r="D831" s="122" t="s">
        <v>1450</v>
      </c>
      <c r="E831" s="312">
        <v>41304</v>
      </c>
      <c r="F831" s="311">
        <v>0.64930555555555547</v>
      </c>
      <c r="G831" s="202">
        <v>9</v>
      </c>
      <c r="H831" s="202">
        <v>6165</v>
      </c>
    </row>
    <row r="832" spans="1:8" hidden="1">
      <c r="A832" s="122" t="s">
        <v>1454</v>
      </c>
      <c r="B832" s="122" t="s">
        <v>1459</v>
      </c>
      <c r="C832" s="122" t="s">
        <v>1439</v>
      </c>
      <c r="D832" s="122" t="s">
        <v>1450</v>
      </c>
      <c r="E832" s="312">
        <v>41394</v>
      </c>
      <c r="F832" s="311">
        <v>0.41666666666666663</v>
      </c>
      <c r="G832" s="202">
        <v>9</v>
      </c>
      <c r="H832" s="202">
        <v>6939</v>
      </c>
    </row>
    <row r="833" spans="1:8" hidden="1">
      <c r="A833" s="122" t="s">
        <v>1454</v>
      </c>
      <c r="B833" s="122" t="s">
        <v>1437</v>
      </c>
      <c r="C833" s="122" t="s">
        <v>1436</v>
      </c>
      <c r="D833" s="122" t="s">
        <v>1455</v>
      </c>
      <c r="E833" s="312">
        <v>41277</v>
      </c>
      <c r="F833" s="311">
        <v>0.50347222222222221</v>
      </c>
      <c r="G833" s="202">
        <v>1</v>
      </c>
      <c r="H833" s="202">
        <v>1272</v>
      </c>
    </row>
    <row r="834" spans="1:8" hidden="1">
      <c r="A834" s="122" t="s">
        <v>1447</v>
      </c>
      <c r="B834" s="122" t="s">
        <v>1458</v>
      </c>
      <c r="C834" s="122" t="s">
        <v>1441</v>
      </c>
      <c r="D834" s="122" t="s">
        <v>1450</v>
      </c>
      <c r="E834" s="312">
        <v>41618</v>
      </c>
      <c r="F834" s="311">
        <v>0.34722222222222221</v>
      </c>
      <c r="G834" s="202">
        <v>5</v>
      </c>
      <c r="H834" s="202">
        <v>3300</v>
      </c>
    </row>
    <row r="835" spans="1:8">
      <c r="A835" s="122" t="s">
        <v>1448</v>
      </c>
      <c r="B835" s="122" t="s">
        <v>1437</v>
      </c>
      <c r="C835" s="122" t="s">
        <v>1441</v>
      </c>
      <c r="D835" s="122" t="s">
        <v>1453</v>
      </c>
      <c r="E835" s="312">
        <v>41080</v>
      </c>
      <c r="F835" s="311">
        <v>0.46875</v>
      </c>
      <c r="G835" s="202">
        <v>6</v>
      </c>
      <c r="H835" s="202">
        <v>8262</v>
      </c>
    </row>
    <row r="836" spans="1:8" hidden="1">
      <c r="A836" s="122" t="s">
        <v>1447</v>
      </c>
      <c r="B836" s="122" t="s">
        <v>1459</v>
      </c>
      <c r="C836" s="122" t="s">
        <v>1441</v>
      </c>
      <c r="D836" s="122" t="s">
        <v>1435</v>
      </c>
      <c r="E836" s="312">
        <v>41321</v>
      </c>
      <c r="F836" s="311">
        <v>0.55208333333333326</v>
      </c>
      <c r="G836" s="202">
        <v>19</v>
      </c>
      <c r="H836" s="202">
        <v>6536</v>
      </c>
    </row>
    <row r="837" spans="1:8" hidden="1">
      <c r="A837" s="122" t="s">
        <v>1454</v>
      </c>
      <c r="B837" s="122" t="s">
        <v>1437</v>
      </c>
      <c r="C837" s="122" t="s">
        <v>1439</v>
      </c>
      <c r="D837" s="122" t="s">
        <v>1455</v>
      </c>
      <c r="E837" s="312">
        <v>40934</v>
      </c>
      <c r="F837" s="311">
        <v>0.66319444444444442</v>
      </c>
      <c r="G837" s="202">
        <v>4</v>
      </c>
      <c r="H837" s="313">
        <v>3388</v>
      </c>
    </row>
    <row r="838" spans="1:8">
      <c r="A838" s="122" t="s">
        <v>1474</v>
      </c>
      <c r="B838" s="122" t="s">
        <v>1460</v>
      </c>
      <c r="C838" s="122" t="s">
        <v>1436</v>
      </c>
      <c r="D838" s="122" t="s">
        <v>1435</v>
      </c>
      <c r="E838" s="312">
        <v>41591</v>
      </c>
      <c r="F838" s="311">
        <v>0.43402777777777773</v>
      </c>
      <c r="G838" s="202">
        <v>19</v>
      </c>
      <c r="H838" s="202">
        <v>15409</v>
      </c>
    </row>
    <row r="839" spans="1:8" hidden="1">
      <c r="A839" s="122" t="s">
        <v>3138</v>
      </c>
      <c r="B839" s="122" t="s">
        <v>1458</v>
      </c>
      <c r="C839" s="122" t="s">
        <v>1439</v>
      </c>
      <c r="D839" s="122" t="s">
        <v>1453</v>
      </c>
      <c r="E839" s="312">
        <v>41446</v>
      </c>
      <c r="F839" s="311">
        <v>0.60416666666666663</v>
      </c>
      <c r="G839" s="202">
        <v>3</v>
      </c>
      <c r="H839" s="202">
        <v>1977</v>
      </c>
    </row>
    <row r="840" spans="1:8">
      <c r="A840" s="122" t="s">
        <v>1443</v>
      </c>
      <c r="B840" s="122" t="s">
        <v>1460</v>
      </c>
      <c r="C840" s="122" t="s">
        <v>1445</v>
      </c>
      <c r="D840" s="122" t="s">
        <v>1435</v>
      </c>
      <c r="E840" s="312">
        <v>41451</v>
      </c>
      <c r="F840" s="311">
        <v>0.55208333333333326</v>
      </c>
      <c r="G840" s="202">
        <v>10</v>
      </c>
      <c r="H840" s="202">
        <v>6120</v>
      </c>
    </row>
    <row r="841" spans="1:8" hidden="1">
      <c r="A841" s="122" t="s">
        <v>1449</v>
      </c>
      <c r="B841" s="122" t="s">
        <v>1457</v>
      </c>
      <c r="C841" s="122" t="s">
        <v>1441</v>
      </c>
      <c r="D841" s="122" t="s">
        <v>1435</v>
      </c>
      <c r="E841" s="312">
        <v>41102</v>
      </c>
      <c r="F841" s="311">
        <v>0.36805555555555552</v>
      </c>
      <c r="G841" s="202">
        <v>8</v>
      </c>
      <c r="H841" s="202">
        <v>7704</v>
      </c>
    </row>
    <row r="842" spans="1:8" hidden="1">
      <c r="A842" s="122" t="s">
        <v>1456</v>
      </c>
      <c r="B842" s="122" t="s">
        <v>1437</v>
      </c>
      <c r="C842" s="122" t="s">
        <v>1441</v>
      </c>
      <c r="D842" s="122" t="s">
        <v>1435</v>
      </c>
      <c r="E842" s="312">
        <v>40966</v>
      </c>
      <c r="F842" s="311">
        <v>0.4236111111111111</v>
      </c>
      <c r="G842" s="202">
        <v>20</v>
      </c>
      <c r="H842" s="202">
        <v>38040</v>
      </c>
    </row>
    <row r="843" spans="1:8">
      <c r="A843" s="122" t="s">
        <v>1476</v>
      </c>
      <c r="B843" s="122" t="s">
        <v>1459</v>
      </c>
      <c r="C843" s="122" t="s">
        <v>1445</v>
      </c>
      <c r="D843" s="122" t="s">
        <v>1450</v>
      </c>
      <c r="E843" s="312">
        <v>41101</v>
      </c>
      <c r="F843" s="311">
        <v>0.43402777777777773</v>
      </c>
      <c r="G843" s="202">
        <v>2</v>
      </c>
      <c r="H843" s="202">
        <v>1286</v>
      </c>
    </row>
    <row r="844" spans="1:8" hidden="1">
      <c r="A844" s="122" t="s">
        <v>1438</v>
      </c>
      <c r="B844" s="122" t="s">
        <v>1458</v>
      </c>
      <c r="C844" s="122" t="s">
        <v>1439</v>
      </c>
      <c r="D844" s="122" t="s">
        <v>1453</v>
      </c>
      <c r="E844" s="312">
        <v>41295</v>
      </c>
      <c r="F844" s="311">
        <v>0.58680555555555547</v>
      </c>
      <c r="G844" s="202">
        <v>11</v>
      </c>
      <c r="H844" s="202">
        <v>4664</v>
      </c>
    </row>
    <row r="845" spans="1:8" hidden="1">
      <c r="A845" s="122" t="s">
        <v>1474</v>
      </c>
      <c r="B845" s="122" t="s">
        <v>1458</v>
      </c>
      <c r="C845" s="122" t="s">
        <v>1436</v>
      </c>
      <c r="D845" s="122" t="s">
        <v>1455</v>
      </c>
      <c r="E845" s="312">
        <v>41618</v>
      </c>
      <c r="F845" s="311">
        <v>0.72916666666666663</v>
      </c>
      <c r="G845" s="202">
        <v>4</v>
      </c>
      <c r="H845" s="202">
        <v>2436</v>
      </c>
    </row>
    <row r="846" spans="1:8" hidden="1">
      <c r="A846" s="122" t="s">
        <v>1448</v>
      </c>
      <c r="B846" s="122" t="s">
        <v>1458</v>
      </c>
      <c r="C846" s="122" t="s">
        <v>1436</v>
      </c>
      <c r="D846" s="122" t="s">
        <v>1453</v>
      </c>
      <c r="E846" s="312">
        <v>41618</v>
      </c>
      <c r="F846" s="311">
        <v>0.53472222222222221</v>
      </c>
      <c r="G846" s="202">
        <v>7</v>
      </c>
      <c r="H846" s="202">
        <v>3346</v>
      </c>
    </row>
    <row r="847" spans="1:8" hidden="1">
      <c r="A847" s="122" t="s">
        <v>1474</v>
      </c>
      <c r="B847" s="122" t="s">
        <v>1457</v>
      </c>
      <c r="C847" s="122" t="s">
        <v>1436</v>
      </c>
      <c r="D847" s="122" t="s">
        <v>1435</v>
      </c>
      <c r="E847" s="312">
        <v>41219</v>
      </c>
      <c r="F847" s="311">
        <v>0.48263888888888884</v>
      </c>
      <c r="G847" s="202">
        <v>10</v>
      </c>
      <c r="H847" s="202">
        <v>14400</v>
      </c>
    </row>
    <row r="848" spans="1:8" hidden="1">
      <c r="A848" s="122" t="s">
        <v>3138</v>
      </c>
      <c r="B848" s="122" t="s">
        <v>1457</v>
      </c>
      <c r="C848" s="122" t="s">
        <v>1445</v>
      </c>
      <c r="D848" s="122" t="s">
        <v>1455</v>
      </c>
      <c r="E848" s="312">
        <v>41100</v>
      </c>
      <c r="F848" s="311">
        <v>0.52430555555555558</v>
      </c>
      <c r="G848" s="202">
        <v>2</v>
      </c>
      <c r="H848" s="202">
        <v>1446</v>
      </c>
    </row>
    <row r="849" spans="1:8" hidden="1">
      <c r="A849" s="122" t="s">
        <v>3138</v>
      </c>
      <c r="B849" s="122" t="s">
        <v>1459</v>
      </c>
      <c r="C849" s="122" t="s">
        <v>1439</v>
      </c>
      <c r="D849" s="122" t="s">
        <v>1455</v>
      </c>
      <c r="E849" s="312">
        <v>41100</v>
      </c>
      <c r="F849" s="311">
        <v>0.57291666666666663</v>
      </c>
      <c r="G849" s="202">
        <v>6</v>
      </c>
      <c r="H849" s="202">
        <v>2334</v>
      </c>
    </row>
    <row r="850" spans="1:8" hidden="1">
      <c r="A850" s="122" t="s">
        <v>1438</v>
      </c>
      <c r="B850" s="122" t="s">
        <v>1437</v>
      </c>
      <c r="C850" s="122" t="s">
        <v>1436</v>
      </c>
      <c r="D850" s="122" t="s">
        <v>1452</v>
      </c>
      <c r="E850" s="312">
        <v>41100</v>
      </c>
      <c r="F850" s="311">
        <v>0.6875</v>
      </c>
      <c r="G850" s="202">
        <v>13</v>
      </c>
      <c r="H850" s="202">
        <v>13910</v>
      </c>
    </row>
    <row r="851" spans="1:8" hidden="1">
      <c r="A851" s="122" t="s">
        <v>1472</v>
      </c>
      <c r="B851" s="122" t="s">
        <v>1458</v>
      </c>
      <c r="C851" s="122" t="s">
        <v>1441</v>
      </c>
      <c r="D851" s="122" t="s">
        <v>1452</v>
      </c>
      <c r="E851" s="312">
        <v>41184</v>
      </c>
      <c r="F851" s="311">
        <v>0.34722222222222221</v>
      </c>
      <c r="G851" s="202">
        <v>4</v>
      </c>
      <c r="H851" s="202">
        <v>2108</v>
      </c>
    </row>
    <row r="852" spans="1:8" hidden="1">
      <c r="A852" s="122" t="s">
        <v>1454</v>
      </c>
      <c r="B852" s="122" t="s">
        <v>1458</v>
      </c>
      <c r="C852" s="122" t="s">
        <v>1436</v>
      </c>
      <c r="D852" s="122" t="s">
        <v>1455</v>
      </c>
      <c r="E852" s="312">
        <v>40970</v>
      </c>
      <c r="F852" s="311">
        <v>0.51041666666666663</v>
      </c>
      <c r="G852" s="202">
        <v>11</v>
      </c>
      <c r="H852" s="313">
        <v>3795</v>
      </c>
    </row>
    <row r="853" spans="1:8">
      <c r="A853" s="122" t="s">
        <v>1438</v>
      </c>
      <c r="B853" s="122" t="s">
        <v>1457</v>
      </c>
      <c r="C853" s="122" t="s">
        <v>1439</v>
      </c>
      <c r="D853" s="122" t="s">
        <v>1450</v>
      </c>
      <c r="E853" s="312">
        <v>41248</v>
      </c>
      <c r="F853" s="311">
        <v>0.57986111111111105</v>
      </c>
      <c r="G853" s="202">
        <v>7</v>
      </c>
      <c r="H853" s="202">
        <v>6132</v>
      </c>
    </row>
    <row r="854" spans="1:8" hidden="1">
      <c r="A854" s="122" t="s">
        <v>1438</v>
      </c>
      <c r="B854" s="122" t="s">
        <v>1437</v>
      </c>
      <c r="C854" s="122" t="s">
        <v>1436</v>
      </c>
      <c r="D854" s="122" t="s">
        <v>1455</v>
      </c>
      <c r="E854" s="312">
        <v>41361</v>
      </c>
      <c r="F854" s="311">
        <v>0.625</v>
      </c>
      <c r="G854" s="202">
        <v>6</v>
      </c>
      <c r="H854" s="202">
        <v>7836</v>
      </c>
    </row>
    <row r="855" spans="1:8" hidden="1">
      <c r="A855" s="122" t="s">
        <v>1449</v>
      </c>
      <c r="B855" s="122" t="s">
        <v>1459</v>
      </c>
      <c r="C855" s="122" t="s">
        <v>1439</v>
      </c>
      <c r="D855" s="122" t="s">
        <v>1435</v>
      </c>
      <c r="E855" s="312">
        <v>41615</v>
      </c>
      <c r="F855" s="311">
        <v>0.49305555555555552</v>
      </c>
      <c r="G855" s="202">
        <v>11</v>
      </c>
      <c r="H855" s="202">
        <v>4972</v>
      </c>
    </row>
    <row r="856" spans="1:8" hidden="1">
      <c r="A856" s="122" t="s">
        <v>1474</v>
      </c>
      <c r="B856" s="122" t="s">
        <v>1459</v>
      </c>
      <c r="C856" s="122" t="s">
        <v>1441</v>
      </c>
      <c r="D856" s="122" t="s">
        <v>1450</v>
      </c>
      <c r="E856" s="312">
        <v>41342</v>
      </c>
      <c r="F856" s="311">
        <v>0.46527777777777773</v>
      </c>
      <c r="G856" s="202">
        <v>4</v>
      </c>
      <c r="H856" s="202">
        <v>1932</v>
      </c>
    </row>
    <row r="857" spans="1:8" hidden="1">
      <c r="A857" s="122" t="s">
        <v>1472</v>
      </c>
      <c r="B857" s="122" t="s">
        <v>1458</v>
      </c>
      <c r="C857" s="122" t="s">
        <v>1439</v>
      </c>
      <c r="D857" s="122" t="s">
        <v>1450</v>
      </c>
      <c r="E857" s="312">
        <v>41009</v>
      </c>
      <c r="F857" s="311">
        <v>0.49652777777777773</v>
      </c>
      <c r="G857" s="202">
        <v>12</v>
      </c>
      <c r="H857" s="202">
        <v>3672</v>
      </c>
    </row>
    <row r="858" spans="1:8" hidden="1">
      <c r="A858" s="122" t="s">
        <v>1474</v>
      </c>
      <c r="B858" s="122" t="s">
        <v>1457</v>
      </c>
      <c r="C858" s="122" t="s">
        <v>1439</v>
      </c>
      <c r="D858" s="122" t="s">
        <v>1435</v>
      </c>
      <c r="E858" s="312">
        <v>40946</v>
      </c>
      <c r="F858" s="311">
        <v>0.48263888888888884</v>
      </c>
      <c r="G858" s="202">
        <v>14</v>
      </c>
      <c r="H858" s="202">
        <v>10402</v>
      </c>
    </row>
    <row r="859" spans="1:8" hidden="1">
      <c r="A859" s="122" t="s">
        <v>1474</v>
      </c>
      <c r="B859" s="122" t="s">
        <v>1459</v>
      </c>
      <c r="C859" s="122" t="s">
        <v>1441</v>
      </c>
      <c r="D859" s="122" t="s">
        <v>1450</v>
      </c>
      <c r="E859" s="312">
        <v>41324</v>
      </c>
      <c r="F859" s="311">
        <v>0.49652777777777773</v>
      </c>
      <c r="G859" s="202">
        <v>3</v>
      </c>
      <c r="H859" s="202">
        <v>1560</v>
      </c>
    </row>
    <row r="860" spans="1:8" hidden="1">
      <c r="A860" s="122" t="s">
        <v>1474</v>
      </c>
      <c r="B860" s="122" t="s">
        <v>1460</v>
      </c>
      <c r="C860" s="122" t="s">
        <v>1445</v>
      </c>
      <c r="D860" s="122" t="s">
        <v>1435</v>
      </c>
      <c r="E860" s="312">
        <v>41097</v>
      </c>
      <c r="F860" s="311">
        <v>0.68402777777777779</v>
      </c>
      <c r="G860" s="202">
        <v>14</v>
      </c>
      <c r="H860" s="202">
        <v>8862</v>
      </c>
    </row>
    <row r="861" spans="1:8">
      <c r="A861" s="122" t="s">
        <v>1474</v>
      </c>
      <c r="B861" s="122" t="s">
        <v>1459</v>
      </c>
      <c r="C861" s="122" t="s">
        <v>1439</v>
      </c>
      <c r="D861" s="122" t="s">
        <v>1453</v>
      </c>
      <c r="E861" s="312">
        <v>40975</v>
      </c>
      <c r="F861" s="311">
        <v>0.51736111111111105</v>
      </c>
      <c r="G861" s="202">
        <v>9</v>
      </c>
      <c r="H861" s="313">
        <v>5742</v>
      </c>
    </row>
    <row r="862" spans="1:8" hidden="1">
      <c r="A862" s="122" t="s">
        <v>1476</v>
      </c>
      <c r="B862" s="122" t="s">
        <v>1460</v>
      </c>
      <c r="C862" s="122" t="s">
        <v>1436</v>
      </c>
      <c r="D862" s="122" t="s">
        <v>1453</v>
      </c>
      <c r="E862" s="312">
        <v>41097</v>
      </c>
      <c r="F862" s="311">
        <v>0.73263888888888884</v>
      </c>
      <c r="G862" s="202">
        <v>3</v>
      </c>
      <c r="H862" s="202">
        <v>2649</v>
      </c>
    </row>
    <row r="863" spans="1:8" hidden="1">
      <c r="A863" s="122" t="s">
        <v>1438</v>
      </c>
      <c r="B863" s="122" t="s">
        <v>1459</v>
      </c>
      <c r="C863" s="122" t="s">
        <v>1436</v>
      </c>
      <c r="D863" s="122" t="s">
        <v>1453</v>
      </c>
      <c r="E863" s="312">
        <v>41583</v>
      </c>
      <c r="F863" s="311">
        <v>0.52083333333333326</v>
      </c>
      <c r="G863" s="202">
        <v>10</v>
      </c>
      <c r="H863" s="202">
        <v>4450</v>
      </c>
    </row>
    <row r="864" spans="1:8" hidden="1">
      <c r="A864" s="122" t="s">
        <v>1443</v>
      </c>
      <c r="B864" s="122" t="s">
        <v>1437</v>
      </c>
      <c r="C864" s="122" t="s">
        <v>1445</v>
      </c>
      <c r="D864" s="122" t="s">
        <v>1453</v>
      </c>
      <c r="E864" s="312">
        <v>41097</v>
      </c>
      <c r="F864" s="311">
        <v>0.54861111111111105</v>
      </c>
      <c r="G864" s="202">
        <v>14</v>
      </c>
      <c r="H864" s="202">
        <v>21434</v>
      </c>
    </row>
    <row r="865" spans="1:8">
      <c r="A865" s="122" t="s">
        <v>1472</v>
      </c>
      <c r="B865" s="122" t="s">
        <v>1458</v>
      </c>
      <c r="C865" s="122" t="s">
        <v>1439</v>
      </c>
      <c r="D865" s="122" t="s">
        <v>1452</v>
      </c>
      <c r="E865" s="312">
        <v>41269</v>
      </c>
      <c r="F865" s="311">
        <v>0.74652777777777779</v>
      </c>
      <c r="G865" s="202">
        <v>4</v>
      </c>
      <c r="H865" s="202">
        <v>2564</v>
      </c>
    </row>
    <row r="866" spans="1:8">
      <c r="A866" s="122" t="s">
        <v>1443</v>
      </c>
      <c r="B866" s="122" t="s">
        <v>1460</v>
      </c>
      <c r="C866" s="122" t="s">
        <v>1445</v>
      </c>
      <c r="D866" s="122" t="s">
        <v>1450</v>
      </c>
      <c r="E866" s="312">
        <v>41031</v>
      </c>
      <c r="F866" s="311">
        <v>0.50694444444444442</v>
      </c>
      <c r="G866" s="202">
        <v>6</v>
      </c>
      <c r="H866" s="202">
        <v>4134</v>
      </c>
    </row>
    <row r="867" spans="1:8" hidden="1">
      <c r="A867" s="122" t="s">
        <v>1454</v>
      </c>
      <c r="B867" s="122" t="s">
        <v>1437</v>
      </c>
      <c r="C867" s="122" t="s">
        <v>1441</v>
      </c>
      <c r="D867" s="122" t="s">
        <v>1435</v>
      </c>
      <c r="E867" s="312">
        <v>41264</v>
      </c>
      <c r="F867" s="311">
        <v>0.74652777777777779</v>
      </c>
      <c r="G867" s="202">
        <v>16</v>
      </c>
      <c r="H867" s="202">
        <v>19232</v>
      </c>
    </row>
    <row r="868" spans="1:8" hidden="1">
      <c r="A868" s="122" t="s">
        <v>1448</v>
      </c>
      <c r="B868" s="122" t="s">
        <v>1459</v>
      </c>
      <c r="C868" s="122" t="s">
        <v>1441</v>
      </c>
      <c r="D868" s="122" t="s">
        <v>1435</v>
      </c>
      <c r="E868" s="312">
        <v>41096</v>
      </c>
      <c r="F868" s="311">
        <v>0.67013888888888884</v>
      </c>
      <c r="G868" s="202">
        <v>9</v>
      </c>
      <c r="H868" s="202">
        <v>4455</v>
      </c>
    </row>
    <row r="869" spans="1:8" hidden="1">
      <c r="A869" s="122" t="s">
        <v>1443</v>
      </c>
      <c r="B869" s="122" t="s">
        <v>1458</v>
      </c>
      <c r="C869" s="122" t="s">
        <v>1441</v>
      </c>
      <c r="D869" s="122" t="s">
        <v>1450</v>
      </c>
      <c r="E869" s="312">
        <v>41095</v>
      </c>
      <c r="F869" s="311">
        <v>0.375</v>
      </c>
      <c r="G869" s="202">
        <v>14</v>
      </c>
      <c r="H869" s="202">
        <v>5208</v>
      </c>
    </row>
    <row r="870" spans="1:8" hidden="1">
      <c r="A870" s="122" t="s">
        <v>1447</v>
      </c>
      <c r="B870" s="122" t="s">
        <v>1458</v>
      </c>
      <c r="C870" s="122" t="s">
        <v>1445</v>
      </c>
      <c r="D870" s="122" t="s">
        <v>1450</v>
      </c>
      <c r="E870" s="312">
        <v>41365</v>
      </c>
      <c r="F870" s="311">
        <v>0.46527777777777773</v>
      </c>
      <c r="G870" s="202">
        <v>9</v>
      </c>
      <c r="H870" s="202">
        <v>5445</v>
      </c>
    </row>
    <row r="871" spans="1:8" hidden="1">
      <c r="A871" s="122" t="s">
        <v>1444</v>
      </c>
      <c r="B871" s="122" t="s">
        <v>1437</v>
      </c>
      <c r="C871" s="122" t="s">
        <v>1436</v>
      </c>
      <c r="D871" s="122" t="s">
        <v>1452</v>
      </c>
      <c r="E871" s="312">
        <v>41328</v>
      </c>
      <c r="F871" s="311">
        <v>0.66666666666666663</v>
      </c>
      <c r="G871" s="202">
        <v>11</v>
      </c>
      <c r="H871" s="202">
        <v>9515</v>
      </c>
    </row>
    <row r="872" spans="1:8" hidden="1">
      <c r="A872" s="122" t="s">
        <v>1448</v>
      </c>
      <c r="B872" s="122" t="s">
        <v>1458</v>
      </c>
      <c r="C872" s="122" t="s">
        <v>1436</v>
      </c>
      <c r="D872" s="122" t="s">
        <v>1453</v>
      </c>
      <c r="E872" s="312">
        <v>41578</v>
      </c>
      <c r="F872" s="311">
        <v>0.5625</v>
      </c>
      <c r="G872" s="202">
        <v>7</v>
      </c>
      <c r="H872" s="202">
        <v>2737</v>
      </c>
    </row>
    <row r="873" spans="1:8" hidden="1">
      <c r="A873" s="122" t="s">
        <v>1444</v>
      </c>
      <c r="B873" s="122" t="s">
        <v>1459</v>
      </c>
      <c r="C873" s="122" t="s">
        <v>1441</v>
      </c>
      <c r="D873" s="122" t="s">
        <v>1450</v>
      </c>
      <c r="E873" s="312">
        <v>40995</v>
      </c>
      <c r="F873" s="311">
        <v>0.50694444444444442</v>
      </c>
      <c r="G873" s="202">
        <v>9</v>
      </c>
      <c r="H873" s="202">
        <v>3006</v>
      </c>
    </row>
    <row r="874" spans="1:8" hidden="1">
      <c r="A874" s="122" t="s">
        <v>1456</v>
      </c>
      <c r="B874" s="122" t="s">
        <v>1460</v>
      </c>
      <c r="C874" s="122" t="s">
        <v>1439</v>
      </c>
      <c r="D874" s="122" t="s">
        <v>1435</v>
      </c>
      <c r="E874" s="312">
        <v>41093</v>
      </c>
      <c r="F874" s="311">
        <v>0.49305555555555552</v>
      </c>
      <c r="G874" s="202">
        <v>15</v>
      </c>
      <c r="H874" s="202">
        <v>8910</v>
      </c>
    </row>
    <row r="875" spans="1:8" hidden="1">
      <c r="A875" s="122" t="s">
        <v>1444</v>
      </c>
      <c r="B875" s="122" t="s">
        <v>1457</v>
      </c>
      <c r="C875" s="122" t="s">
        <v>1441</v>
      </c>
      <c r="D875" s="122" t="s">
        <v>1452</v>
      </c>
      <c r="E875" s="312">
        <v>41093</v>
      </c>
      <c r="F875" s="311">
        <v>0.64930555555555547</v>
      </c>
      <c r="G875" s="202">
        <v>12</v>
      </c>
      <c r="H875" s="202">
        <v>14340</v>
      </c>
    </row>
    <row r="876" spans="1:8" hidden="1">
      <c r="A876" s="122" t="s">
        <v>1448</v>
      </c>
      <c r="B876" s="122" t="s">
        <v>1457</v>
      </c>
      <c r="C876" s="122" t="s">
        <v>1441</v>
      </c>
      <c r="D876" s="122" t="s">
        <v>1453</v>
      </c>
      <c r="E876" s="312">
        <v>41061</v>
      </c>
      <c r="F876" s="311">
        <v>0.43402777777777773</v>
      </c>
      <c r="G876" s="202">
        <v>6</v>
      </c>
      <c r="H876" s="202">
        <v>8562</v>
      </c>
    </row>
    <row r="877" spans="1:8" hidden="1">
      <c r="A877" s="122" t="s">
        <v>1476</v>
      </c>
      <c r="B877" s="122" t="s">
        <v>1458</v>
      </c>
      <c r="C877" s="122" t="s">
        <v>1441</v>
      </c>
      <c r="D877" s="122" t="s">
        <v>1453</v>
      </c>
      <c r="E877" s="312">
        <v>41089</v>
      </c>
      <c r="F877" s="311">
        <v>0.65972222222222221</v>
      </c>
      <c r="G877" s="202">
        <v>7</v>
      </c>
      <c r="H877" s="202">
        <v>2716</v>
      </c>
    </row>
    <row r="878" spans="1:8" hidden="1">
      <c r="A878" s="122" t="s">
        <v>1454</v>
      </c>
      <c r="B878" s="122" t="s">
        <v>1457</v>
      </c>
      <c r="C878" s="122" t="s">
        <v>1445</v>
      </c>
      <c r="D878" s="122" t="s">
        <v>1455</v>
      </c>
      <c r="E878" s="312">
        <v>41226</v>
      </c>
      <c r="F878" s="311">
        <v>0.69791666666666663</v>
      </c>
      <c r="G878" s="202">
        <v>8</v>
      </c>
      <c r="H878" s="202">
        <v>11528</v>
      </c>
    </row>
    <row r="879" spans="1:8" hidden="1">
      <c r="A879" s="122" t="s">
        <v>1474</v>
      </c>
      <c r="B879" s="122" t="s">
        <v>1458</v>
      </c>
      <c r="C879" s="122" t="s">
        <v>1445</v>
      </c>
      <c r="D879" s="122" t="s">
        <v>1435</v>
      </c>
      <c r="E879" s="312">
        <v>41278</v>
      </c>
      <c r="F879" s="311">
        <v>0.66319444444444442</v>
      </c>
      <c r="G879" s="202">
        <v>16</v>
      </c>
      <c r="H879" s="202">
        <v>5296</v>
      </c>
    </row>
    <row r="880" spans="1:8" hidden="1">
      <c r="A880" s="122" t="s">
        <v>1449</v>
      </c>
      <c r="B880" s="122" t="s">
        <v>1460</v>
      </c>
      <c r="C880" s="122" t="s">
        <v>1439</v>
      </c>
      <c r="D880" s="122" t="s">
        <v>1453</v>
      </c>
      <c r="E880" s="312">
        <v>41089</v>
      </c>
      <c r="F880" s="311">
        <v>0.52777777777777779</v>
      </c>
      <c r="G880" s="202">
        <v>2</v>
      </c>
      <c r="H880" s="202">
        <v>978</v>
      </c>
    </row>
    <row r="881" spans="1:8">
      <c r="A881" s="122" t="s">
        <v>1444</v>
      </c>
      <c r="B881" s="122" t="s">
        <v>1457</v>
      </c>
      <c r="C881" s="122" t="s">
        <v>1436</v>
      </c>
      <c r="D881" s="122" t="s">
        <v>1453</v>
      </c>
      <c r="E881" s="312">
        <v>41591</v>
      </c>
      <c r="F881" s="311">
        <v>0.41319444444444442</v>
      </c>
      <c r="G881" s="202">
        <v>12</v>
      </c>
      <c r="H881" s="202">
        <v>13140</v>
      </c>
    </row>
    <row r="882" spans="1:8" hidden="1">
      <c r="A882" s="122" t="s">
        <v>1476</v>
      </c>
      <c r="B882" s="122" t="s">
        <v>1457</v>
      </c>
      <c r="C882" s="122" t="s">
        <v>1436</v>
      </c>
      <c r="D882" s="122" t="s">
        <v>1455</v>
      </c>
      <c r="E882" s="312">
        <v>41089</v>
      </c>
      <c r="F882" s="311">
        <v>0.58333333333333326</v>
      </c>
      <c r="G882" s="202">
        <v>6</v>
      </c>
      <c r="H882" s="202">
        <v>7968</v>
      </c>
    </row>
    <row r="883" spans="1:8" hidden="1">
      <c r="A883" s="122" t="s">
        <v>1472</v>
      </c>
      <c r="B883" s="122" t="s">
        <v>1459</v>
      </c>
      <c r="C883" s="122" t="s">
        <v>1439</v>
      </c>
      <c r="D883" s="122" t="s">
        <v>1452</v>
      </c>
      <c r="E883" s="312">
        <v>41447</v>
      </c>
      <c r="F883" s="311">
        <v>0.47222222222222221</v>
      </c>
      <c r="G883" s="202">
        <v>5</v>
      </c>
      <c r="H883" s="202">
        <v>2925</v>
      </c>
    </row>
    <row r="884" spans="1:8" hidden="1">
      <c r="A884" s="122" t="s">
        <v>1472</v>
      </c>
      <c r="B884" s="122" t="s">
        <v>1458</v>
      </c>
      <c r="C884" s="122" t="s">
        <v>1441</v>
      </c>
      <c r="D884" s="122" t="s">
        <v>1452</v>
      </c>
      <c r="E884" s="312">
        <v>41608</v>
      </c>
      <c r="F884" s="311">
        <v>0.63888888888888884</v>
      </c>
      <c r="G884" s="202">
        <v>15</v>
      </c>
      <c r="H884" s="202">
        <v>4665</v>
      </c>
    </row>
    <row r="885" spans="1:8" hidden="1">
      <c r="A885" s="122" t="s">
        <v>1474</v>
      </c>
      <c r="B885" s="122" t="s">
        <v>1459</v>
      </c>
      <c r="C885" s="122" t="s">
        <v>1439</v>
      </c>
      <c r="D885" s="122" t="s">
        <v>1455</v>
      </c>
      <c r="E885" s="312">
        <v>41398</v>
      </c>
      <c r="F885" s="311">
        <v>0.65625</v>
      </c>
      <c r="G885" s="202">
        <v>10</v>
      </c>
      <c r="H885" s="202">
        <v>8130</v>
      </c>
    </row>
    <row r="886" spans="1:8" hidden="1">
      <c r="A886" s="122" t="s">
        <v>1472</v>
      </c>
      <c r="B886" s="122" t="s">
        <v>1459</v>
      </c>
      <c r="C886" s="122" t="s">
        <v>1436</v>
      </c>
      <c r="D886" s="122" t="s">
        <v>1452</v>
      </c>
      <c r="E886" s="312">
        <v>41089</v>
      </c>
      <c r="F886" s="311">
        <v>0.62847222222222221</v>
      </c>
      <c r="G886" s="202">
        <v>13</v>
      </c>
      <c r="H886" s="202">
        <v>8086</v>
      </c>
    </row>
    <row r="887" spans="1:8" hidden="1">
      <c r="A887" s="122" t="s">
        <v>1443</v>
      </c>
      <c r="B887" s="122" t="s">
        <v>1459</v>
      </c>
      <c r="C887" s="122" t="s">
        <v>1436</v>
      </c>
      <c r="D887" s="122" t="s">
        <v>1453</v>
      </c>
      <c r="E887" s="312">
        <v>41415</v>
      </c>
      <c r="F887" s="311">
        <v>0.55902777777777779</v>
      </c>
      <c r="G887" s="202">
        <v>5</v>
      </c>
      <c r="H887" s="202">
        <v>3690</v>
      </c>
    </row>
    <row r="888" spans="1:8" hidden="1">
      <c r="A888" s="122" t="s">
        <v>1443</v>
      </c>
      <c r="B888" s="122" t="s">
        <v>1460</v>
      </c>
      <c r="C888" s="122" t="s">
        <v>1436</v>
      </c>
      <c r="D888" s="122" t="s">
        <v>1455</v>
      </c>
      <c r="E888" s="312">
        <v>41088</v>
      </c>
      <c r="F888" s="311">
        <v>0.58680555555555547</v>
      </c>
      <c r="G888" s="202">
        <v>11</v>
      </c>
      <c r="H888" s="202">
        <v>6314</v>
      </c>
    </row>
    <row r="889" spans="1:8" hidden="1">
      <c r="A889" s="122" t="s">
        <v>1449</v>
      </c>
      <c r="B889" s="122" t="s">
        <v>1460</v>
      </c>
      <c r="C889" s="122" t="s">
        <v>1441</v>
      </c>
      <c r="D889" s="122" t="s">
        <v>1435</v>
      </c>
      <c r="E889" s="312">
        <v>41356</v>
      </c>
      <c r="F889" s="311">
        <v>0.71180555555555547</v>
      </c>
      <c r="G889" s="202">
        <v>7</v>
      </c>
      <c r="H889" s="202">
        <v>3255</v>
      </c>
    </row>
    <row r="890" spans="1:8" hidden="1">
      <c r="A890" s="122" t="s">
        <v>1472</v>
      </c>
      <c r="B890" s="122" t="s">
        <v>1458</v>
      </c>
      <c r="C890" s="122" t="s">
        <v>1436</v>
      </c>
      <c r="D890" s="122" t="s">
        <v>1435</v>
      </c>
      <c r="E890" s="312">
        <v>41425</v>
      </c>
      <c r="F890" s="311">
        <v>0.6875</v>
      </c>
      <c r="G890" s="202">
        <v>6</v>
      </c>
      <c r="H890" s="202">
        <v>3150</v>
      </c>
    </row>
    <row r="891" spans="1:8" hidden="1">
      <c r="A891" s="122" t="s">
        <v>1443</v>
      </c>
      <c r="B891" s="122" t="s">
        <v>1457</v>
      </c>
      <c r="C891" s="122" t="s">
        <v>1439</v>
      </c>
      <c r="D891" s="122" t="s">
        <v>1435</v>
      </c>
      <c r="E891" s="312">
        <v>41398</v>
      </c>
      <c r="F891" s="311">
        <v>0.51041666666666663</v>
      </c>
      <c r="G891" s="202">
        <v>8</v>
      </c>
      <c r="H891" s="202">
        <v>6872</v>
      </c>
    </row>
    <row r="892" spans="1:8" hidden="1">
      <c r="A892" s="122" t="s">
        <v>1448</v>
      </c>
      <c r="B892" s="122" t="s">
        <v>1459</v>
      </c>
      <c r="C892" s="122" t="s">
        <v>1439</v>
      </c>
      <c r="D892" s="122" t="s">
        <v>1452</v>
      </c>
      <c r="E892" s="312">
        <v>41058</v>
      </c>
      <c r="F892" s="311">
        <v>0.66319444444444442</v>
      </c>
      <c r="G892" s="202">
        <v>2</v>
      </c>
      <c r="H892" s="202">
        <v>1090</v>
      </c>
    </row>
    <row r="893" spans="1:8" hidden="1">
      <c r="A893" s="122" t="s">
        <v>1438</v>
      </c>
      <c r="B893" s="122" t="s">
        <v>1460</v>
      </c>
      <c r="C893" s="122" t="s">
        <v>1436</v>
      </c>
      <c r="D893" s="122" t="s">
        <v>1452</v>
      </c>
      <c r="E893" s="312">
        <v>41415</v>
      </c>
      <c r="F893" s="311">
        <v>0.55902777777777779</v>
      </c>
      <c r="G893" s="202">
        <v>2</v>
      </c>
      <c r="H893" s="202">
        <v>1466</v>
      </c>
    </row>
    <row r="894" spans="1:8" hidden="1">
      <c r="A894" s="122" t="s">
        <v>1476</v>
      </c>
      <c r="B894" s="122" t="s">
        <v>1460</v>
      </c>
      <c r="C894" s="122" t="s">
        <v>1441</v>
      </c>
      <c r="D894" s="122" t="s">
        <v>1455</v>
      </c>
      <c r="E894" s="312">
        <v>40974</v>
      </c>
      <c r="F894" s="311">
        <v>0.62847222222222221</v>
      </c>
      <c r="G894" s="202">
        <v>8</v>
      </c>
      <c r="H894" s="313">
        <v>5808</v>
      </c>
    </row>
    <row r="895" spans="1:8" hidden="1">
      <c r="A895" s="122" t="s">
        <v>1454</v>
      </c>
      <c r="B895" s="122" t="s">
        <v>1458</v>
      </c>
      <c r="C895" s="122" t="s">
        <v>1439</v>
      </c>
      <c r="D895" s="122" t="s">
        <v>1455</v>
      </c>
      <c r="E895" s="312">
        <v>41446</v>
      </c>
      <c r="F895" s="311">
        <v>0.38194444444444442</v>
      </c>
      <c r="G895" s="202">
        <v>13</v>
      </c>
      <c r="H895" s="202">
        <v>6084</v>
      </c>
    </row>
    <row r="896" spans="1:8" hidden="1">
      <c r="A896" s="122" t="s">
        <v>1438</v>
      </c>
      <c r="B896" s="122" t="s">
        <v>1458</v>
      </c>
      <c r="C896" s="122" t="s">
        <v>1445</v>
      </c>
      <c r="D896" s="122" t="s">
        <v>1435</v>
      </c>
      <c r="E896" s="312">
        <v>41183</v>
      </c>
      <c r="F896" s="311">
        <v>0.57291666666666663</v>
      </c>
      <c r="G896" s="202">
        <v>18</v>
      </c>
      <c r="H896" s="202">
        <v>5670</v>
      </c>
    </row>
    <row r="897" spans="1:8" hidden="1">
      <c r="A897" s="122" t="s">
        <v>1449</v>
      </c>
      <c r="B897" s="122" t="s">
        <v>1460</v>
      </c>
      <c r="C897" s="122" t="s">
        <v>1436</v>
      </c>
      <c r="D897" s="122" t="s">
        <v>1455</v>
      </c>
      <c r="E897" s="312">
        <v>40953</v>
      </c>
      <c r="F897" s="311">
        <v>0.71527777777777779</v>
      </c>
      <c r="G897" s="202">
        <v>9</v>
      </c>
      <c r="H897" s="313">
        <v>4788</v>
      </c>
    </row>
    <row r="898" spans="1:8" hidden="1">
      <c r="A898" s="122" t="s">
        <v>1456</v>
      </c>
      <c r="B898" s="122" t="s">
        <v>1460</v>
      </c>
      <c r="C898" s="122" t="s">
        <v>1445</v>
      </c>
      <c r="D898" s="122" t="s">
        <v>1453</v>
      </c>
      <c r="E898" s="312">
        <v>41597</v>
      </c>
      <c r="F898" s="311">
        <v>0.73611111111111105</v>
      </c>
      <c r="G898" s="202">
        <v>10</v>
      </c>
      <c r="H898" s="202">
        <v>5700</v>
      </c>
    </row>
    <row r="899" spans="1:8" hidden="1">
      <c r="A899" s="122" t="s">
        <v>1456</v>
      </c>
      <c r="B899" s="122" t="s">
        <v>1460</v>
      </c>
      <c r="C899" s="122" t="s">
        <v>1439</v>
      </c>
      <c r="D899" s="122" t="s">
        <v>1435</v>
      </c>
      <c r="E899" s="312">
        <v>40953</v>
      </c>
      <c r="F899" s="311">
        <v>0.36458333333333331</v>
      </c>
      <c r="G899" s="202">
        <v>14</v>
      </c>
      <c r="H899" s="202">
        <v>9618</v>
      </c>
    </row>
    <row r="900" spans="1:8" hidden="1">
      <c r="A900" s="122" t="s">
        <v>1454</v>
      </c>
      <c r="B900" s="122" t="s">
        <v>1458</v>
      </c>
      <c r="C900" s="122" t="s">
        <v>1436</v>
      </c>
      <c r="D900" s="122" t="s">
        <v>1450</v>
      </c>
      <c r="E900" s="312">
        <v>41408</v>
      </c>
      <c r="F900" s="311">
        <v>0.5625</v>
      </c>
      <c r="G900" s="202">
        <v>13</v>
      </c>
      <c r="H900" s="202">
        <v>8996</v>
      </c>
    </row>
    <row r="901" spans="1:8" hidden="1">
      <c r="A901" s="122" t="s">
        <v>1449</v>
      </c>
      <c r="B901" s="122" t="s">
        <v>1459</v>
      </c>
      <c r="C901" s="122" t="s">
        <v>1441</v>
      </c>
      <c r="D901" s="122" t="s">
        <v>1452</v>
      </c>
      <c r="E901" s="312">
        <v>41565</v>
      </c>
      <c r="F901" s="311">
        <v>0.46527777777777773</v>
      </c>
      <c r="G901" s="202">
        <v>1</v>
      </c>
      <c r="H901" s="202">
        <v>796</v>
      </c>
    </row>
    <row r="902" spans="1:8" hidden="1">
      <c r="A902" s="122" t="s">
        <v>1449</v>
      </c>
      <c r="B902" s="122" t="s">
        <v>1459</v>
      </c>
      <c r="C902" s="122" t="s">
        <v>1445</v>
      </c>
      <c r="D902" s="122" t="s">
        <v>1453</v>
      </c>
      <c r="E902" s="312">
        <v>41088</v>
      </c>
      <c r="F902" s="311">
        <v>0.52083333333333326</v>
      </c>
      <c r="G902" s="202">
        <v>14</v>
      </c>
      <c r="H902" s="202">
        <v>12138</v>
      </c>
    </row>
    <row r="903" spans="1:8" hidden="1">
      <c r="A903" s="122" t="s">
        <v>1444</v>
      </c>
      <c r="B903" s="122" t="s">
        <v>1437</v>
      </c>
      <c r="C903" s="122" t="s">
        <v>1445</v>
      </c>
      <c r="D903" s="122" t="s">
        <v>1455</v>
      </c>
      <c r="E903" s="312">
        <v>40946</v>
      </c>
      <c r="F903" s="311">
        <v>0.36805555555555552</v>
      </c>
      <c r="G903" s="202">
        <v>4</v>
      </c>
      <c r="H903" s="313">
        <v>3148</v>
      </c>
    </row>
    <row r="904" spans="1:8" hidden="1">
      <c r="A904" s="122" t="s">
        <v>1448</v>
      </c>
      <c r="B904" s="122" t="s">
        <v>1460</v>
      </c>
      <c r="C904" s="122" t="s">
        <v>1436</v>
      </c>
      <c r="D904" s="122" t="s">
        <v>1455</v>
      </c>
      <c r="E904" s="312">
        <v>40978</v>
      </c>
      <c r="F904" s="311">
        <v>0.56597222222222221</v>
      </c>
      <c r="G904" s="202">
        <v>11</v>
      </c>
      <c r="H904" s="313">
        <v>9746</v>
      </c>
    </row>
    <row r="905" spans="1:8" hidden="1">
      <c r="A905" s="122" t="s">
        <v>1476</v>
      </c>
      <c r="B905" s="122" t="s">
        <v>1460</v>
      </c>
      <c r="C905" s="122" t="s">
        <v>1439</v>
      </c>
      <c r="D905" s="122" t="s">
        <v>1435</v>
      </c>
      <c r="E905" s="312">
        <v>41547</v>
      </c>
      <c r="F905" s="311">
        <v>0.65625</v>
      </c>
      <c r="G905" s="202">
        <v>14</v>
      </c>
      <c r="H905" s="202">
        <v>8008</v>
      </c>
    </row>
    <row r="906" spans="1:8" hidden="1">
      <c r="A906" s="122" t="s">
        <v>1448</v>
      </c>
      <c r="B906" s="122" t="s">
        <v>1459</v>
      </c>
      <c r="C906" s="122" t="s">
        <v>1436</v>
      </c>
      <c r="D906" s="122" t="s">
        <v>1450</v>
      </c>
      <c r="E906" s="312">
        <v>41006</v>
      </c>
      <c r="F906" s="311">
        <v>0.66319444444444442</v>
      </c>
      <c r="G906" s="202">
        <v>8</v>
      </c>
      <c r="H906" s="202">
        <v>5056</v>
      </c>
    </row>
    <row r="907" spans="1:8" hidden="1">
      <c r="A907" s="122" t="s">
        <v>1474</v>
      </c>
      <c r="B907" s="122" t="s">
        <v>1437</v>
      </c>
      <c r="C907" s="122" t="s">
        <v>1439</v>
      </c>
      <c r="D907" s="122" t="s">
        <v>1455</v>
      </c>
      <c r="E907" s="312">
        <v>41438</v>
      </c>
      <c r="F907" s="311">
        <v>0.40625</v>
      </c>
      <c r="G907" s="202">
        <v>3</v>
      </c>
      <c r="H907" s="202">
        <v>1617</v>
      </c>
    </row>
    <row r="908" spans="1:8" hidden="1">
      <c r="A908" s="122" t="s">
        <v>1448</v>
      </c>
      <c r="B908" s="122" t="s">
        <v>1437</v>
      </c>
      <c r="C908" s="122" t="s">
        <v>1441</v>
      </c>
      <c r="D908" s="122" t="s">
        <v>1435</v>
      </c>
      <c r="E908" s="312">
        <v>41230</v>
      </c>
      <c r="F908" s="311">
        <v>0.65972222222222221</v>
      </c>
      <c r="G908" s="202">
        <v>14</v>
      </c>
      <c r="H908" s="202">
        <v>21560</v>
      </c>
    </row>
    <row r="909" spans="1:8" hidden="1">
      <c r="A909" s="122" t="s">
        <v>1438</v>
      </c>
      <c r="B909" s="122" t="s">
        <v>1437</v>
      </c>
      <c r="C909" s="122" t="s">
        <v>1445</v>
      </c>
      <c r="D909" s="122" t="s">
        <v>1450</v>
      </c>
      <c r="E909" s="312">
        <v>41043</v>
      </c>
      <c r="F909" s="311">
        <v>0.61805555555555547</v>
      </c>
      <c r="G909" s="202">
        <v>15</v>
      </c>
      <c r="H909" s="202">
        <v>21090</v>
      </c>
    </row>
    <row r="910" spans="1:8" hidden="1">
      <c r="A910" s="122" t="s">
        <v>1476</v>
      </c>
      <c r="B910" s="122" t="s">
        <v>1458</v>
      </c>
      <c r="C910" s="122" t="s">
        <v>1445</v>
      </c>
      <c r="D910" s="122" t="s">
        <v>1452</v>
      </c>
      <c r="E910" s="312">
        <v>41004</v>
      </c>
      <c r="F910" s="311">
        <v>0.57986111111111105</v>
      </c>
      <c r="G910" s="202">
        <v>3</v>
      </c>
      <c r="H910" s="202">
        <v>990</v>
      </c>
    </row>
    <row r="911" spans="1:8" hidden="1">
      <c r="A911" s="122" t="s">
        <v>1472</v>
      </c>
      <c r="B911" s="122" t="s">
        <v>1458</v>
      </c>
      <c r="C911" s="122" t="s">
        <v>1439</v>
      </c>
      <c r="D911" s="122" t="s">
        <v>1435</v>
      </c>
      <c r="E911" s="312">
        <v>41279</v>
      </c>
      <c r="F911" s="311">
        <v>0.72222222222222221</v>
      </c>
      <c r="G911" s="202">
        <v>6</v>
      </c>
      <c r="H911" s="202">
        <v>3792</v>
      </c>
    </row>
    <row r="912" spans="1:8" hidden="1">
      <c r="A912" s="122" t="s">
        <v>1447</v>
      </c>
      <c r="B912" s="122" t="s">
        <v>1457</v>
      </c>
      <c r="C912" s="122" t="s">
        <v>1436</v>
      </c>
      <c r="D912" s="122" t="s">
        <v>1453</v>
      </c>
      <c r="E912" s="312">
        <v>41362</v>
      </c>
      <c r="F912" s="311">
        <v>0.42708333333333331</v>
      </c>
      <c r="G912" s="202">
        <v>2</v>
      </c>
      <c r="H912" s="202">
        <v>2658</v>
      </c>
    </row>
    <row r="913" spans="1:8" hidden="1">
      <c r="A913" s="122" t="s">
        <v>1472</v>
      </c>
      <c r="B913" s="122" t="s">
        <v>1458</v>
      </c>
      <c r="C913" s="122" t="s">
        <v>1436</v>
      </c>
      <c r="D913" s="122" t="s">
        <v>1450</v>
      </c>
      <c r="E913" s="312">
        <v>41039</v>
      </c>
      <c r="F913" s="311">
        <v>0.57986111111111105</v>
      </c>
      <c r="G913" s="202">
        <v>14</v>
      </c>
      <c r="H913" s="202">
        <v>5656</v>
      </c>
    </row>
    <row r="914" spans="1:8" hidden="1">
      <c r="A914" s="122" t="s">
        <v>1449</v>
      </c>
      <c r="B914" s="122" t="s">
        <v>1437</v>
      </c>
      <c r="C914" s="122" t="s">
        <v>1436</v>
      </c>
      <c r="D914" s="122" t="s">
        <v>1452</v>
      </c>
      <c r="E914" s="312">
        <v>41432</v>
      </c>
      <c r="F914" s="311">
        <v>0.53819444444444442</v>
      </c>
      <c r="G914" s="202">
        <v>11</v>
      </c>
      <c r="H914" s="202">
        <v>21604</v>
      </c>
    </row>
    <row r="915" spans="1:8" hidden="1">
      <c r="A915" s="122" t="s">
        <v>1444</v>
      </c>
      <c r="B915" s="122" t="s">
        <v>1457</v>
      </c>
      <c r="C915" s="122" t="s">
        <v>1441</v>
      </c>
      <c r="D915" s="122" t="s">
        <v>1452</v>
      </c>
      <c r="E915" s="312">
        <v>41076</v>
      </c>
      <c r="F915" s="311">
        <v>0.4861111111111111</v>
      </c>
      <c r="G915" s="202">
        <v>3</v>
      </c>
      <c r="H915" s="202">
        <v>1665</v>
      </c>
    </row>
    <row r="916" spans="1:8" hidden="1">
      <c r="A916" s="122" t="s">
        <v>1444</v>
      </c>
      <c r="B916" s="122" t="s">
        <v>1457</v>
      </c>
      <c r="C916" s="122" t="s">
        <v>1436</v>
      </c>
      <c r="D916" s="122" t="s">
        <v>1453</v>
      </c>
      <c r="E916" s="312">
        <v>41401</v>
      </c>
      <c r="F916" s="311">
        <v>0.67013888888888884</v>
      </c>
      <c r="G916" s="202">
        <v>15</v>
      </c>
      <c r="H916" s="202">
        <v>19050</v>
      </c>
    </row>
    <row r="917" spans="1:8">
      <c r="E917" s="203"/>
      <c r="F917" s="203"/>
      <c r="G917" s="122"/>
      <c r="H917" s="122"/>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4</vt:i4>
      </vt:variant>
    </vt:vector>
  </HeadingPairs>
  <TitlesOfParts>
    <vt:vector size="34" baseType="lpstr">
      <vt:lpstr>TOC</vt:lpstr>
      <vt:lpstr>1</vt:lpstr>
      <vt:lpstr>2</vt:lpstr>
      <vt:lpstr>3</vt:lpstr>
      <vt:lpstr>4</vt:lpstr>
      <vt:lpstr>5</vt:lpstr>
      <vt:lpstr>6</vt:lpstr>
      <vt:lpstr>7</vt:lpstr>
      <vt:lpstr>8</vt:lpstr>
      <vt:lpstr>9</vt:lpstr>
      <vt:lpstr>10</vt:lpstr>
      <vt:lpstr>11</vt:lpstr>
      <vt:lpstr>11S</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Building</vt:lpstr>
      <vt:lpstr>'27'!Criteria</vt:lpstr>
      <vt:lpstr>'28'!Criteria</vt:lpstr>
      <vt:lpstr>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Consulting Solutions.Net</cp:lastModifiedBy>
  <dcterms:created xsi:type="dcterms:W3CDTF">2016-04-26T20:55:18Z</dcterms:created>
  <dcterms:modified xsi:type="dcterms:W3CDTF">2016-11-11T02:52:09Z</dcterms:modified>
</cp:coreProperties>
</file>