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trategy" sheetId="1" r:id="rId4"/>
    <sheet state="visible" name="Stocks" sheetId="2" r:id="rId5"/>
    <sheet state="visible" name="Crypto" sheetId="3" r:id="rId6"/>
    <sheet state="visible" name="Bonds" sheetId="4" r:id="rId7"/>
    <sheet state="visible" name="Cash" sheetId="5" r:id="rId8"/>
    <sheet state="visible" name="For Import" sheetId="6" r:id="rId9"/>
  </sheets>
  <definedNames>
    <definedName hidden="1" localSheetId="1" name="_xlnm._FilterDatabase">Stocks!$A$3:$H$30</definedName>
    <definedName hidden="1" localSheetId="3" name="_xlnm._FilterDatabase">Bonds!$A$3:$G$7</definedName>
  </definedNames>
  <calcPr/>
</workbook>
</file>

<file path=xl/sharedStrings.xml><?xml version="1.0" encoding="utf-8"?>
<sst xmlns="http://schemas.openxmlformats.org/spreadsheetml/2006/main" count="413" uniqueCount="185">
  <si>
    <r>
      <rPr>
        <rFont val="Arial"/>
        <b/>
        <color theme="1"/>
      </rPr>
      <t xml:space="preserve">Scenario: </t>
    </r>
    <r>
      <rPr>
        <rFont val="Arial"/>
        <color theme="1"/>
      </rPr>
      <t xml:space="preserve">
</t>
    </r>
  </si>
  <si>
    <t>Total Assets</t>
  </si>
  <si>
    <t>Investment Allocation</t>
  </si>
  <si>
    <t>Cash Allocation</t>
  </si>
  <si>
    <t>Dave is a 40-year-old divorcee. Dave owns a successful business and has recently received an $ 8 M buyout offer from a competitor that he wants to accept. His remaining assets are stocks of companies that are his suppliers valued today at $1.2 M and cash in several accounts totaling $62,000.</t>
  </si>
  <si>
    <t>Stocks Stragegy</t>
  </si>
  <si>
    <t>% Allocation of total Assets</t>
  </si>
  <si>
    <t>% Allocation of Investments</t>
  </si>
  <si>
    <t xml:space="preserve">Total Investment </t>
  </si>
  <si>
    <t>While the current state of the economy has not offically been categorized as a recession, there remains a tangible uncertainty in the near future as to how different markets will perform. As such, the values of many stocks have decreased from their November 2021 peaks, and while they have recovered some from the inflation-resultant dips in early 2023, they have still yet to reach those prior levels. As such, this is a reasonably well-suited time to invest in economically sensitive exposures due to their comparatively lower price and higher potential for long term growth. As such, this portfolio includes investments in 27 stocks across each of the 11 Global Industry Classification Standard (GICS) groups coming from a split of U.S. and foreign based companies. While typical investment stragey encourages a 60-40 split when it comes to investing in stocks and bonds, more up-to-date guidelines stipulate that younger investors can devote more of their portfolio to equities or varible income assets. Given that Dave is reasonably young, coupled with the fact that he has a large cash allocation to fall back on (further mitigating his risk), he can afford to invest more of his money in equities and stand to possibly reap larger returns. Thus, Dave will invest 75% of his investable assets into stocks.</t>
  </si>
  <si>
    <t>Crypto Stragegy</t>
  </si>
  <si>
    <t>In addition to allocating 75% of his investible assets into stocks, Dave will invest another 5% into Cryptocurrency. Cryptocurrency is a highly volatile market, with the price of many cyptocurrencies swaying between extremes on extremely small timescales. While crypto investments and usage become more common in everyday life (with many companies adapting to allow its use), other factors such as government regulation and a decrease in interest threaten the possible gains promised by cryptocurrency bulls. However, the possible gains won from smart investments in this market cannot be understated, and even many experts think the price of cryptocurrencies such as bitcoin could reach new highs by the end of 2023. Thus, a contribution of 5% of his investible assets should give Dave enough skin in the game to reap the possible rewards should crypto continue to grow in value, while being small enough to not have a devastating impact on his portfolio should the crypto bears prove correct. In addition, Dave will only stick to two of the most "trusted" cryptos: bitcoin and ethereum.</t>
  </si>
  <si>
    <t>Bonds Stragegy</t>
  </si>
  <si>
    <t>Inflation has been top of everyones mind's during 2023, causing the FED to impose higher and higher interest rates (as of the time of this writing, the federal funds rate (FFR) stands at 5.5% compared to only 2.5% a year earlier). While inflation has begun to plateau, the FED's decision to impose even higher rates before the end of 2023 is still within the relam of possibility. Though this might woo an investor to stay away from income rate sensitive exposures (such as bonds) during this time, including a number of bonds in Dave's portfolio is likely to be a winning strategy in the long term. Bonds will diversify Dave's portfolio from higher risk equity investments, and likely still result in an overall positive return given that interest rates will stop rising and begin to reverse in the coming years once inflation has definitively settled. As an added bonus, Bonds also give Dave the opportunity to have a livable income in the form of interest payments, with an ideal scenario being that he can use the money from these payments to afford a number of his living necessities without having to dip into his cash pool. Three investments across U.S. and foreign based bonds and bond funds will ensure a diversified bond portfolio</t>
  </si>
  <si>
    <t>Cash Stragegy</t>
  </si>
  <si>
    <t xml:space="preserve">Total COH </t>
  </si>
  <si>
    <t>Given that Dave is recently divorced and about to be out of a job due the sale of his company, he will need some cash on hand to be able to afford his living expenses while he figures out what he wants to do next in life. If he has a family, having some money in the bank will also help to support his children. A logical step to manifest this cash on hand is to sell the stocks he currently owns in the companies of his suppliers. He has no way of knowing what the buyer of his company wishes to do going forward, and selling this stock not only provides closure for this part of his life but also protects him should the new buyers chose to take their business elsewhere (possibly lowering the price of theese companies' stock). The money that Dave makes from this sale should be more than enough to pay for his own living expenses (including rent or mortgage) and support his family (should he have one) in the interim period where he decides if he wants to go back to work, start another company, or start another family (or any combination of the three). Its possible that Dave won't have to dip much into his cash allocation should the interest rate payements on his bonds eventually become fruitful, but the money will be there should he need it. Lastly, this will also give Dave a chance to pay off any remaining debts (i.e. student loans, credit card bills, etc.) and begin anew from a credit perspective.</t>
  </si>
  <si>
    <t>N/A</t>
  </si>
  <si>
    <t>STOCKS PORTFOLIO</t>
  </si>
  <si>
    <t>GCIS Sector</t>
  </si>
  <si>
    <t>Stock Name</t>
  </si>
  <si>
    <t>Country of Origin</t>
  </si>
  <si>
    <t>Stock Symbol</t>
  </si>
  <si>
    <t>Price Per Share</t>
  </si>
  <si>
    <t xml:space="preserve">Inital Investment </t>
  </si>
  <si>
    <t>Number of Shares</t>
  </si>
  <si>
    <t>Comments</t>
  </si>
  <si>
    <t>Energy</t>
  </si>
  <si>
    <t>Exxon Mobil Corp</t>
  </si>
  <si>
    <t>U.S.</t>
  </si>
  <si>
    <t>XOM</t>
  </si>
  <si>
    <t>Traditional US oil and gas company, likely to provide long term returns.</t>
  </si>
  <si>
    <t>PetroChina Co Ltd</t>
  </si>
  <si>
    <t>China</t>
  </si>
  <si>
    <t>PCCYF</t>
  </si>
  <si>
    <t>Traditional foreign oil and gas comany, likely to provide long term returns.</t>
  </si>
  <si>
    <t>NextEra Energy Inc.</t>
  </si>
  <si>
    <t>NEE</t>
  </si>
  <si>
    <t>Slightly riskier investment, but diversifies energy portfolio by taking a chance on green energy.</t>
  </si>
  <si>
    <t>Materials</t>
  </si>
  <si>
    <t>BHP Group Ltd</t>
  </si>
  <si>
    <t>Austrailia</t>
  </si>
  <si>
    <t>BHP</t>
  </si>
  <si>
    <t xml:space="preserve">Mining operations will become more important as the needs for semiconductor metals continues to rise. </t>
  </si>
  <si>
    <t>Air Products &amp; Chemicals Inc</t>
  </si>
  <si>
    <t>APD</t>
  </si>
  <si>
    <t>As gases such as helium start to become harder to procure the remaining companies that are able to access them will likely grow in value.</t>
  </si>
  <si>
    <t>Industrials</t>
  </si>
  <si>
    <t>Raytheon</t>
  </si>
  <si>
    <t>RTX</t>
  </si>
  <si>
    <t>Its always a safe bet that U.S. government will continue to give large defense companies like Raytheon large contracts.</t>
  </si>
  <si>
    <t>Union Pacific Crop</t>
  </si>
  <si>
    <t>UNP</t>
  </si>
  <si>
    <t>Biden's passage of the IIJA will hopefully help to bolster this publically owned railroad company.</t>
  </si>
  <si>
    <t>Consumer Discretionary</t>
  </si>
  <si>
    <r>
      <rPr>
        <rFont val="Arial"/>
        <color rgb="FF000000"/>
      </rPr>
      <t>Amazon.com</t>
    </r>
    <r>
      <rPr>
        <rFont val="Arial"/>
        <color theme="1"/>
      </rPr>
      <t xml:space="preserve"> Inc.</t>
    </r>
  </si>
  <si>
    <t>AMZN</t>
  </si>
  <si>
    <t>Amazon continues to dominate the consumer marketplace, with the pandemic causing many consumers to shift to online shopping.</t>
  </si>
  <si>
    <t>Tesla</t>
  </si>
  <si>
    <t>TSLA</t>
  </si>
  <si>
    <t>Electric vehicles continue to grow in popularity, especially now that the IIJA has a plan specifically to make them easier to use in the U.S.</t>
  </si>
  <si>
    <t>Hermes International S.A.</t>
  </si>
  <si>
    <t>France</t>
  </si>
  <si>
    <t>HESAY</t>
  </si>
  <si>
    <t>Luxery goods continue to rise in sales, and Hermes has the benefit of marketing all its products under a single brand.</t>
  </si>
  <si>
    <t>Consumer Staples</t>
  </si>
  <si>
    <t>Anheuser-Busch InBev SA</t>
  </si>
  <si>
    <t>Belgium</t>
  </si>
  <si>
    <t>BUD</t>
  </si>
  <si>
    <t>This company continues to buy brands at an astonishing rate and will likely continue to do so as their strategy continues.</t>
  </si>
  <si>
    <t>Proctor and Gamble</t>
  </si>
  <si>
    <t>PG</t>
  </si>
  <si>
    <t>Proctor and Gamble owns most everything you can buy in a drug store, and will likely result in providing long term growth,</t>
  </si>
  <si>
    <t>Hims &amp; Hers Health Inc.</t>
  </si>
  <si>
    <t>HIMS</t>
  </si>
  <si>
    <t>Slightly riskier investment, but has potential for growth with as people shift to buying product online.</t>
  </si>
  <si>
    <t>Health Care</t>
  </si>
  <si>
    <t>Pfizer, Inc.</t>
  </si>
  <si>
    <t>PFE</t>
  </si>
  <si>
    <t>Strong investment as Pfizer continues to make new medicines and vaccines and manufactures a number of well known ones already on the market.</t>
  </si>
  <si>
    <t>Elekta</t>
  </si>
  <si>
    <t>Sweden</t>
  </si>
  <si>
    <t>EL</t>
  </si>
  <si>
    <t>More ethical based healthcare investment into a company dedicated to treating caner and neurological disorders.</t>
  </si>
  <si>
    <t>Financials</t>
  </si>
  <si>
    <t>Berkshire Hathaway Inc.</t>
  </si>
  <si>
    <t>BRK-A</t>
  </si>
  <si>
    <t>Given its extremely large and diverse portfolio, low risk investment with a large chance of positive ROI.</t>
  </si>
  <si>
    <t>Industrial and Commercial Bank of China</t>
  </si>
  <si>
    <t>IDCBY</t>
  </si>
  <si>
    <t>China only continues to grow, and given that the ICBC is China's bank, they are likely to play a large part in this growth.</t>
  </si>
  <si>
    <t>Royal Bank of Canada</t>
  </si>
  <si>
    <t>Canada</t>
  </si>
  <si>
    <t>RY</t>
  </si>
  <si>
    <t xml:space="preserve">Another foreign based bank to diversify investment, however they still have operations in US as well. </t>
  </si>
  <si>
    <t>Information Technology</t>
  </si>
  <si>
    <t>Microsoft</t>
  </si>
  <si>
    <t>MSFT</t>
  </si>
  <si>
    <t>Continues to build technology and IT systems that will be in use by billions for the forseeable future.</t>
  </si>
  <si>
    <t>Tencent Holdings Ltd</t>
  </si>
  <si>
    <t>TCEHY</t>
  </si>
  <si>
    <t xml:space="preserve">Stock price has more than halved since its 2021 high, making it a cheaper stock that is likely to pay off once tech sector recovers. </t>
  </si>
  <si>
    <t>Snowflake</t>
  </si>
  <si>
    <t>SNOW</t>
  </si>
  <si>
    <t>Riskier investment, but ethical AI based company that has potential for large ROI.</t>
  </si>
  <si>
    <t>Telecommunication Services</t>
  </si>
  <si>
    <t>Alphabet Inc</t>
  </si>
  <si>
    <t>GOOGL</t>
  </si>
  <si>
    <t xml:space="preserve">Continues to dominate in the cloud space, will likely grow with AI innovation as well. </t>
  </si>
  <si>
    <t>América Móvil, S.A.B. de C.V</t>
  </si>
  <si>
    <t>Mexico</t>
  </si>
  <si>
    <t>AMX</t>
  </si>
  <si>
    <t xml:space="preserve">Likely to continue growing as it provides communications to countries in South and Central America. </t>
  </si>
  <si>
    <t>Utilities</t>
  </si>
  <si>
    <t>National Grid PLC</t>
  </si>
  <si>
    <t>England</t>
  </si>
  <si>
    <t>NG</t>
  </si>
  <si>
    <t>Also has work in the U.S., one of the World's largest energy and electricity providers.</t>
  </si>
  <si>
    <t>Iberdrola SA</t>
  </si>
  <si>
    <t>Spain</t>
  </si>
  <si>
    <t>IBDRY</t>
  </si>
  <si>
    <t>Also has work in the U.S., focused on renewable energy.</t>
  </si>
  <si>
    <t>Real Estate</t>
  </si>
  <si>
    <t>Prologis Inc</t>
  </si>
  <si>
    <t>PLD</t>
  </si>
  <si>
    <t>Huge real estate firm with many holdings and open developments, likely to grow in value.</t>
  </si>
  <si>
    <t>Public Storage Operating CO</t>
  </si>
  <si>
    <t>PSA</t>
  </si>
  <si>
    <t>While based in the U.S. PSA is a international REIT, meaning it only invests in properties outside the country.</t>
  </si>
  <si>
    <t>SUMMARY STATISTICS</t>
  </si>
  <si>
    <t>Number of Stocks</t>
  </si>
  <si>
    <t>Allocation</t>
  </si>
  <si>
    <t>Allocation %</t>
  </si>
  <si>
    <t>Region</t>
  </si>
  <si>
    <t>Foreign</t>
  </si>
  <si>
    <t>Total Allocation</t>
  </si>
  <si>
    <t>CRYPTO PORTFOLIO</t>
  </si>
  <si>
    <t>Crypto Name</t>
  </si>
  <si>
    <t>Symbol</t>
  </si>
  <si>
    <t>Price Per Unit</t>
  </si>
  <si>
    <t>Initial Investment</t>
  </si>
  <si>
    <t>Number of Units</t>
  </si>
  <si>
    <t>Bitcoin</t>
  </si>
  <si>
    <t>BTC-USD</t>
  </si>
  <si>
    <t xml:space="preserve">Bitcoin remains the first cryptocurrency, and is by far the most established. As such, despite still being an extremely risly investment, it likely is the most stable of the seemingly endless streams of cryptocoins being pumped out today. </t>
  </si>
  <si>
    <t>Ethereum</t>
  </si>
  <si>
    <t>ETH-USD</t>
  </si>
  <si>
    <t>Ethereum is central to the idea of Crypto itself, enabling concepts such as the blockchain to exist that prevents third parties from having to verify transactions. As such, investing in ethereum is almost as if you are investing in the potentiality of the crypto market as a whole.</t>
  </si>
  <si>
    <t>BONDS PORTFOLIO</t>
  </si>
  <si>
    <t>Bond Name</t>
  </si>
  <si>
    <t>Bond(s) Origin</t>
  </si>
  <si>
    <t>10 Year  U.S. Treasury Note</t>
  </si>
  <si>
    <t>GOVT</t>
  </si>
  <si>
    <t>Considered one of the lowest risk investments, and should pay reasonable interest payments once inflation recovers.</t>
  </si>
  <si>
    <t>Vanguard Total International Bond ETF</t>
  </si>
  <si>
    <t>BNDX</t>
  </si>
  <si>
    <t>Gives foreign exposure in both government and corporate bonds. Includes bonds from all over the world but mostly from Europe and Japan.</t>
  </si>
  <si>
    <t>iShares iBoxx $ Investment Grade Corporate Bond ETF</t>
  </si>
  <si>
    <t>LQD</t>
  </si>
  <si>
    <t>Slightly riskier bond investment, but gives exposure in U.S. based companies.</t>
  </si>
  <si>
    <t>The information provided here documents the "worst case scenario", in which Dave chooses to live a lavish lifestyle.</t>
  </si>
  <si>
    <t>Monthly Costs</t>
  </si>
  <si>
    <t>Price</t>
  </si>
  <si>
    <t xml:space="preserve">Rent/Mortgage Payment </t>
  </si>
  <si>
    <t xml:space="preserve">Car Payment </t>
  </si>
  <si>
    <t>Child care/payments</t>
  </si>
  <si>
    <t>Food (groceries/restaurants)</t>
  </si>
  <si>
    <t>Other Essentials</t>
  </si>
  <si>
    <t>Non-Essentials</t>
  </si>
  <si>
    <t>Price Per Month</t>
  </si>
  <si>
    <t>COH</t>
  </si>
  <si>
    <t>Years with COH (assuming no other sources of income nor sale of stocks, crypto, and bonds)</t>
  </si>
  <si>
    <t>Thus, even if Dave is irresponsible with his money for more than 6 years, he is still likely to be protected due to his diversified investment portfolio.</t>
  </si>
  <si>
    <t>investment_type</t>
  </si>
  <si>
    <t>GCIS_sector</t>
  </si>
  <si>
    <t>name</t>
  </si>
  <si>
    <t>country_of_origin</t>
  </si>
  <si>
    <t>ticker</t>
  </si>
  <si>
    <t>price_per_unit</t>
  </si>
  <si>
    <t>initial_investment</t>
  </si>
  <si>
    <t>number_of_units</t>
  </si>
  <si>
    <t>stocks</t>
  </si>
  <si>
    <r>
      <rPr>
        <rFont val="Arial"/>
        <color rgb="FF000000"/>
      </rPr>
      <t>Amazon.com</t>
    </r>
    <r>
      <rPr>
        <rFont val="Arial"/>
        <color theme="1"/>
      </rPr>
      <t xml:space="preserve"> Inc.</t>
    </r>
  </si>
  <si>
    <t>crypto</t>
  </si>
  <si>
    <t>bonds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</si>
</sst>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12">
    <font>
      <sz val="10.0"/>
      <color rgb="FF000000"/>
      <name val="Arial"/>
      <scheme val="minor"/>
    </font>
    <font>
      <color theme="1"/>
      <name val="Arial"/>
      <scheme val="minor"/>
    </font>
    <font>
      <b/>
      <color theme="1"/>
      <name val="Arial"/>
      <scheme val="minor"/>
    </font>
    <font>
      <color rgb="FF000000"/>
      <name val="Arial"/>
    </font>
    <font>
      <b/>
      <sz val="10.0"/>
      <color rgb="FF000000"/>
      <name val="Arial"/>
      <scheme val="minor"/>
    </font>
    <font>
      <b/>
      <color rgb="FF000000"/>
      <name val="Arial"/>
      <scheme val="minor"/>
    </font>
    <font>
      <sz val="10.0"/>
      <color rgb="FF333333"/>
      <name val="Arial"/>
      <scheme val="minor"/>
    </font>
    <font>
      <sz val="10.0"/>
      <color rgb="FF111111"/>
      <name val="Arial"/>
      <scheme val="minor"/>
    </font>
    <font>
      <b/>
      <color theme="1"/>
      <name val="Arial"/>
    </font>
    <font>
      <color rgb="FF111111"/>
      <name val="Arial"/>
    </font>
    <font>
      <color theme="1"/>
      <name val="Arial"/>
    </font>
    <font>
      <sz val="10.0"/>
      <color rgb="FF000000"/>
      <name val="Arial"/>
    </font>
  </fonts>
  <fills count="8">
    <fill>
      <patternFill patternType="none"/>
    </fill>
    <fill>
      <patternFill patternType="lightGray"/>
    </fill>
    <fill>
      <patternFill patternType="solid">
        <fgColor rgb="FFFFFF00"/>
        <bgColor rgb="FFFFFF00"/>
      </patternFill>
    </fill>
    <fill>
      <patternFill patternType="solid">
        <fgColor rgb="FFCCCCCC"/>
        <bgColor rgb="FFCCCCCC"/>
      </patternFill>
    </fill>
    <fill>
      <patternFill patternType="solid">
        <fgColor rgb="FFFFFFFF"/>
        <bgColor rgb="FFFFFFFF"/>
      </patternFill>
    </fill>
    <fill>
      <patternFill patternType="solid">
        <fgColor rgb="FF93C47D"/>
        <bgColor rgb="FF93C47D"/>
      </patternFill>
    </fill>
    <fill>
      <patternFill patternType="solid">
        <fgColor rgb="FFB7B7B7"/>
        <bgColor rgb="FFB7B7B7"/>
      </patternFill>
    </fill>
    <fill>
      <patternFill patternType="solid">
        <fgColor rgb="FF6AA84F"/>
        <bgColor rgb="FF6AA84F"/>
      </patternFill>
    </fill>
  </fills>
  <borders count="13">
    <border/>
    <border>
      <bottom style="thick">
        <color rgb="FF000000"/>
      </bottom>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
      <top style="thick">
        <color rgb="FF000000"/>
      </top>
    </border>
    <border>
      <left style="thick">
        <color rgb="FF000000"/>
      </left>
      <top style="thick">
        <color rgb="FF000000"/>
      </top>
    </border>
    <border>
      <right style="thick">
        <color rgb="FF000000"/>
      </right>
      <top style="thick">
        <color rgb="FF000000"/>
      </top>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2" fillId="3" fontId="2" numFmtId="164" xfId="0" applyAlignment="1" applyBorder="1" applyFill="1" applyFont="1" applyNumberFormat="1">
      <alignment readingOrder="0" shrinkToFit="0" wrapText="1"/>
    </xf>
    <xf borderId="2" fillId="3" fontId="2" numFmtId="164" xfId="0" applyAlignment="1" applyBorder="1" applyFont="1" applyNumberFormat="1">
      <alignment readingOrder="0"/>
    </xf>
    <xf borderId="1" fillId="4" fontId="3" numFmtId="0" xfId="0" applyAlignment="1" applyBorder="1" applyFill="1" applyFont="1">
      <alignment horizontal="left" readingOrder="0" shrinkToFit="0" wrapText="1"/>
    </xf>
    <xf borderId="2" fillId="3" fontId="3" numFmtId="164" xfId="0" applyAlignment="1" applyBorder="1" applyFont="1" applyNumberFormat="1">
      <alignment horizontal="left" readingOrder="0" shrinkToFit="0" wrapText="1"/>
    </xf>
    <xf borderId="2" fillId="3" fontId="1" numFmtId="164" xfId="0" applyAlignment="1" applyBorder="1" applyFont="1" applyNumberFormat="1">
      <alignment readingOrder="0"/>
    </xf>
    <xf borderId="2" fillId="3" fontId="1" numFmtId="164" xfId="0" applyBorder="1" applyFont="1" applyNumberFormat="1"/>
    <xf borderId="0" fillId="4" fontId="1" numFmtId="0" xfId="0" applyFont="1"/>
    <xf borderId="2" fillId="5" fontId="2" numFmtId="0" xfId="0" applyAlignment="1" applyBorder="1" applyFill="1" applyFont="1">
      <alignment readingOrder="0"/>
    </xf>
    <xf borderId="2" fillId="3" fontId="2" numFmtId="0" xfId="0" applyAlignment="1" applyBorder="1" applyFont="1">
      <alignment readingOrder="0"/>
    </xf>
    <xf borderId="0" fillId="0" fontId="1" numFmtId="0" xfId="0" applyAlignment="1" applyFont="1">
      <alignment readingOrder="0" shrinkToFit="0" wrapText="1"/>
    </xf>
    <xf borderId="2" fillId="3" fontId="1" numFmtId="10" xfId="0" applyAlignment="1" applyBorder="1" applyFont="1" applyNumberFormat="1">
      <alignment readingOrder="0" shrinkToFit="0" wrapText="1"/>
    </xf>
    <xf borderId="2" fillId="3" fontId="1" numFmtId="10" xfId="0" applyAlignment="1" applyBorder="1" applyFont="1" applyNumberFormat="1">
      <alignment readingOrder="0"/>
    </xf>
    <xf borderId="3" fillId="5" fontId="2" numFmtId="0" xfId="0" applyAlignment="1" applyBorder="1" applyFont="1">
      <alignment readingOrder="0"/>
    </xf>
    <xf borderId="2" fillId="3" fontId="1" numFmtId="0" xfId="0" applyAlignment="1" applyBorder="1" applyFont="1">
      <alignment readingOrder="0"/>
    </xf>
    <xf borderId="4" fillId="6" fontId="2" numFmtId="0" xfId="0" applyAlignment="1" applyBorder="1" applyFill="1" applyFont="1">
      <alignment readingOrder="0"/>
    </xf>
    <xf borderId="4" fillId="6" fontId="1" numFmtId="0" xfId="0" applyAlignment="1" applyBorder="1" applyFont="1">
      <alignment shrinkToFit="0" wrapText="1"/>
    </xf>
    <xf borderId="4" fillId="6" fontId="1" numFmtId="0" xfId="0" applyBorder="1" applyFont="1"/>
    <xf borderId="4" fillId="6" fontId="1" numFmtId="164" xfId="0" applyBorder="1" applyFont="1" applyNumberFormat="1"/>
    <xf borderId="4" fillId="6" fontId="1" numFmtId="4" xfId="0" applyBorder="1" applyFont="1" applyNumberFormat="1"/>
    <xf borderId="0" fillId="4" fontId="4" numFmtId="0" xfId="0" applyAlignment="1" applyFont="1">
      <alignment readingOrder="0"/>
    </xf>
    <xf borderId="0" fillId="4" fontId="5" numFmtId="0" xfId="0" applyAlignment="1" applyFont="1">
      <alignment readingOrder="0" shrinkToFit="0" wrapText="1"/>
    </xf>
    <xf borderId="0" fillId="4" fontId="5" numFmtId="0" xfId="0" applyAlignment="1" applyFont="1">
      <alignment readingOrder="0"/>
    </xf>
    <xf borderId="0" fillId="4" fontId="2" numFmtId="0" xfId="0" applyAlignment="1" applyFont="1">
      <alignment readingOrder="0"/>
    </xf>
    <xf borderId="0" fillId="4" fontId="2" numFmtId="164" xfId="0" applyAlignment="1" applyFont="1" applyNumberFormat="1">
      <alignment readingOrder="0"/>
    </xf>
    <xf borderId="0" fillId="4" fontId="2" numFmtId="4" xfId="0" applyAlignment="1" applyFont="1" applyNumberFormat="1">
      <alignment readingOrder="0"/>
    </xf>
    <xf borderId="0" fillId="4" fontId="2" numFmtId="0" xfId="0" applyAlignment="1" applyFont="1">
      <alignment readingOrder="0" shrinkToFit="0" wrapText="1"/>
    </xf>
    <xf borderId="3" fillId="5" fontId="4" numFmtId="0" xfId="0" applyAlignment="1" applyBorder="1" applyFont="1">
      <alignment readingOrder="0"/>
    </xf>
    <xf borderId="4" fillId="5" fontId="5" numFmtId="0" xfId="0" applyAlignment="1" applyBorder="1" applyFont="1">
      <alignment readingOrder="0" shrinkToFit="0" wrapText="1"/>
    </xf>
    <xf borderId="4" fillId="5" fontId="5" numFmtId="0" xfId="0" applyAlignment="1" applyBorder="1" applyFont="1">
      <alignment readingOrder="0"/>
    </xf>
    <xf borderId="4" fillId="5" fontId="2" numFmtId="0" xfId="0" applyAlignment="1" applyBorder="1" applyFont="1">
      <alignment readingOrder="0"/>
    </xf>
    <xf borderId="4" fillId="5" fontId="2" numFmtId="164" xfId="0" applyAlignment="1" applyBorder="1" applyFont="1" applyNumberFormat="1">
      <alignment readingOrder="0"/>
    </xf>
    <xf borderId="4" fillId="5" fontId="2" numFmtId="4" xfId="0" applyAlignment="1" applyBorder="1" applyFont="1" applyNumberFormat="1">
      <alignment readingOrder="0"/>
    </xf>
    <xf borderId="5" fillId="5" fontId="2" numFmtId="0" xfId="0" applyAlignment="1" applyBorder="1" applyFont="1">
      <alignment readingOrder="0" shrinkToFit="0" wrapText="1"/>
    </xf>
    <xf borderId="0" fillId="0" fontId="1" numFmtId="0" xfId="0" applyAlignment="1" applyFont="1">
      <alignment readingOrder="0"/>
    </xf>
    <xf borderId="0" fillId="0" fontId="1" numFmtId="164" xfId="0" applyAlignment="1" applyFont="1" applyNumberFormat="1">
      <alignment readingOrder="0"/>
    </xf>
    <xf borderId="0" fillId="0" fontId="1" numFmtId="4" xfId="0" applyFont="1" applyNumberFormat="1"/>
    <xf borderId="0" fillId="4" fontId="6" numFmtId="0" xfId="0" applyAlignment="1" applyFont="1">
      <alignment readingOrder="0" shrinkToFit="0" wrapText="1"/>
    </xf>
    <xf borderId="6" fillId="4" fontId="0" numFmtId="0" xfId="0" applyAlignment="1" applyBorder="1" applyFont="1">
      <alignment readingOrder="0"/>
    </xf>
    <xf borderId="0" fillId="0" fontId="1" numFmtId="0" xfId="0" applyAlignment="1" applyFont="1">
      <alignment readingOrder="0" shrinkToFit="0" wrapText="1"/>
    </xf>
    <xf borderId="0" fillId="0" fontId="1" numFmtId="164" xfId="0" applyFont="1" applyNumberFormat="1"/>
    <xf borderId="0" fillId="4" fontId="0" numFmtId="0" xfId="0" applyAlignment="1" applyFont="1">
      <alignment readingOrder="0" shrinkToFit="0" wrapText="1"/>
    </xf>
    <xf borderId="0" fillId="4" fontId="7" numFmtId="0" xfId="0" applyAlignment="1" applyFont="1">
      <alignment horizontal="left" readingOrder="0" shrinkToFit="0" wrapText="1"/>
    </xf>
    <xf borderId="0" fillId="4" fontId="0" numFmtId="164" xfId="0" applyAlignment="1" applyFont="1" applyNumberFormat="1">
      <alignment readingOrder="0"/>
    </xf>
    <xf borderId="0" fillId="0" fontId="1" numFmtId="0" xfId="0" applyAlignment="1" applyFont="1">
      <alignment shrinkToFit="0" wrapText="1"/>
    </xf>
    <xf borderId="3" fillId="7" fontId="8" numFmtId="0" xfId="0" applyAlignment="1" applyBorder="1" applyFill="1" applyFont="1">
      <alignment vertical="bottom"/>
    </xf>
    <xf borderId="4" fillId="7" fontId="8" numFmtId="0" xfId="0" applyAlignment="1" applyBorder="1" applyFont="1">
      <alignment readingOrder="0" shrinkToFit="0" vertical="bottom" wrapText="1"/>
    </xf>
    <xf borderId="4" fillId="7" fontId="8" numFmtId="0" xfId="0" applyAlignment="1" applyBorder="1" applyFont="1">
      <alignment shrinkToFit="0" vertical="bottom" wrapText="1"/>
    </xf>
    <xf borderId="5" fillId="7" fontId="2" numFmtId="0" xfId="0" applyAlignment="1" applyBorder="1" applyFont="1">
      <alignment readingOrder="0"/>
    </xf>
    <xf borderId="3" fillId="7" fontId="8" numFmtId="0" xfId="0" applyAlignment="1" applyBorder="1" applyFont="1">
      <alignment readingOrder="0" vertical="bottom"/>
    </xf>
    <xf borderId="6" fillId="4" fontId="9" numFmtId="0" xfId="0" applyAlignment="1" applyBorder="1" applyFont="1">
      <alignment vertical="bottom"/>
    </xf>
    <xf borderId="0" fillId="4" fontId="0" numFmtId="3" xfId="0" applyFont="1" applyNumberFormat="1"/>
    <xf borderId="0" fillId="0" fontId="10" numFmtId="164" xfId="0" applyAlignment="1" applyFont="1" applyNumberFormat="1">
      <alignment horizontal="right" shrinkToFit="0" vertical="bottom" wrapText="1"/>
    </xf>
    <xf borderId="7" fillId="0" fontId="1" numFmtId="10" xfId="0" applyBorder="1" applyFont="1" applyNumberFormat="1"/>
    <xf borderId="6" fillId="4" fontId="9" numFmtId="0" xfId="0" applyAlignment="1" applyBorder="1" applyFont="1">
      <alignment readingOrder="0" vertical="bottom"/>
    </xf>
    <xf borderId="6" fillId="4" fontId="10" numFmtId="0" xfId="0" applyAlignment="1" applyBorder="1" applyFont="1">
      <alignment vertical="bottom"/>
    </xf>
    <xf borderId="8" fillId="4" fontId="10" numFmtId="0" xfId="0" applyAlignment="1" applyBorder="1" applyFont="1">
      <alignment readingOrder="0" vertical="bottom"/>
    </xf>
    <xf borderId="1" fillId="0" fontId="10" numFmtId="164" xfId="0" applyAlignment="1" applyBorder="1" applyFont="1" applyNumberFormat="1">
      <alignment horizontal="right" shrinkToFit="0" vertical="bottom" wrapText="1"/>
    </xf>
    <xf borderId="9" fillId="0" fontId="1" numFmtId="10" xfId="0" applyBorder="1" applyFont="1" applyNumberFormat="1"/>
    <xf borderId="0" fillId="4" fontId="8" numFmtId="0" xfId="0" applyAlignment="1" applyFont="1">
      <alignment readingOrder="0" vertical="bottom"/>
    </xf>
    <xf borderId="0" fillId="0" fontId="1" numFmtId="10" xfId="0" applyFont="1" applyNumberFormat="1"/>
    <xf borderId="0" fillId="4" fontId="10" numFmtId="0" xfId="0" applyAlignment="1" applyFont="1">
      <alignment vertical="bottom"/>
    </xf>
    <xf borderId="8" fillId="4" fontId="10" numFmtId="0" xfId="0" applyAlignment="1" applyBorder="1" applyFont="1">
      <alignment vertical="bottom"/>
    </xf>
    <xf borderId="1" fillId="4" fontId="0" numFmtId="3" xfId="0" applyBorder="1" applyFont="1" applyNumberFormat="1"/>
    <xf borderId="0" fillId="4" fontId="8" numFmtId="0" xfId="0" applyAlignment="1" applyFont="1">
      <alignment vertical="bottom"/>
    </xf>
    <xf borderId="0" fillId="0" fontId="10" numFmtId="3" xfId="0" applyAlignment="1" applyFont="1" applyNumberFormat="1">
      <alignment horizontal="right" shrinkToFit="0" vertical="bottom" wrapText="1"/>
    </xf>
    <xf borderId="10" fillId="0" fontId="10" numFmtId="164" xfId="0" applyAlignment="1" applyBorder="1" applyFont="1" applyNumberFormat="1">
      <alignment horizontal="right" shrinkToFit="0" vertical="bottom" wrapText="1"/>
    </xf>
    <xf borderId="10" fillId="0" fontId="10" numFmtId="10" xfId="0" applyAlignment="1" applyBorder="1" applyFont="1" applyNumberFormat="1">
      <alignment horizontal="right" vertical="bottom"/>
    </xf>
    <xf borderId="0" fillId="5" fontId="5" numFmtId="0" xfId="0" applyAlignment="1" applyFont="1">
      <alignment readingOrder="0"/>
    </xf>
    <xf borderId="0" fillId="5" fontId="2" numFmtId="164" xfId="0" applyAlignment="1" applyFont="1" applyNumberFormat="1">
      <alignment readingOrder="0"/>
    </xf>
    <xf borderId="0" fillId="5" fontId="2" numFmtId="4" xfId="0" applyAlignment="1" applyFont="1" applyNumberFormat="1">
      <alignment readingOrder="0"/>
    </xf>
    <xf borderId="0" fillId="5" fontId="2" numFmtId="0" xfId="0" applyAlignment="1" applyFont="1">
      <alignment readingOrder="0" shrinkToFit="0" wrapText="1"/>
    </xf>
    <xf borderId="4" fillId="6" fontId="2" numFmtId="0" xfId="0" applyAlignment="1" applyBorder="1" applyFont="1">
      <alignment readingOrder="0" shrinkToFit="0" wrapText="1"/>
    </xf>
    <xf borderId="0" fillId="0" fontId="1" numFmtId="4" xfId="0" applyAlignment="1" applyFont="1" applyNumberFormat="1">
      <alignment readingOrder="0"/>
    </xf>
    <xf borderId="0" fillId="4" fontId="0" numFmtId="0" xfId="0" applyAlignment="1" applyFont="1">
      <alignment readingOrder="0" shrinkToFit="0" wrapText="1"/>
    </xf>
    <xf borderId="0" fillId="4" fontId="1" numFmtId="164" xfId="0" applyFont="1" applyNumberFormat="1"/>
    <xf borderId="0" fillId="4" fontId="1" numFmtId="4" xfId="0" applyFont="1" applyNumberFormat="1"/>
    <xf borderId="5" fillId="7" fontId="8" numFmtId="0" xfId="0" applyAlignment="1" applyBorder="1" applyFont="1">
      <alignment readingOrder="0" shrinkToFit="0" vertical="bottom" wrapText="1"/>
    </xf>
    <xf borderId="0" fillId="4" fontId="8" numFmtId="0" xfId="0" applyAlignment="1" applyFont="1">
      <alignment shrinkToFit="0" vertical="bottom" wrapText="1"/>
    </xf>
    <xf borderId="0" fillId="4" fontId="8" numFmtId="164" xfId="0" applyAlignment="1" applyFont="1" applyNumberFormat="1">
      <alignment shrinkToFit="0" vertical="bottom" wrapText="1"/>
    </xf>
    <xf borderId="0" fillId="4" fontId="8" numFmtId="0" xfId="0" applyAlignment="1" applyFont="1">
      <alignment readingOrder="0" shrinkToFit="0" vertical="bottom" wrapText="1"/>
    </xf>
    <xf borderId="7" fillId="0" fontId="10" numFmtId="164" xfId="0" applyAlignment="1" applyBorder="1" applyFont="1" applyNumberFormat="1">
      <alignment horizontal="right" shrinkToFit="0" vertical="bottom" wrapText="1"/>
    </xf>
    <xf borderId="0" fillId="4" fontId="10" numFmtId="164" xfId="0" applyAlignment="1" applyFont="1" applyNumberFormat="1">
      <alignment horizontal="right" shrinkToFit="0" vertical="bottom" wrapText="1"/>
    </xf>
    <xf borderId="0" fillId="4" fontId="9" numFmtId="0" xfId="0" applyAlignment="1" applyFont="1">
      <alignment readingOrder="0" vertical="bottom"/>
    </xf>
    <xf borderId="9" fillId="0" fontId="10" numFmtId="164" xfId="0" applyAlignment="1" applyBorder="1" applyFont="1" applyNumberFormat="1">
      <alignment horizontal="right" shrinkToFit="0" vertical="bottom" wrapText="1"/>
    </xf>
    <xf borderId="0" fillId="4" fontId="10" numFmtId="0" xfId="0" applyAlignment="1" applyFont="1">
      <alignment readingOrder="0" vertical="bottom"/>
    </xf>
    <xf borderId="0" fillId="4" fontId="10" numFmtId="3" xfId="0" applyAlignment="1" applyFont="1" applyNumberFormat="1">
      <alignment horizontal="right" shrinkToFit="0" vertical="bottom" wrapText="1"/>
    </xf>
    <xf borderId="1" fillId="5" fontId="2" numFmtId="0" xfId="0" applyAlignment="1" applyBorder="1" applyFont="1">
      <alignment readingOrder="0"/>
    </xf>
    <xf borderId="1" fillId="0" fontId="1" numFmtId="0" xfId="0" applyAlignment="1" applyBorder="1" applyFont="1">
      <alignment readingOrder="0"/>
    </xf>
    <xf borderId="1" fillId="0" fontId="1" numFmtId="164" xfId="0" applyAlignment="1" applyBorder="1" applyFont="1" applyNumberFormat="1">
      <alignment readingOrder="0"/>
    </xf>
    <xf borderId="0" fillId="0" fontId="2" numFmtId="0" xfId="0" applyAlignment="1" applyFont="1">
      <alignment readingOrder="0"/>
    </xf>
    <xf borderId="0" fillId="0" fontId="2" numFmtId="0" xfId="0" applyAlignment="1" applyFont="1">
      <alignment readingOrder="0" shrinkToFit="0" wrapText="1"/>
    </xf>
    <xf borderId="0" fillId="4" fontId="11" numFmtId="0" xfId="0" applyAlignment="1" applyFont="1">
      <alignment readingOrder="0"/>
    </xf>
    <xf borderId="11" fillId="0" fontId="2" numFmtId="0" xfId="0" applyAlignment="1" applyBorder="1" applyFont="1">
      <alignment readingOrder="0" shrinkToFit="0" wrapText="1"/>
    </xf>
    <xf borderId="12" fillId="4" fontId="11" numFmtId="164" xfId="0" applyAlignment="1" applyBorder="1" applyFont="1" applyNumberFormat="1">
      <alignment readingOrder="0"/>
    </xf>
    <xf borderId="3" fillId="0" fontId="2" numFmtId="0" xfId="0" applyAlignment="1" applyBorder="1" applyFont="1">
      <alignment readingOrder="0" shrinkToFit="0" wrapText="1"/>
    </xf>
    <xf borderId="5" fillId="0" fontId="1" numFmtId="4" xfId="0" applyBorder="1" applyFont="1" applyNumberFormat="1"/>
    <xf borderId="0" fillId="2" fontId="2" numFmtId="0" xfId="0" applyAlignment="1" applyFont="1">
      <alignment readingOrder="0" shrinkToFit="0" wrapText="1"/>
    </xf>
    <xf borderId="0" fillId="0" fontId="1" numFmtId="0" xfId="0" applyFont="1"/>
    <xf borderId="0" fillId="4" fontId="0" numFmtId="0" xfId="0" applyAlignment="1" applyFont="1">
      <alignment readingOrder="0"/>
    </xf>
    <xf borderId="0" fillId="0" fontId="10" numFmtId="0" xfId="0" applyAlignment="1" applyFont="1">
      <alignment vertical="bottom"/>
    </xf>
    <xf borderId="0" fillId="0" fontId="10" numFmtId="0" xfId="0" applyAlignment="1" applyFont="1">
      <alignment readingOrder="0" vertical="bottom"/>
    </xf>
    <xf borderId="0" fillId="0" fontId="10"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4.25"/>
    <col customWidth="1" min="2" max="4" width="23.88"/>
  </cols>
  <sheetData>
    <row r="1" ht="17.25" customHeight="1">
      <c r="A1" s="1" t="s">
        <v>0</v>
      </c>
      <c r="B1" s="2" t="s">
        <v>1</v>
      </c>
      <c r="C1" s="3" t="s">
        <v>2</v>
      </c>
      <c r="D1" s="3" t="s">
        <v>3</v>
      </c>
    </row>
    <row r="2">
      <c r="A2" s="4" t="s">
        <v>4</v>
      </c>
      <c r="B2" s="5">
        <f>8000000+1200000+62000</f>
        <v>9262000</v>
      </c>
      <c r="C2" s="6">
        <v>8000000.0</v>
      </c>
      <c r="D2" s="7">
        <f>B2-C2</f>
        <v>1262000</v>
      </c>
    </row>
    <row r="3">
      <c r="B3" s="8"/>
    </row>
    <row r="4">
      <c r="B4" s="8"/>
    </row>
    <row r="5">
      <c r="A5" s="9" t="s">
        <v>5</v>
      </c>
      <c r="B5" s="10" t="s">
        <v>6</v>
      </c>
      <c r="C5" s="10" t="s">
        <v>7</v>
      </c>
      <c r="D5" s="10" t="s">
        <v>8</v>
      </c>
    </row>
    <row r="6">
      <c r="A6" s="11" t="s">
        <v>9</v>
      </c>
      <c r="B6" s="12">
        <f>D6/B2</f>
        <v>0.6478082488</v>
      </c>
      <c r="C6" s="13">
        <v>0.75</v>
      </c>
      <c r="D6" s="6">
        <f>C2*C6</f>
        <v>6000000</v>
      </c>
    </row>
    <row r="9">
      <c r="A9" s="14" t="s">
        <v>10</v>
      </c>
      <c r="B9" s="10" t="s">
        <v>6</v>
      </c>
      <c r="C9" s="10" t="s">
        <v>7</v>
      </c>
      <c r="D9" s="10" t="s">
        <v>8</v>
      </c>
    </row>
    <row r="10">
      <c r="A10" s="11" t="s">
        <v>11</v>
      </c>
      <c r="B10" s="12">
        <f>D10/B2</f>
        <v>0.04318721658</v>
      </c>
      <c r="C10" s="13">
        <v>0.05</v>
      </c>
      <c r="D10" s="6">
        <f>C10*C2</f>
        <v>400000</v>
      </c>
    </row>
    <row r="13">
      <c r="A13" s="9" t="s">
        <v>12</v>
      </c>
      <c r="B13" s="10" t="s">
        <v>6</v>
      </c>
      <c r="C13" s="10" t="s">
        <v>7</v>
      </c>
      <c r="D13" s="10" t="s">
        <v>8</v>
      </c>
    </row>
    <row r="14">
      <c r="A14" s="11" t="s">
        <v>13</v>
      </c>
      <c r="B14" s="12">
        <f>D14/B2</f>
        <v>0.1727488663</v>
      </c>
      <c r="C14" s="13">
        <v>0.2</v>
      </c>
      <c r="D14" s="6">
        <f>C14*C2</f>
        <v>1600000</v>
      </c>
    </row>
    <row r="17">
      <c r="A17" s="9" t="s">
        <v>14</v>
      </c>
      <c r="B17" s="10" t="s">
        <v>6</v>
      </c>
      <c r="C17" s="10" t="s">
        <v>7</v>
      </c>
      <c r="D17" s="10" t="s">
        <v>15</v>
      </c>
    </row>
    <row r="18">
      <c r="A18" s="11" t="s">
        <v>16</v>
      </c>
      <c r="B18" s="12">
        <f>D18/B2</f>
        <v>0.1362556683</v>
      </c>
      <c r="C18" s="15" t="s">
        <v>17</v>
      </c>
      <c r="D18" s="6">
        <f>B2-D6-D10-D14</f>
        <v>1262000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3.0"/>
    <col customWidth="1" min="2" max="2" width="18.88"/>
    <col customWidth="1" min="3" max="3" width="17.88"/>
    <col customWidth="1" min="4" max="4" width="14.13"/>
    <col customWidth="1" min="5" max="5" width="17.13"/>
    <col customWidth="1" min="6" max="6" width="17.5"/>
    <col customWidth="1" min="7" max="7" width="18.0"/>
    <col customWidth="1" min="8" max="8" width="38.13"/>
  </cols>
  <sheetData>
    <row r="1">
      <c r="A1" s="16" t="s">
        <v>18</v>
      </c>
      <c r="B1" s="17"/>
      <c r="C1" s="18"/>
      <c r="D1" s="18"/>
      <c r="E1" s="19"/>
      <c r="F1" s="19"/>
      <c r="G1" s="20"/>
      <c r="H1" s="17"/>
    </row>
    <row r="2">
      <c r="A2" s="21"/>
      <c r="B2" s="22"/>
      <c r="C2" s="23"/>
      <c r="D2" s="24"/>
      <c r="E2" s="25"/>
      <c r="F2" s="25"/>
      <c r="G2" s="26"/>
      <c r="H2" s="27"/>
    </row>
    <row r="3">
      <c r="A3" s="28" t="s">
        <v>19</v>
      </c>
      <c r="B3" s="29" t="s">
        <v>20</v>
      </c>
      <c r="C3" s="30" t="s">
        <v>21</v>
      </c>
      <c r="D3" s="31" t="s">
        <v>22</v>
      </c>
      <c r="E3" s="32" t="s">
        <v>23</v>
      </c>
      <c r="F3" s="32" t="s">
        <v>24</v>
      </c>
      <c r="G3" s="33" t="s">
        <v>25</v>
      </c>
      <c r="H3" s="34" t="s">
        <v>26</v>
      </c>
    </row>
    <row r="4">
      <c r="A4" s="35" t="s">
        <v>27</v>
      </c>
      <c r="B4" s="11" t="s">
        <v>28</v>
      </c>
      <c r="C4" s="35" t="s">
        <v>29</v>
      </c>
      <c r="D4" s="35" t="s">
        <v>30</v>
      </c>
      <c r="E4" s="36">
        <v>116.7</v>
      </c>
      <c r="F4" s="36">
        <v>400000.0</v>
      </c>
      <c r="G4" s="37">
        <f t="shared" ref="G4:G30" si="1">F4/E4</f>
        <v>3427.592117</v>
      </c>
      <c r="H4" s="11" t="s">
        <v>31</v>
      </c>
    </row>
    <row r="5">
      <c r="A5" s="35" t="s">
        <v>27</v>
      </c>
      <c r="B5" s="11" t="s">
        <v>32</v>
      </c>
      <c r="C5" s="35" t="s">
        <v>33</v>
      </c>
      <c r="D5" s="35" t="s">
        <v>34</v>
      </c>
      <c r="E5" s="36">
        <v>0.66</v>
      </c>
      <c r="F5" s="36">
        <v>400000.0</v>
      </c>
      <c r="G5" s="37">
        <f t="shared" si="1"/>
        <v>606060.6061</v>
      </c>
      <c r="H5" s="11" t="s">
        <v>35</v>
      </c>
    </row>
    <row r="6">
      <c r="A6" s="35" t="s">
        <v>27</v>
      </c>
      <c r="B6" s="11" t="s">
        <v>36</v>
      </c>
      <c r="C6" s="35" t="s">
        <v>29</v>
      </c>
      <c r="D6" s="35" t="s">
        <v>37</v>
      </c>
      <c r="E6" s="36">
        <v>68.64</v>
      </c>
      <c r="F6" s="36">
        <v>200000.0</v>
      </c>
      <c r="G6" s="37">
        <f t="shared" si="1"/>
        <v>2913.752914</v>
      </c>
      <c r="H6" s="11" t="s">
        <v>38</v>
      </c>
    </row>
    <row r="7">
      <c r="A7" s="35" t="s">
        <v>39</v>
      </c>
      <c r="B7" s="11" t="s">
        <v>40</v>
      </c>
      <c r="C7" s="35" t="s">
        <v>41</v>
      </c>
      <c r="D7" s="35" t="s">
        <v>42</v>
      </c>
      <c r="E7" s="36">
        <v>58.45</v>
      </c>
      <c r="F7" s="36">
        <v>100000.0</v>
      </c>
      <c r="G7" s="37">
        <f t="shared" si="1"/>
        <v>1710.863986</v>
      </c>
      <c r="H7" s="11" t="s">
        <v>43</v>
      </c>
    </row>
    <row r="8">
      <c r="A8" s="35" t="s">
        <v>39</v>
      </c>
      <c r="B8" s="38" t="s">
        <v>44</v>
      </c>
      <c r="C8" s="38" t="s">
        <v>29</v>
      </c>
      <c r="D8" s="35" t="s">
        <v>45</v>
      </c>
      <c r="E8" s="36">
        <v>302.11</v>
      </c>
      <c r="F8" s="36">
        <v>100000.0</v>
      </c>
      <c r="G8" s="37">
        <f t="shared" si="1"/>
        <v>331.005263</v>
      </c>
      <c r="H8" s="11" t="s">
        <v>46</v>
      </c>
    </row>
    <row r="9">
      <c r="A9" s="35" t="s">
        <v>47</v>
      </c>
      <c r="B9" s="11" t="s">
        <v>48</v>
      </c>
      <c r="C9" s="35" t="s">
        <v>29</v>
      </c>
      <c r="D9" s="35" t="s">
        <v>49</v>
      </c>
      <c r="E9" s="36">
        <v>75.8</v>
      </c>
      <c r="F9" s="36">
        <v>200000.0</v>
      </c>
      <c r="G9" s="37">
        <f t="shared" si="1"/>
        <v>2638.522427</v>
      </c>
      <c r="H9" s="11" t="s">
        <v>50</v>
      </c>
    </row>
    <row r="10">
      <c r="A10" s="35" t="s">
        <v>47</v>
      </c>
      <c r="B10" s="11" t="s">
        <v>51</v>
      </c>
      <c r="C10" s="35" t="s">
        <v>29</v>
      </c>
      <c r="D10" s="35" t="s">
        <v>52</v>
      </c>
      <c r="E10" s="36">
        <v>213.32</v>
      </c>
      <c r="F10" s="36">
        <v>200000.0</v>
      </c>
      <c r="G10" s="37">
        <f t="shared" si="1"/>
        <v>937.5585974</v>
      </c>
      <c r="H10" s="11" t="s">
        <v>53</v>
      </c>
    </row>
    <row r="11">
      <c r="A11" s="39" t="s">
        <v>54</v>
      </c>
      <c r="B11" s="40" t="s">
        <v>55</v>
      </c>
      <c r="C11" s="35" t="s">
        <v>29</v>
      </c>
      <c r="D11" s="35" t="s">
        <v>56</v>
      </c>
      <c r="E11" s="36">
        <v>140.39</v>
      </c>
      <c r="F11" s="41">
        <f>300000</f>
        <v>300000</v>
      </c>
      <c r="G11" s="37">
        <f t="shared" si="1"/>
        <v>2136.904338</v>
      </c>
      <c r="H11" s="11" t="s">
        <v>57</v>
      </c>
    </row>
    <row r="12">
      <c r="A12" s="35" t="s">
        <v>54</v>
      </c>
      <c r="B12" s="11" t="s">
        <v>58</v>
      </c>
      <c r="C12" s="35" t="s">
        <v>29</v>
      </c>
      <c r="D12" s="35" t="s">
        <v>59</v>
      </c>
      <c r="E12" s="36">
        <v>274.39</v>
      </c>
      <c r="F12" s="36">
        <v>100000.0</v>
      </c>
      <c r="G12" s="37">
        <f t="shared" si="1"/>
        <v>364.4447684</v>
      </c>
      <c r="H12" s="11" t="s">
        <v>60</v>
      </c>
    </row>
    <row r="13">
      <c r="A13" s="35" t="s">
        <v>54</v>
      </c>
      <c r="B13" s="42" t="s">
        <v>61</v>
      </c>
      <c r="C13" s="35" t="s">
        <v>62</v>
      </c>
      <c r="D13" s="35" t="s">
        <v>63</v>
      </c>
      <c r="E13" s="36">
        <v>202.17</v>
      </c>
      <c r="F13" s="36">
        <v>100000.0</v>
      </c>
      <c r="G13" s="37">
        <f t="shared" si="1"/>
        <v>494.6332295</v>
      </c>
      <c r="H13" s="11" t="s">
        <v>64</v>
      </c>
    </row>
    <row r="14">
      <c r="A14" s="35" t="s">
        <v>65</v>
      </c>
      <c r="B14" s="38" t="s">
        <v>66</v>
      </c>
      <c r="C14" s="35" t="s">
        <v>67</v>
      </c>
      <c r="D14" s="35" t="s">
        <v>68</v>
      </c>
      <c r="E14" s="36">
        <v>56.87</v>
      </c>
      <c r="F14" s="36">
        <v>300000.0</v>
      </c>
      <c r="G14" s="37">
        <f t="shared" si="1"/>
        <v>5275.189028</v>
      </c>
      <c r="H14" s="11" t="s">
        <v>69</v>
      </c>
    </row>
    <row r="15">
      <c r="A15" s="35" t="s">
        <v>65</v>
      </c>
      <c r="B15" s="11" t="s">
        <v>70</v>
      </c>
      <c r="C15" s="35" t="s">
        <v>29</v>
      </c>
      <c r="D15" s="35" t="s">
        <v>71</v>
      </c>
      <c r="E15" s="36">
        <v>153.47</v>
      </c>
      <c r="F15" s="41">
        <f>400000</f>
        <v>400000</v>
      </c>
      <c r="G15" s="37">
        <f t="shared" si="1"/>
        <v>2606.372581</v>
      </c>
      <c r="H15" s="11" t="s">
        <v>72</v>
      </c>
    </row>
    <row r="16">
      <c r="A16" s="35" t="s">
        <v>65</v>
      </c>
      <c r="B16" s="43" t="s">
        <v>73</v>
      </c>
      <c r="C16" s="35" t="s">
        <v>29</v>
      </c>
      <c r="D16" s="35" t="s">
        <v>74</v>
      </c>
      <c r="E16" s="36">
        <v>6.31</v>
      </c>
      <c r="F16" s="36">
        <v>100000.0</v>
      </c>
      <c r="G16" s="37">
        <f t="shared" si="1"/>
        <v>15847.86054</v>
      </c>
      <c r="H16" s="11" t="s">
        <v>75</v>
      </c>
    </row>
    <row r="17">
      <c r="A17" s="35" t="s">
        <v>76</v>
      </c>
      <c r="B17" s="11" t="s">
        <v>77</v>
      </c>
      <c r="C17" s="35" t="s">
        <v>29</v>
      </c>
      <c r="D17" s="35" t="s">
        <v>78</v>
      </c>
      <c r="E17" s="36">
        <v>34.07</v>
      </c>
      <c r="F17" s="36">
        <v>300000.0</v>
      </c>
      <c r="G17" s="37">
        <f t="shared" si="1"/>
        <v>8805.400646</v>
      </c>
      <c r="H17" s="11" t="s">
        <v>79</v>
      </c>
    </row>
    <row r="18">
      <c r="A18" s="35" t="s">
        <v>76</v>
      </c>
      <c r="B18" s="11" t="s">
        <v>80</v>
      </c>
      <c r="C18" s="35" t="s">
        <v>81</v>
      </c>
      <c r="D18" s="35" t="s">
        <v>82</v>
      </c>
      <c r="E18" s="36">
        <v>2.44</v>
      </c>
      <c r="F18" s="36">
        <v>100000.0</v>
      </c>
      <c r="G18" s="37">
        <f t="shared" si="1"/>
        <v>40983.60656</v>
      </c>
      <c r="H18" s="11" t="s">
        <v>83</v>
      </c>
    </row>
    <row r="19">
      <c r="A19" s="35" t="s">
        <v>84</v>
      </c>
      <c r="B19" s="38" t="s">
        <v>85</v>
      </c>
      <c r="C19" s="35" t="s">
        <v>29</v>
      </c>
      <c r="D19" s="35" t="s">
        <v>86</v>
      </c>
      <c r="E19" s="44">
        <v>559500.0</v>
      </c>
      <c r="F19" s="36">
        <v>500000.0</v>
      </c>
      <c r="G19" s="37">
        <f t="shared" si="1"/>
        <v>0.8936550492</v>
      </c>
      <c r="H19" s="11" t="s">
        <v>87</v>
      </c>
    </row>
    <row r="20">
      <c r="A20" s="35" t="s">
        <v>84</v>
      </c>
      <c r="B20" s="38" t="s">
        <v>88</v>
      </c>
      <c r="C20" s="35" t="s">
        <v>33</v>
      </c>
      <c r="D20" s="35" t="s">
        <v>89</v>
      </c>
      <c r="E20" s="36">
        <v>9.63</v>
      </c>
      <c r="F20" s="36">
        <v>250000.0</v>
      </c>
      <c r="G20" s="37">
        <f t="shared" si="1"/>
        <v>25960.53998</v>
      </c>
      <c r="H20" s="11" t="s">
        <v>90</v>
      </c>
    </row>
    <row r="21">
      <c r="A21" s="35" t="s">
        <v>84</v>
      </c>
      <c r="B21" s="11" t="s">
        <v>91</v>
      </c>
      <c r="C21" s="35" t="s">
        <v>92</v>
      </c>
      <c r="D21" s="35" t="s">
        <v>93</v>
      </c>
      <c r="E21" s="36">
        <v>91.69</v>
      </c>
      <c r="F21" s="41">
        <f>250000</f>
        <v>250000</v>
      </c>
      <c r="G21" s="37">
        <f t="shared" si="1"/>
        <v>2726.578689</v>
      </c>
      <c r="H21" s="11" t="s">
        <v>94</v>
      </c>
    </row>
    <row r="22">
      <c r="A22" s="35" t="s">
        <v>95</v>
      </c>
      <c r="B22" s="11" t="s">
        <v>96</v>
      </c>
      <c r="C22" s="35" t="s">
        <v>29</v>
      </c>
      <c r="D22" s="35" t="s">
        <v>97</v>
      </c>
      <c r="E22" s="36">
        <v>330.22</v>
      </c>
      <c r="F22" s="36">
        <v>400000.0</v>
      </c>
      <c r="G22" s="37">
        <f t="shared" si="1"/>
        <v>1211.31367</v>
      </c>
      <c r="H22" s="11" t="s">
        <v>98</v>
      </c>
    </row>
    <row r="23">
      <c r="A23" s="35" t="s">
        <v>95</v>
      </c>
      <c r="B23" s="11" t="s">
        <v>99</v>
      </c>
      <c r="C23" s="35" t="s">
        <v>33</v>
      </c>
      <c r="D23" s="35" t="s">
        <v>100</v>
      </c>
      <c r="E23" s="36">
        <v>40.52</v>
      </c>
      <c r="F23" s="36">
        <v>200000.0</v>
      </c>
      <c r="G23" s="37">
        <f t="shared" si="1"/>
        <v>4935.834156</v>
      </c>
      <c r="H23" s="11" t="s">
        <v>101</v>
      </c>
    </row>
    <row r="24">
      <c r="A24" s="35" t="s">
        <v>95</v>
      </c>
      <c r="B24" s="11" t="s">
        <v>102</v>
      </c>
      <c r="C24" s="35" t="s">
        <v>29</v>
      </c>
      <c r="D24" s="35" t="s">
        <v>103</v>
      </c>
      <c r="E24" s="36">
        <v>151.96</v>
      </c>
      <c r="F24" s="36">
        <v>200000.0</v>
      </c>
      <c r="G24" s="37">
        <f t="shared" si="1"/>
        <v>1316.135825</v>
      </c>
      <c r="H24" s="11" t="s">
        <v>104</v>
      </c>
    </row>
    <row r="25">
      <c r="A25" s="35" t="s">
        <v>105</v>
      </c>
      <c r="B25" s="11" t="s">
        <v>106</v>
      </c>
      <c r="C25" s="35" t="s">
        <v>29</v>
      </c>
      <c r="D25" s="35" t="s">
        <v>107</v>
      </c>
      <c r="E25" s="41">
        <f>137.4</f>
        <v>137.4</v>
      </c>
      <c r="F25" s="41">
        <f>250000</f>
        <v>250000</v>
      </c>
      <c r="G25" s="37">
        <f t="shared" si="1"/>
        <v>1819.505095</v>
      </c>
      <c r="H25" s="11" t="s">
        <v>108</v>
      </c>
    </row>
    <row r="26">
      <c r="A26" s="35" t="s">
        <v>105</v>
      </c>
      <c r="B26" s="38" t="s">
        <v>109</v>
      </c>
      <c r="C26" s="35" t="s">
        <v>110</v>
      </c>
      <c r="D26" s="35" t="s">
        <v>111</v>
      </c>
      <c r="E26" s="36">
        <v>16.89</v>
      </c>
      <c r="F26" s="36">
        <v>50000.0</v>
      </c>
      <c r="G26" s="37">
        <f t="shared" si="1"/>
        <v>2960.331557</v>
      </c>
      <c r="H26" s="11" t="s">
        <v>112</v>
      </c>
    </row>
    <row r="27">
      <c r="A27" s="35" t="s">
        <v>113</v>
      </c>
      <c r="B27" s="11" t="s">
        <v>114</v>
      </c>
      <c r="C27" s="35" t="s">
        <v>115</v>
      </c>
      <c r="D27" s="35" t="s">
        <v>116</v>
      </c>
      <c r="E27" s="36">
        <v>1273.28</v>
      </c>
      <c r="F27" s="36">
        <v>150000.0</v>
      </c>
      <c r="G27" s="37">
        <f t="shared" si="1"/>
        <v>117.8059814</v>
      </c>
      <c r="H27" s="11" t="s">
        <v>117</v>
      </c>
    </row>
    <row r="28">
      <c r="A28" s="35" t="s">
        <v>113</v>
      </c>
      <c r="B28" s="11" t="s">
        <v>118</v>
      </c>
      <c r="C28" s="35" t="s">
        <v>119</v>
      </c>
      <c r="D28" s="35" t="s">
        <v>120</v>
      </c>
      <c r="E28" s="36">
        <v>11.83</v>
      </c>
      <c r="F28" s="41">
        <f t="shared" ref="F28:F29" si="2">150000</f>
        <v>150000</v>
      </c>
      <c r="G28" s="37">
        <f t="shared" si="1"/>
        <v>12679.62806</v>
      </c>
      <c r="H28" s="11" t="s">
        <v>121</v>
      </c>
    </row>
    <row r="29">
      <c r="A29" s="35" t="s">
        <v>122</v>
      </c>
      <c r="B29" s="11" t="s">
        <v>123</v>
      </c>
      <c r="C29" s="35" t="s">
        <v>29</v>
      </c>
      <c r="D29" s="35" t="s">
        <v>124</v>
      </c>
      <c r="E29" s="41">
        <f>123.18</f>
        <v>123.18</v>
      </c>
      <c r="F29" s="41">
        <f t="shared" si="2"/>
        <v>150000</v>
      </c>
      <c r="G29" s="37">
        <f t="shared" si="1"/>
        <v>1217.730151</v>
      </c>
      <c r="H29" s="11" t="s">
        <v>125</v>
      </c>
    </row>
    <row r="30">
      <c r="A30" s="35" t="s">
        <v>122</v>
      </c>
      <c r="B30" s="11" t="s">
        <v>126</v>
      </c>
      <c r="C30" s="35" t="s">
        <v>29</v>
      </c>
      <c r="D30" s="35" t="s">
        <v>127</v>
      </c>
      <c r="E30" s="36">
        <v>274.11</v>
      </c>
      <c r="F30" s="36">
        <v>150000.0</v>
      </c>
      <c r="G30" s="37">
        <f t="shared" si="1"/>
        <v>547.2255664</v>
      </c>
      <c r="H30" s="11" t="s">
        <v>128</v>
      </c>
    </row>
    <row r="31">
      <c r="B31" s="45"/>
      <c r="E31" s="41"/>
      <c r="F31" s="41"/>
      <c r="G31" s="37"/>
      <c r="H31" s="45"/>
    </row>
    <row r="32">
      <c r="B32" s="45"/>
      <c r="E32" s="41"/>
      <c r="F32" s="41"/>
      <c r="G32" s="37"/>
      <c r="H32" s="45"/>
    </row>
    <row r="33">
      <c r="A33" s="16" t="s">
        <v>129</v>
      </c>
      <c r="B33" s="17"/>
      <c r="C33" s="18"/>
      <c r="D33" s="18"/>
      <c r="E33" s="19"/>
      <c r="F33" s="19"/>
      <c r="G33" s="20"/>
      <c r="H33" s="17"/>
    </row>
    <row r="34">
      <c r="B34" s="45"/>
      <c r="E34" s="41"/>
      <c r="F34" s="41"/>
      <c r="G34" s="37"/>
      <c r="H34" s="45"/>
    </row>
    <row r="35">
      <c r="A35" s="46" t="s">
        <v>19</v>
      </c>
      <c r="B35" s="47" t="s">
        <v>130</v>
      </c>
      <c r="C35" s="48" t="s">
        <v>131</v>
      </c>
      <c r="D35" s="49" t="s">
        <v>132</v>
      </c>
      <c r="F35" s="50" t="s">
        <v>133</v>
      </c>
      <c r="G35" s="47" t="s">
        <v>131</v>
      </c>
      <c r="H35" s="49" t="s">
        <v>132</v>
      </c>
    </row>
    <row r="36">
      <c r="A36" s="51" t="s">
        <v>27</v>
      </c>
      <c r="B36" s="52">
        <f>IFERROR(__xludf.DUMMYFUNCTION("COUNT(FILTER(F$4:F$30,A$4:A$30=A36))"),3.0)</f>
        <v>3</v>
      </c>
      <c r="C36" s="53">
        <f>IFERROR(__xludf.DUMMYFUNCTION("SUM(FILTER(F$4:F$30,A$4:A$30=A36))"),1000000.0)</f>
        <v>1000000</v>
      </c>
      <c r="D36" s="54">
        <f t="shared" ref="D36:D46" si="3">C36/C$47</f>
        <v>0.1666666667</v>
      </c>
      <c r="F36" s="55" t="s">
        <v>29</v>
      </c>
      <c r="G36" s="53">
        <f>IFERROR(__xludf.DUMMYFUNCTION("SUM(FILTER(F$4:F$30,C$4:C$30=""U.S.""))"),3950000.0)</f>
        <v>3950000</v>
      </c>
      <c r="H36" s="54">
        <f>G36/G38</f>
        <v>0.6583333333</v>
      </c>
    </row>
    <row r="37">
      <c r="A37" s="56" t="s">
        <v>39</v>
      </c>
      <c r="B37" s="52">
        <f>IFERROR(__xludf.DUMMYFUNCTION("COUNT(FILTER(F$4:F$30,A$4:A$30=A37))"),2.0)</f>
        <v>2</v>
      </c>
      <c r="C37" s="53">
        <f>IFERROR(__xludf.DUMMYFUNCTION("SUM(FILTER(F$4:F$30,A$4:A$30=A37))"),200000.0)</f>
        <v>200000</v>
      </c>
      <c r="D37" s="54">
        <f t="shared" si="3"/>
        <v>0.03333333333</v>
      </c>
      <c r="F37" s="57" t="s">
        <v>134</v>
      </c>
      <c r="G37" s="58">
        <f>IFERROR(__xludf.DUMMYFUNCTION("SUM(FILTER(F$4:F$30,C$4:C$30&lt;&gt;""U.S.""))"),2050000.0)</f>
        <v>2050000</v>
      </c>
      <c r="H37" s="59">
        <f>G37/G38</f>
        <v>0.3416666667</v>
      </c>
    </row>
    <row r="38">
      <c r="A38" s="56" t="s">
        <v>47</v>
      </c>
      <c r="B38" s="52">
        <f>IFERROR(__xludf.DUMMYFUNCTION("COUNT(FILTER(F$4:F$30,A$4:A$30=A38))"),2.0)</f>
        <v>2</v>
      </c>
      <c r="C38" s="53">
        <f>IFERROR(__xludf.DUMMYFUNCTION("SUM(FILTER(F$4:F$30,A$4:A$30=A38))"),400000.0)</f>
        <v>400000</v>
      </c>
      <c r="D38" s="54">
        <f t="shared" si="3"/>
        <v>0.06666666667</v>
      </c>
      <c r="F38" s="60" t="s">
        <v>135</v>
      </c>
      <c r="G38" s="53">
        <f t="shared" ref="G38:H38" si="4">SUM(G36:G37)</f>
        <v>6000000</v>
      </c>
      <c r="H38" s="61">
        <f t="shared" si="4"/>
        <v>1</v>
      </c>
    </row>
    <row r="39">
      <c r="A39" s="56" t="s">
        <v>54</v>
      </c>
      <c r="B39" s="52">
        <f>IFERROR(__xludf.DUMMYFUNCTION("COUNT(FILTER(F$4:F$30,A$4:A$30=A39))"),3.0)</f>
        <v>3</v>
      </c>
      <c r="C39" s="53">
        <f>IFERROR(__xludf.DUMMYFUNCTION("SUM(FILTER(F$4:F$30,A$4:A$30=A39))"),500000.0)</f>
        <v>500000</v>
      </c>
      <c r="D39" s="54">
        <f t="shared" si="3"/>
        <v>0.08333333333</v>
      </c>
      <c r="F39" s="62"/>
      <c r="G39" s="53"/>
      <c r="H39" s="61"/>
    </row>
    <row r="40">
      <c r="A40" s="56" t="s">
        <v>65</v>
      </c>
      <c r="B40" s="52">
        <f>IFERROR(__xludf.DUMMYFUNCTION("COUNT(FILTER(F$4:F$30,A$4:A$30=A40))"),3.0)</f>
        <v>3</v>
      </c>
      <c r="C40" s="53">
        <f>IFERROR(__xludf.DUMMYFUNCTION("SUM(FILTER(F$4:F$30,A$4:A$30=A40))"),800000.0)</f>
        <v>800000</v>
      </c>
      <c r="D40" s="54">
        <f t="shared" si="3"/>
        <v>0.1333333333</v>
      </c>
      <c r="F40" s="62"/>
      <c r="G40" s="53"/>
      <c r="H40" s="61"/>
    </row>
    <row r="41">
      <c r="A41" s="56" t="s">
        <v>76</v>
      </c>
      <c r="B41" s="52">
        <f>IFERROR(__xludf.DUMMYFUNCTION("COUNT(FILTER(F$4:F$30,A$4:A$30=A41))"),2.0)</f>
        <v>2</v>
      </c>
      <c r="C41" s="53">
        <f>IFERROR(__xludf.DUMMYFUNCTION("SUM(FILTER(F$4:F$30,A$4:A$30=A41))"),400000.0)</f>
        <v>400000</v>
      </c>
      <c r="D41" s="54">
        <f t="shared" si="3"/>
        <v>0.06666666667</v>
      </c>
      <c r="F41" s="62"/>
      <c r="G41" s="53"/>
      <c r="H41" s="61"/>
    </row>
    <row r="42">
      <c r="A42" s="56" t="s">
        <v>84</v>
      </c>
      <c r="B42" s="52">
        <f>IFERROR(__xludf.DUMMYFUNCTION("COUNT(FILTER(F$4:F$30,A$4:A$30=A42))"),3.0)</f>
        <v>3</v>
      </c>
      <c r="C42" s="53">
        <f>IFERROR(__xludf.DUMMYFUNCTION("SUM(FILTER(F$4:F$30,A$4:A$30=A42))"),1000000.0)</f>
        <v>1000000</v>
      </c>
      <c r="D42" s="54">
        <f t="shared" si="3"/>
        <v>0.1666666667</v>
      </c>
      <c r="F42" s="62"/>
      <c r="G42" s="53"/>
      <c r="H42" s="61"/>
    </row>
    <row r="43">
      <c r="A43" s="56" t="s">
        <v>95</v>
      </c>
      <c r="B43" s="52">
        <f>IFERROR(__xludf.DUMMYFUNCTION("COUNT(FILTER(F$4:F$30,A$4:A$30=A43))"),3.0)</f>
        <v>3</v>
      </c>
      <c r="C43" s="53">
        <f>IFERROR(__xludf.DUMMYFUNCTION("SUM(FILTER(F$4:F$30,A$4:A$30=A43))"),800000.0)</f>
        <v>800000</v>
      </c>
      <c r="D43" s="54">
        <f t="shared" si="3"/>
        <v>0.1333333333</v>
      </c>
      <c r="F43" s="62"/>
      <c r="G43" s="53"/>
      <c r="H43" s="61"/>
    </row>
    <row r="44">
      <c r="A44" s="56" t="s">
        <v>105</v>
      </c>
      <c r="B44" s="52">
        <f>IFERROR(__xludf.DUMMYFUNCTION("COUNT(FILTER(F$4:F$30,A$4:A$30=A44))"),2.0)</f>
        <v>2</v>
      </c>
      <c r="C44" s="53">
        <f>IFERROR(__xludf.DUMMYFUNCTION("SUM(FILTER(F$4:F$30,A$4:A$30=A44))"),300000.0)</f>
        <v>300000</v>
      </c>
      <c r="D44" s="54">
        <f t="shared" si="3"/>
        <v>0.05</v>
      </c>
      <c r="F44" s="62"/>
      <c r="G44" s="53"/>
      <c r="H44" s="61"/>
    </row>
    <row r="45">
      <c r="A45" s="56" t="s">
        <v>113</v>
      </c>
      <c r="B45" s="52">
        <f>IFERROR(__xludf.DUMMYFUNCTION("COUNT(FILTER(F$4:F$30,A$4:A$30=A45))"),2.0)</f>
        <v>2</v>
      </c>
      <c r="C45" s="53">
        <f>IFERROR(__xludf.DUMMYFUNCTION("SUM(FILTER(F$4:F$30,A$4:A$30=A45))"),300000.0)</f>
        <v>300000</v>
      </c>
      <c r="D45" s="54">
        <f t="shared" si="3"/>
        <v>0.05</v>
      </c>
      <c r="F45" s="62"/>
      <c r="G45" s="53"/>
      <c r="H45" s="61"/>
    </row>
    <row r="46">
      <c r="A46" s="63" t="s">
        <v>122</v>
      </c>
      <c r="B46" s="64">
        <f>IFERROR(__xludf.DUMMYFUNCTION("COUNT(FILTER(F$4:F$30,A$4:A$30=A46))"),2.0)</f>
        <v>2</v>
      </c>
      <c r="C46" s="58">
        <f>IFERROR(__xludf.DUMMYFUNCTION("SUM(FILTER(F$4:F$30,A$4:A$30=A46))"),300000.0)</f>
        <v>300000</v>
      </c>
      <c r="D46" s="54">
        <f t="shared" si="3"/>
        <v>0.05</v>
      </c>
      <c r="F46" s="62"/>
      <c r="G46" s="53"/>
      <c r="H46" s="61"/>
    </row>
    <row r="47">
      <c r="A47" s="65" t="s">
        <v>135</v>
      </c>
      <c r="B47" s="66">
        <f t="shared" ref="B47:D47" si="5">SUM(B36:B46)</f>
        <v>27</v>
      </c>
      <c r="C47" s="67">
        <f t="shared" si="5"/>
        <v>6000000</v>
      </c>
      <c r="D47" s="68">
        <f t="shared" si="5"/>
        <v>1</v>
      </c>
      <c r="E47" s="65"/>
      <c r="F47" s="53"/>
      <c r="G47" s="61"/>
      <c r="H47" s="45"/>
    </row>
  </sheetData>
  <autoFilter ref="$A$3:$H$3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16.25"/>
    <col customWidth="1" min="4" max="4" width="17.5"/>
    <col customWidth="1" min="5" max="5" width="17.38"/>
    <col customWidth="1" min="6" max="6" width="59.5"/>
  </cols>
  <sheetData>
    <row r="1">
      <c r="A1" s="16" t="s">
        <v>136</v>
      </c>
      <c r="B1" s="17"/>
      <c r="C1" s="18"/>
      <c r="D1" s="18"/>
      <c r="E1" s="19"/>
      <c r="F1" s="19"/>
    </row>
    <row r="2">
      <c r="A2" s="23"/>
      <c r="B2" s="23"/>
      <c r="C2" s="25"/>
      <c r="D2" s="25"/>
      <c r="E2" s="26"/>
      <c r="F2" s="27"/>
    </row>
    <row r="3">
      <c r="A3" s="69" t="s">
        <v>137</v>
      </c>
      <c r="B3" s="69" t="s">
        <v>138</v>
      </c>
      <c r="C3" s="70" t="s">
        <v>139</v>
      </c>
      <c r="D3" s="70" t="s">
        <v>140</v>
      </c>
      <c r="E3" s="71" t="s">
        <v>141</v>
      </c>
      <c r="F3" s="72" t="s">
        <v>26</v>
      </c>
    </row>
    <row r="4">
      <c r="A4" s="35" t="s">
        <v>142</v>
      </c>
      <c r="B4" s="35" t="s">
        <v>143</v>
      </c>
      <c r="C4" s="36">
        <v>26557.04</v>
      </c>
      <c r="D4" s="36">
        <v>200000.0</v>
      </c>
      <c r="E4" s="37">
        <f t="shared" ref="E4:E5" si="1">D4/C4</f>
        <v>7.530959776</v>
      </c>
      <c r="F4" s="11" t="s">
        <v>144</v>
      </c>
    </row>
    <row r="5">
      <c r="A5" s="35" t="s">
        <v>145</v>
      </c>
      <c r="B5" s="35" t="s">
        <v>146</v>
      </c>
      <c r="C5" s="36">
        <v>1635.17</v>
      </c>
      <c r="D5" s="36">
        <v>200000.0</v>
      </c>
      <c r="E5" s="37">
        <f t="shared" si="1"/>
        <v>122.3114416</v>
      </c>
      <c r="F5" s="11" t="s">
        <v>147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8.88"/>
    <col customWidth="1" min="2" max="2" width="17.88"/>
    <col customWidth="1" min="3" max="3" width="14.13"/>
    <col customWidth="1" min="4" max="4" width="18.0"/>
    <col customWidth="1" min="5" max="5" width="17.5"/>
    <col customWidth="1" min="6" max="6" width="18.0"/>
    <col customWidth="1" min="7" max="7" width="38.13"/>
  </cols>
  <sheetData>
    <row r="1">
      <c r="A1" s="73" t="s">
        <v>148</v>
      </c>
      <c r="B1" s="18"/>
      <c r="C1" s="18"/>
      <c r="D1" s="19"/>
      <c r="E1" s="19"/>
      <c r="F1" s="20"/>
      <c r="G1" s="17"/>
    </row>
    <row r="2">
      <c r="A2" s="22"/>
      <c r="B2" s="23"/>
      <c r="C2" s="24"/>
      <c r="D2" s="25"/>
      <c r="E2" s="25"/>
      <c r="F2" s="26"/>
      <c r="G2" s="27"/>
    </row>
    <row r="3">
      <c r="A3" s="29" t="s">
        <v>149</v>
      </c>
      <c r="B3" s="30" t="s">
        <v>150</v>
      </c>
      <c r="C3" s="31" t="s">
        <v>138</v>
      </c>
      <c r="D3" s="32" t="s">
        <v>23</v>
      </c>
      <c r="E3" s="32" t="s">
        <v>24</v>
      </c>
      <c r="F3" s="33" t="s">
        <v>25</v>
      </c>
      <c r="G3" s="34" t="s">
        <v>26</v>
      </c>
    </row>
    <row r="4">
      <c r="A4" s="11" t="s">
        <v>151</v>
      </c>
      <c r="B4" s="35" t="s">
        <v>29</v>
      </c>
      <c r="C4" s="35" t="s">
        <v>152</v>
      </c>
      <c r="D4" s="36">
        <v>21.77</v>
      </c>
      <c r="E4" s="36">
        <v>500000.0</v>
      </c>
      <c r="F4" s="74">
        <f t="shared" ref="F4:F6" si="1">E4/D4</f>
        <v>22967.38631</v>
      </c>
      <c r="G4" s="11" t="s">
        <v>153</v>
      </c>
    </row>
    <row r="5">
      <c r="A5" s="75" t="s">
        <v>154</v>
      </c>
      <c r="B5" s="35" t="s">
        <v>134</v>
      </c>
      <c r="C5" s="35" t="s">
        <v>155</v>
      </c>
      <c r="D5" s="36">
        <v>48.27</v>
      </c>
      <c r="E5" s="36">
        <v>500000.0</v>
      </c>
      <c r="F5" s="37">
        <f t="shared" si="1"/>
        <v>10358.40066</v>
      </c>
      <c r="G5" s="11" t="s">
        <v>156</v>
      </c>
    </row>
    <row r="6">
      <c r="A6" s="75" t="s">
        <v>157</v>
      </c>
      <c r="B6" s="35" t="s">
        <v>29</v>
      </c>
      <c r="C6" s="35" t="s">
        <v>158</v>
      </c>
      <c r="D6" s="36">
        <v>104.37</v>
      </c>
      <c r="E6" s="36">
        <v>600000.0</v>
      </c>
      <c r="F6" s="37">
        <f t="shared" si="1"/>
        <v>5748.778385</v>
      </c>
      <c r="G6" s="11" t="s">
        <v>159</v>
      </c>
    </row>
    <row r="7">
      <c r="A7" s="11"/>
      <c r="D7" s="41"/>
      <c r="E7" s="36"/>
      <c r="F7" s="37"/>
      <c r="G7" s="11"/>
    </row>
    <row r="8">
      <c r="A8" s="45"/>
      <c r="D8" s="41"/>
      <c r="E8" s="41"/>
      <c r="F8" s="37"/>
      <c r="G8" s="45"/>
    </row>
    <row r="9">
      <c r="A9" s="45"/>
      <c r="D9" s="41"/>
      <c r="E9" s="41"/>
      <c r="F9" s="37"/>
      <c r="G9" s="45"/>
    </row>
    <row r="10">
      <c r="A10" s="16" t="s">
        <v>129</v>
      </c>
      <c r="B10" s="17"/>
      <c r="C10" s="18"/>
      <c r="D10" s="19"/>
      <c r="E10" s="19"/>
      <c r="F10" s="19"/>
      <c r="G10" s="20"/>
    </row>
    <row r="11">
      <c r="A11" s="41"/>
      <c r="B11" s="37"/>
      <c r="D11" s="41"/>
      <c r="E11" s="41"/>
      <c r="F11" s="76"/>
      <c r="G11" s="77"/>
    </row>
    <row r="12">
      <c r="A12" s="50" t="s">
        <v>133</v>
      </c>
      <c r="B12" s="78" t="s">
        <v>131</v>
      </c>
      <c r="C12" s="79"/>
      <c r="D12" s="80"/>
      <c r="F12" s="60"/>
      <c r="G12" s="81"/>
    </row>
    <row r="13">
      <c r="A13" s="55" t="s">
        <v>29</v>
      </c>
      <c r="B13" s="82">
        <f>IFERROR(__xludf.DUMMYFUNCTION("SUM(FILTER(E4:E6,B4:B6=A13))"),1100000.0)</f>
        <v>1100000</v>
      </c>
      <c r="C13" s="83"/>
      <c r="D13" s="83"/>
      <c r="F13" s="84"/>
      <c r="G13" s="83"/>
    </row>
    <row r="14">
      <c r="A14" s="57" t="s">
        <v>134</v>
      </c>
      <c r="B14" s="85">
        <f>IFERROR(__xludf.DUMMYFUNCTION("SUM(FILTER(E5:E7,B5:B7=A14))"),500000.0)</f>
        <v>500000</v>
      </c>
      <c r="C14" s="83"/>
      <c r="D14" s="83"/>
      <c r="F14" s="86"/>
      <c r="G14" s="83"/>
    </row>
    <row r="15">
      <c r="A15" s="60" t="s">
        <v>135</v>
      </c>
      <c r="B15" s="53">
        <f>SUM(B13:B14)</f>
        <v>1600000</v>
      </c>
      <c r="C15" s="83"/>
      <c r="D15" s="83"/>
      <c r="F15" s="60"/>
      <c r="G15" s="83"/>
    </row>
    <row r="16">
      <c r="A16" s="62"/>
      <c r="B16" s="52"/>
      <c r="C16" s="83"/>
      <c r="D16" s="83"/>
      <c r="F16" s="62"/>
      <c r="G16" s="83"/>
    </row>
    <row r="17">
      <c r="A17" s="62"/>
      <c r="B17" s="52"/>
      <c r="C17" s="83"/>
      <c r="D17" s="83"/>
      <c r="F17" s="62"/>
      <c r="G17" s="83"/>
    </row>
    <row r="18">
      <c r="A18" s="62"/>
      <c r="B18" s="52"/>
      <c r="C18" s="83"/>
      <c r="D18" s="83"/>
      <c r="F18" s="62"/>
      <c r="G18" s="83"/>
    </row>
    <row r="19">
      <c r="A19" s="62"/>
      <c r="B19" s="52"/>
      <c r="C19" s="83"/>
      <c r="D19" s="83"/>
      <c r="F19" s="62"/>
      <c r="G19" s="53"/>
    </row>
    <row r="20">
      <c r="A20" s="62"/>
      <c r="B20" s="52"/>
      <c r="C20" s="83"/>
      <c r="D20" s="83"/>
      <c r="F20" s="62"/>
      <c r="G20" s="53"/>
    </row>
    <row r="21">
      <c r="A21" s="62"/>
      <c r="B21" s="52"/>
      <c r="C21" s="83"/>
      <c r="D21" s="83"/>
      <c r="F21" s="62"/>
      <c r="G21" s="53"/>
    </row>
    <row r="22">
      <c r="A22" s="62"/>
      <c r="B22" s="52"/>
      <c r="C22" s="83"/>
      <c r="D22" s="83"/>
      <c r="F22" s="62"/>
      <c r="G22" s="53"/>
    </row>
    <row r="23">
      <c r="A23" s="62"/>
      <c r="B23" s="52"/>
      <c r="C23" s="83"/>
      <c r="D23" s="83"/>
      <c r="F23" s="62"/>
      <c r="G23" s="53"/>
    </row>
    <row r="24">
      <c r="A24" s="65"/>
      <c r="B24" s="87"/>
      <c r="C24" s="83"/>
      <c r="D24" s="83"/>
      <c r="E24" s="65"/>
      <c r="F24" s="53"/>
      <c r="G24" s="61"/>
    </row>
  </sheetData>
  <autoFilter ref="$A$3:$G$7"/>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63"/>
  </cols>
  <sheetData>
    <row r="1">
      <c r="A1" s="35" t="s">
        <v>160</v>
      </c>
    </row>
    <row r="3">
      <c r="A3" s="88" t="s">
        <v>161</v>
      </c>
      <c r="B3" s="88" t="s">
        <v>162</v>
      </c>
    </row>
    <row r="4">
      <c r="A4" s="35" t="s">
        <v>163</v>
      </c>
      <c r="B4" s="36">
        <v>7500.0</v>
      </c>
    </row>
    <row r="5">
      <c r="A5" s="35" t="s">
        <v>164</v>
      </c>
      <c r="B5" s="36">
        <v>1500.0</v>
      </c>
    </row>
    <row r="6">
      <c r="A6" s="35" t="s">
        <v>165</v>
      </c>
      <c r="B6" s="36">
        <v>5000.0</v>
      </c>
    </row>
    <row r="7">
      <c r="A7" s="35" t="s">
        <v>166</v>
      </c>
      <c r="B7" s="36">
        <v>3000.0</v>
      </c>
    </row>
    <row r="8">
      <c r="A8" s="35" t="s">
        <v>167</v>
      </c>
      <c r="B8" s="36">
        <v>4000.0</v>
      </c>
    </row>
    <row r="9">
      <c r="A9" s="89" t="s">
        <v>168</v>
      </c>
      <c r="B9" s="90">
        <v>4000.0</v>
      </c>
    </row>
    <row r="10">
      <c r="A10" s="91" t="s">
        <v>169</v>
      </c>
      <c r="B10" s="41">
        <f>SUM(B4:B9)</f>
        <v>25000</v>
      </c>
    </row>
    <row r="11">
      <c r="A11" s="92"/>
      <c r="B11" s="93"/>
    </row>
    <row r="12">
      <c r="A12" s="94" t="s">
        <v>170</v>
      </c>
      <c r="B12" s="95">
        <f>'Overall Strategy'!D18</f>
        <v>1262000</v>
      </c>
    </row>
    <row r="13">
      <c r="A13" s="96" t="s">
        <v>171</v>
      </c>
      <c r="B13" s="97">
        <f>'Overall Strategy'!D18/(B10 * 12)</f>
        <v>4.206666667</v>
      </c>
    </row>
    <row r="15">
      <c r="A15" s="98" t="s">
        <v>172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0"/>
    <col customWidth="1" min="2" max="2" width="23.88"/>
    <col customWidth="1" min="3" max="3" width="24.25"/>
    <col customWidth="1" min="4" max="4" width="18.63"/>
    <col customWidth="1" min="7" max="7" width="15.13"/>
    <col customWidth="1" min="8" max="8" width="18.13"/>
  </cols>
  <sheetData>
    <row r="1">
      <c r="A1" s="28" t="s">
        <v>173</v>
      </c>
      <c r="B1" s="28" t="s">
        <v>174</v>
      </c>
      <c r="C1" s="29" t="s">
        <v>175</v>
      </c>
      <c r="D1" s="30" t="s">
        <v>176</v>
      </c>
      <c r="E1" s="31" t="s">
        <v>177</v>
      </c>
      <c r="F1" s="31" t="s">
        <v>178</v>
      </c>
      <c r="G1" s="31" t="s">
        <v>179</v>
      </c>
      <c r="H1" s="31" t="s">
        <v>180</v>
      </c>
    </row>
    <row r="2">
      <c r="A2" s="35" t="s">
        <v>181</v>
      </c>
      <c r="B2" s="35" t="s">
        <v>27</v>
      </c>
      <c r="C2" s="11" t="s">
        <v>28</v>
      </c>
      <c r="D2" s="35" t="s">
        <v>29</v>
      </c>
      <c r="E2" s="35" t="s">
        <v>30</v>
      </c>
      <c r="F2" s="35">
        <v>116.7</v>
      </c>
      <c r="G2" s="35">
        <v>400000.0</v>
      </c>
      <c r="H2" s="99">
        <f t="shared" ref="H2:H33" si="1">G2/F2</f>
        <v>3427.592117</v>
      </c>
    </row>
    <row r="3">
      <c r="A3" s="35" t="s">
        <v>181</v>
      </c>
      <c r="B3" s="35" t="s">
        <v>27</v>
      </c>
      <c r="C3" s="11" t="s">
        <v>32</v>
      </c>
      <c r="D3" s="35" t="s">
        <v>33</v>
      </c>
      <c r="E3" s="35" t="s">
        <v>34</v>
      </c>
      <c r="F3" s="35">
        <v>0.66</v>
      </c>
      <c r="G3" s="35">
        <v>400000.0</v>
      </c>
      <c r="H3" s="99">
        <f t="shared" si="1"/>
        <v>606060.6061</v>
      </c>
    </row>
    <row r="4">
      <c r="A4" s="35" t="s">
        <v>181</v>
      </c>
      <c r="B4" s="35" t="s">
        <v>27</v>
      </c>
      <c r="C4" s="11" t="s">
        <v>36</v>
      </c>
      <c r="D4" s="35" t="s">
        <v>29</v>
      </c>
      <c r="E4" s="35" t="s">
        <v>37</v>
      </c>
      <c r="F4" s="35">
        <v>68.64</v>
      </c>
      <c r="G4" s="35">
        <v>200000.0</v>
      </c>
      <c r="H4" s="99">
        <f t="shared" si="1"/>
        <v>2913.752914</v>
      </c>
    </row>
    <row r="5">
      <c r="A5" s="35" t="s">
        <v>181</v>
      </c>
      <c r="B5" s="35" t="s">
        <v>39</v>
      </c>
      <c r="C5" s="11" t="s">
        <v>40</v>
      </c>
      <c r="D5" s="35" t="s">
        <v>41</v>
      </c>
      <c r="E5" s="35" t="s">
        <v>42</v>
      </c>
      <c r="F5" s="35">
        <v>58.45</v>
      </c>
      <c r="G5" s="35">
        <v>100000.0</v>
      </c>
      <c r="H5" s="99">
        <f t="shared" si="1"/>
        <v>1710.863986</v>
      </c>
    </row>
    <row r="6">
      <c r="A6" s="35" t="s">
        <v>181</v>
      </c>
      <c r="B6" s="35" t="s">
        <v>39</v>
      </c>
      <c r="C6" s="38" t="s">
        <v>44</v>
      </c>
      <c r="D6" s="38" t="s">
        <v>29</v>
      </c>
      <c r="E6" s="35" t="s">
        <v>45</v>
      </c>
      <c r="F6" s="35">
        <v>302.11</v>
      </c>
      <c r="G6" s="35">
        <v>100000.0</v>
      </c>
      <c r="H6" s="99">
        <f t="shared" si="1"/>
        <v>331.005263</v>
      </c>
    </row>
    <row r="7">
      <c r="A7" s="35" t="s">
        <v>181</v>
      </c>
      <c r="B7" s="35" t="s">
        <v>47</v>
      </c>
      <c r="C7" s="11" t="s">
        <v>48</v>
      </c>
      <c r="D7" s="35" t="s">
        <v>29</v>
      </c>
      <c r="E7" s="35" t="s">
        <v>49</v>
      </c>
      <c r="F7" s="35">
        <v>75.8</v>
      </c>
      <c r="G7" s="35">
        <v>200000.0</v>
      </c>
      <c r="H7" s="99">
        <f t="shared" si="1"/>
        <v>2638.522427</v>
      </c>
    </row>
    <row r="8">
      <c r="A8" s="35" t="s">
        <v>181</v>
      </c>
      <c r="B8" s="35" t="s">
        <v>47</v>
      </c>
      <c r="C8" s="11" t="s">
        <v>51</v>
      </c>
      <c r="D8" s="35" t="s">
        <v>29</v>
      </c>
      <c r="E8" s="35" t="s">
        <v>52</v>
      </c>
      <c r="F8" s="35">
        <v>213.32</v>
      </c>
      <c r="G8" s="35">
        <v>200000.0</v>
      </c>
      <c r="H8" s="99">
        <f t="shared" si="1"/>
        <v>937.5585974</v>
      </c>
    </row>
    <row r="9">
      <c r="A9" s="35" t="s">
        <v>181</v>
      </c>
      <c r="B9" s="39" t="s">
        <v>54</v>
      </c>
      <c r="C9" s="40" t="s">
        <v>182</v>
      </c>
      <c r="D9" s="35" t="s">
        <v>29</v>
      </c>
      <c r="E9" s="35" t="s">
        <v>56</v>
      </c>
      <c r="F9" s="35">
        <v>140.39</v>
      </c>
      <c r="G9" s="99">
        <f>300000</f>
        <v>300000</v>
      </c>
      <c r="H9" s="99">
        <f t="shared" si="1"/>
        <v>2136.904338</v>
      </c>
    </row>
    <row r="10">
      <c r="A10" s="35" t="s">
        <v>181</v>
      </c>
      <c r="B10" s="35" t="s">
        <v>54</v>
      </c>
      <c r="C10" s="11" t="s">
        <v>58</v>
      </c>
      <c r="D10" s="35" t="s">
        <v>29</v>
      </c>
      <c r="E10" s="35" t="s">
        <v>59</v>
      </c>
      <c r="F10" s="35">
        <v>274.39</v>
      </c>
      <c r="G10" s="35">
        <v>100000.0</v>
      </c>
      <c r="H10" s="99">
        <f t="shared" si="1"/>
        <v>364.4447684</v>
      </c>
    </row>
    <row r="11">
      <c r="A11" s="35" t="s">
        <v>181</v>
      </c>
      <c r="B11" s="35" t="s">
        <v>54</v>
      </c>
      <c r="C11" s="42" t="s">
        <v>61</v>
      </c>
      <c r="D11" s="35" t="s">
        <v>62</v>
      </c>
      <c r="E11" s="35" t="s">
        <v>63</v>
      </c>
      <c r="F11" s="35">
        <v>202.17</v>
      </c>
      <c r="G11" s="35">
        <v>100000.0</v>
      </c>
      <c r="H11" s="99">
        <f t="shared" si="1"/>
        <v>494.6332295</v>
      </c>
    </row>
    <row r="12">
      <c r="A12" s="35" t="s">
        <v>181</v>
      </c>
      <c r="B12" s="35" t="s">
        <v>65</v>
      </c>
      <c r="C12" s="38" t="s">
        <v>66</v>
      </c>
      <c r="D12" s="35" t="s">
        <v>67</v>
      </c>
      <c r="E12" s="35" t="s">
        <v>68</v>
      </c>
      <c r="F12" s="35">
        <v>56.87</v>
      </c>
      <c r="G12" s="35">
        <v>300000.0</v>
      </c>
      <c r="H12" s="99">
        <f t="shared" si="1"/>
        <v>5275.189028</v>
      </c>
    </row>
    <row r="13">
      <c r="A13" s="35" t="s">
        <v>181</v>
      </c>
      <c r="B13" s="35" t="s">
        <v>65</v>
      </c>
      <c r="C13" s="11" t="s">
        <v>70</v>
      </c>
      <c r="D13" s="35" t="s">
        <v>29</v>
      </c>
      <c r="E13" s="35" t="s">
        <v>71</v>
      </c>
      <c r="F13" s="35">
        <v>153.47</v>
      </c>
      <c r="G13" s="99">
        <f>400000</f>
        <v>400000</v>
      </c>
      <c r="H13" s="99">
        <f t="shared" si="1"/>
        <v>2606.372581</v>
      </c>
    </row>
    <row r="14">
      <c r="A14" s="35" t="s">
        <v>181</v>
      </c>
      <c r="B14" s="35" t="s">
        <v>65</v>
      </c>
      <c r="C14" s="43" t="s">
        <v>73</v>
      </c>
      <c r="D14" s="35" t="s">
        <v>29</v>
      </c>
      <c r="E14" s="35" t="s">
        <v>74</v>
      </c>
      <c r="F14" s="35">
        <v>6.31</v>
      </c>
      <c r="G14" s="35">
        <v>100000.0</v>
      </c>
      <c r="H14" s="99">
        <f t="shared" si="1"/>
        <v>15847.86054</v>
      </c>
    </row>
    <row r="15">
      <c r="A15" s="35" t="s">
        <v>181</v>
      </c>
      <c r="B15" s="35" t="s">
        <v>76</v>
      </c>
      <c r="C15" s="11" t="s">
        <v>77</v>
      </c>
      <c r="D15" s="35" t="s">
        <v>29</v>
      </c>
      <c r="E15" s="35" t="s">
        <v>78</v>
      </c>
      <c r="F15" s="35">
        <v>34.07</v>
      </c>
      <c r="G15" s="35">
        <v>300000.0</v>
      </c>
      <c r="H15" s="99">
        <f t="shared" si="1"/>
        <v>8805.400646</v>
      </c>
    </row>
    <row r="16">
      <c r="A16" s="35" t="s">
        <v>181</v>
      </c>
      <c r="B16" s="35" t="s">
        <v>76</v>
      </c>
      <c r="C16" s="11" t="s">
        <v>80</v>
      </c>
      <c r="D16" s="35" t="s">
        <v>81</v>
      </c>
      <c r="E16" s="35" t="s">
        <v>82</v>
      </c>
      <c r="F16" s="35">
        <v>2.44</v>
      </c>
      <c r="G16" s="35">
        <v>100000.0</v>
      </c>
      <c r="H16" s="99">
        <f t="shared" si="1"/>
        <v>40983.60656</v>
      </c>
    </row>
    <row r="17">
      <c r="A17" s="35" t="s">
        <v>181</v>
      </c>
      <c r="B17" s="35" t="s">
        <v>84</v>
      </c>
      <c r="C17" s="38" t="s">
        <v>85</v>
      </c>
      <c r="D17" s="35" t="s">
        <v>29</v>
      </c>
      <c r="E17" s="35" t="s">
        <v>86</v>
      </c>
      <c r="F17" s="100">
        <v>559500.0</v>
      </c>
      <c r="G17" s="35">
        <v>500000.0</v>
      </c>
      <c r="H17" s="99">
        <f t="shared" si="1"/>
        <v>0.8936550492</v>
      </c>
    </row>
    <row r="18">
      <c r="A18" s="35" t="s">
        <v>181</v>
      </c>
      <c r="B18" s="35" t="s">
        <v>84</v>
      </c>
      <c r="C18" s="38" t="s">
        <v>88</v>
      </c>
      <c r="D18" s="35" t="s">
        <v>33</v>
      </c>
      <c r="E18" s="35" t="s">
        <v>89</v>
      </c>
      <c r="F18" s="35">
        <v>9.63</v>
      </c>
      <c r="G18" s="35">
        <v>250000.0</v>
      </c>
      <c r="H18" s="99">
        <f t="shared" si="1"/>
        <v>25960.53998</v>
      </c>
    </row>
    <row r="19">
      <c r="A19" s="35" t="s">
        <v>181</v>
      </c>
      <c r="B19" s="35" t="s">
        <v>84</v>
      </c>
      <c r="C19" s="11" t="s">
        <v>91</v>
      </c>
      <c r="D19" s="35" t="s">
        <v>92</v>
      </c>
      <c r="E19" s="35" t="s">
        <v>93</v>
      </c>
      <c r="F19" s="35">
        <v>91.69</v>
      </c>
      <c r="G19" s="99">
        <f>250000</f>
        <v>250000</v>
      </c>
      <c r="H19" s="99">
        <f t="shared" si="1"/>
        <v>2726.578689</v>
      </c>
    </row>
    <row r="20">
      <c r="A20" s="35" t="s">
        <v>181</v>
      </c>
      <c r="B20" s="35" t="s">
        <v>95</v>
      </c>
      <c r="C20" s="11" t="s">
        <v>96</v>
      </c>
      <c r="D20" s="35" t="s">
        <v>29</v>
      </c>
      <c r="E20" s="35" t="s">
        <v>97</v>
      </c>
      <c r="F20" s="35">
        <v>330.22</v>
      </c>
      <c r="G20" s="35">
        <v>400000.0</v>
      </c>
      <c r="H20" s="99">
        <f t="shared" si="1"/>
        <v>1211.31367</v>
      </c>
    </row>
    <row r="21">
      <c r="A21" s="35" t="s">
        <v>181</v>
      </c>
      <c r="B21" s="35" t="s">
        <v>95</v>
      </c>
      <c r="C21" s="11" t="s">
        <v>99</v>
      </c>
      <c r="D21" s="35" t="s">
        <v>33</v>
      </c>
      <c r="E21" s="35" t="s">
        <v>100</v>
      </c>
      <c r="F21" s="35">
        <v>40.52</v>
      </c>
      <c r="G21" s="35">
        <v>200000.0</v>
      </c>
      <c r="H21" s="99">
        <f t="shared" si="1"/>
        <v>4935.834156</v>
      </c>
    </row>
    <row r="22">
      <c r="A22" s="35" t="s">
        <v>181</v>
      </c>
      <c r="B22" s="35" t="s">
        <v>95</v>
      </c>
      <c r="C22" s="11" t="s">
        <v>102</v>
      </c>
      <c r="D22" s="35" t="s">
        <v>29</v>
      </c>
      <c r="E22" s="35" t="s">
        <v>103</v>
      </c>
      <c r="F22" s="35">
        <v>151.96</v>
      </c>
      <c r="G22" s="35">
        <v>200000.0</v>
      </c>
      <c r="H22" s="99">
        <f t="shared" si="1"/>
        <v>1316.135825</v>
      </c>
    </row>
    <row r="23">
      <c r="A23" s="35" t="s">
        <v>181</v>
      </c>
      <c r="B23" s="35" t="s">
        <v>105</v>
      </c>
      <c r="C23" s="11" t="s">
        <v>106</v>
      </c>
      <c r="D23" s="35" t="s">
        <v>29</v>
      </c>
      <c r="E23" s="35" t="s">
        <v>107</v>
      </c>
      <c r="F23" s="99">
        <f>137.4</f>
        <v>137.4</v>
      </c>
      <c r="G23" s="99">
        <f>250000</f>
        <v>250000</v>
      </c>
      <c r="H23" s="99">
        <f t="shared" si="1"/>
        <v>1819.505095</v>
      </c>
    </row>
    <row r="24">
      <c r="A24" s="35" t="s">
        <v>181</v>
      </c>
      <c r="B24" s="35" t="s">
        <v>105</v>
      </c>
      <c r="C24" s="38" t="s">
        <v>109</v>
      </c>
      <c r="D24" s="35" t="s">
        <v>110</v>
      </c>
      <c r="E24" s="35" t="s">
        <v>111</v>
      </c>
      <c r="F24" s="35">
        <v>16.89</v>
      </c>
      <c r="G24" s="35">
        <v>50000.0</v>
      </c>
      <c r="H24" s="99">
        <f t="shared" si="1"/>
        <v>2960.331557</v>
      </c>
    </row>
    <row r="25">
      <c r="A25" s="35" t="s">
        <v>181</v>
      </c>
      <c r="B25" s="35" t="s">
        <v>113</v>
      </c>
      <c r="C25" s="11" t="s">
        <v>114</v>
      </c>
      <c r="D25" s="35" t="s">
        <v>115</v>
      </c>
      <c r="E25" s="35" t="s">
        <v>116</v>
      </c>
      <c r="F25" s="35">
        <v>1273.28</v>
      </c>
      <c r="G25" s="35">
        <v>150000.0</v>
      </c>
      <c r="H25" s="99">
        <f t="shared" si="1"/>
        <v>117.8059814</v>
      </c>
    </row>
    <row r="26">
      <c r="A26" s="35" t="s">
        <v>181</v>
      </c>
      <c r="B26" s="35" t="s">
        <v>113</v>
      </c>
      <c r="C26" s="11" t="s">
        <v>118</v>
      </c>
      <c r="D26" s="35" t="s">
        <v>119</v>
      </c>
      <c r="E26" s="35" t="s">
        <v>120</v>
      </c>
      <c r="F26" s="35">
        <v>11.83</v>
      </c>
      <c r="G26" s="99">
        <f t="shared" ref="G26:G27" si="2">150000</f>
        <v>150000</v>
      </c>
      <c r="H26" s="99">
        <f t="shared" si="1"/>
        <v>12679.62806</v>
      </c>
    </row>
    <row r="27">
      <c r="A27" s="35" t="s">
        <v>181</v>
      </c>
      <c r="B27" s="35" t="s">
        <v>122</v>
      </c>
      <c r="C27" s="11" t="s">
        <v>123</v>
      </c>
      <c r="D27" s="35" t="s">
        <v>29</v>
      </c>
      <c r="E27" s="35" t="s">
        <v>124</v>
      </c>
      <c r="F27" s="99">
        <f>123.18</f>
        <v>123.18</v>
      </c>
      <c r="G27" s="99">
        <f t="shared" si="2"/>
        <v>150000</v>
      </c>
      <c r="H27" s="99">
        <f t="shared" si="1"/>
        <v>1217.730151</v>
      </c>
    </row>
    <row r="28">
      <c r="A28" s="35" t="s">
        <v>181</v>
      </c>
      <c r="B28" s="35" t="s">
        <v>122</v>
      </c>
      <c r="C28" s="11" t="s">
        <v>126</v>
      </c>
      <c r="D28" s="35" t="s">
        <v>29</v>
      </c>
      <c r="E28" s="35" t="s">
        <v>127</v>
      </c>
      <c r="F28" s="35">
        <v>274.11</v>
      </c>
      <c r="G28" s="35">
        <v>150000.0</v>
      </c>
      <c r="H28" s="99">
        <f t="shared" si="1"/>
        <v>547.2255664</v>
      </c>
    </row>
    <row r="29">
      <c r="A29" s="35" t="s">
        <v>183</v>
      </c>
      <c r="B29" s="35" t="s">
        <v>17</v>
      </c>
      <c r="C29" s="101" t="s">
        <v>142</v>
      </c>
      <c r="D29" s="102" t="s">
        <v>17</v>
      </c>
      <c r="E29" s="102" t="s">
        <v>143</v>
      </c>
      <c r="F29" s="103">
        <v>26557.04</v>
      </c>
      <c r="G29" s="103">
        <v>200000.0</v>
      </c>
      <c r="H29" s="103">
        <f t="shared" si="1"/>
        <v>7.530959776</v>
      </c>
    </row>
    <row r="30">
      <c r="A30" s="35" t="s">
        <v>183</v>
      </c>
      <c r="B30" s="35" t="s">
        <v>17</v>
      </c>
      <c r="C30" s="101" t="s">
        <v>145</v>
      </c>
      <c r="D30" s="102" t="s">
        <v>17</v>
      </c>
      <c r="E30" s="102" t="s">
        <v>146</v>
      </c>
      <c r="F30" s="103">
        <v>1635.17</v>
      </c>
      <c r="G30" s="103">
        <v>200000.0</v>
      </c>
      <c r="H30" s="103">
        <f t="shared" si="1"/>
        <v>122.3114416</v>
      </c>
    </row>
    <row r="31">
      <c r="A31" s="35" t="s">
        <v>184</v>
      </c>
      <c r="B31" s="35" t="s">
        <v>17</v>
      </c>
      <c r="C31" s="11" t="s">
        <v>151</v>
      </c>
      <c r="D31" s="35" t="s">
        <v>29</v>
      </c>
      <c r="E31" s="35" t="s">
        <v>152</v>
      </c>
      <c r="F31" s="35">
        <v>21.77</v>
      </c>
      <c r="G31" s="35">
        <v>500000.0</v>
      </c>
      <c r="H31" s="35">
        <f t="shared" si="1"/>
        <v>22967.38631</v>
      </c>
    </row>
    <row r="32">
      <c r="A32" s="35" t="s">
        <v>184</v>
      </c>
      <c r="B32" s="35" t="s">
        <v>17</v>
      </c>
      <c r="C32" s="38" t="s">
        <v>154</v>
      </c>
      <c r="D32" s="35" t="s">
        <v>134</v>
      </c>
      <c r="E32" s="35" t="s">
        <v>155</v>
      </c>
      <c r="F32" s="35">
        <v>48.27</v>
      </c>
      <c r="G32" s="35">
        <v>500000.0</v>
      </c>
      <c r="H32" s="99">
        <f t="shared" si="1"/>
        <v>10358.40066</v>
      </c>
    </row>
    <row r="33">
      <c r="A33" s="35" t="s">
        <v>184</v>
      </c>
      <c r="B33" s="35" t="s">
        <v>17</v>
      </c>
      <c r="C33" s="75" t="s">
        <v>157</v>
      </c>
      <c r="D33" s="35" t="s">
        <v>29</v>
      </c>
      <c r="E33" s="35" t="s">
        <v>158</v>
      </c>
      <c r="F33" s="35">
        <v>104.37</v>
      </c>
      <c r="G33" s="35">
        <v>600000.0</v>
      </c>
      <c r="H33" s="99">
        <f t="shared" si="1"/>
        <v>5748.778385</v>
      </c>
    </row>
  </sheetData>
  <drawing r:id="rId1"/>
</worksheet>
</file>